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1012"/>
  <workbookPr dateCompatibility="0" checkCompatibility="1" defaultThemeVersion="166925"/>
  <mc:AlternateContent xmlns:mc="http://schemas.openxmlformats.org/markup-compatibility/2006">
    <mc:Choice Requires="x15">
      <x15ac:absPath xmlns:x15ac="http://schemas.microsoft.com/office/spreadsheetml/2010/11/ac" url="/Users/josezavala/Documents/Cover Letters/Work Sample/"/>
    </mc:Choice>
  </mc:AlternateContent>
  <xr:revisionPtr revIDLastSave="0" documentId="13_ncr:9_{A436C477-CDF0-BD47-B9F1-B91E168C8152}" xr6:coauthVersionLast="36" xr6:coauthVersionMax="36" xr10:uidLastSave="{00000000-0000-0000-0000-000000000000}"/>
  <bookViews>
    <workbookView xWindow="0" yWindow="460" windowWidth="28800" windowHeight="15940" xr2:uid="{00000000-000D-0000-FFFF-FFFF00000000}"/>
  </bookViews>
  <sheets>
    <sheet name="Table of Contents" sheetId="4" r:id="rId1"/>
    <sheet name="Assumptions" sheetId="5" r:id="rId2"/>
    <sheet name="Income Statement" sheetId="1" r:id="rId3"/>
    <sheet name="Pro-Forma IS" sheetId="6" r:id="rId4"/>
    <sheet name="Balance Sheet" sheetId="2" r:id="rId5"/>
    <sheet name="Pro-Forma BS" sheetId="7" r:id="rId6"/>
    <sheet name="Statement of Cash Flows" sheetId="3" r:id="rId7"/>
    <sheet name="Ratio Analysis " sheetId="8" r:id="rId8"/>
    <sheet name="Individual Research" sheetId="9" r:id="rId9"/>
    <sheet name="Company Research Analysis" sheetId="10" r:id="rId10"/>
    <sheet name="Financial &amp; Capital Structure" sheetId="11" r:id="rId11"/>
    <sheet name="Equity Research &amp; Stock Risks" sheetId="13" r:id="rId12"/>
    <sheet name="Regression &amp; Candlestick" sheetId="14" r:id="rId13"/>
    <sheet name="Correlation Table" sheetId="15" r:id="rId14"/>
    <sheet name="Cash Flow Analysis &amp; WACC" sheetId="16" r:id="rId15"/>
    <sheet name="Scenario Summary " sheetId="22" r:id="rId16"/>
  </sheets>
  <calcPr calcId="181029"/>
  <extLst>
    <ext xmlns:x14="http://schemas.microsoft.com/office/spreadsheetml/2009/9/main" uri="{79F54976-1DA5-4618-B147-4CDE4B953A38}">
      <x14:workbookPr/>
    </ext>
  </extLst>
</workbook>
</file>

<file path=xl/calcChain.xml><?xml version="1.0" encoding="utf-8"?>
<calcChain xmlns="http://purl.oclc.org/ooxml/spreadsheetml/main">
  <c r="H2" i="5" l="1"/>
  <c r="H7" i="5"/>
  <c r="C253" i="13" l="1"/>
  <c r="C252" i="13"/>
  <c r="M24" i="16"/>
  <c r="G251" i="13"/>
  <c r="B19" i="5"/>
  <c r="N22" i="13"/>
  <c r="N17" i="13"/>
  <c r="N11" i="13"/>
  <c r="N5" i="13"/>
  <c r="N2" i="13"/>
  <c r="A37" i="16" l="1"/>
  <c r="B37" i="16"/>
  <c r="C37" i="16"/>
  <c r="D37" i="16"/>
  <c r="E37" i="16"/>
  <c r="F37" i="16"/>
  <c r="A38" i="16"/>
  <c r="A39" i="16"/>
  <c r="B39" i="16"/>
  <c r="C39" i="16"/>
  <c r="D39" i="16"/>
  <c r="E39" i="16"/>
  <c r="F39" i="16"/>
  <c r="A40" i="16"/>
  <c r="B40" i="16"/>
  <c r="C40" i="16"/>
  <c r="D40" i="16"/>
  <c r="E40" i="16"/>
  <c r="F40" i="16"/>
  <c r="A41" i="16"/>
  <c r="B41" i="16"/>
  <c r="C41" i="16"/>
  <c r="D41" i="16"/>
  <c r="E41" i="16"/>
  <c r="F41" i="16"/>
  <c r="A42" i="16"/>
  <c r="B42" i="16"/>
  <c r="C42" i="16"/>
  <c r="D42" i="16"/>
  <c r="E42" i="16"/>
  <c r="F42" i="16"/>
  <c r="A43" i="16"/>
  <c r="A44" i="16"/>
  <c r="B44" i="16"/>
  <c r="C44" i="16"/>
  <c r="D44" i="16"/>
  <c r="E44" i="16"/>
  <c r="F44" i="16"/>
  <c r="A45" i="16"/>
  <c r="B45" i="16"/>
  <c r="L5" i="16" s="1"/>
  <c r="C45" i="16"/>
  <c r="D45" i="16"/>
  <c r="E45" i="16"/>
  <c r="F45" i="16"/>
  <c r="A46" i="16"/>
  <c r="A47" i="16"/>
  <c r="B47" i="16"/>
  <c r="C47" i="16"/>
  <c r="D47" i="16"/>
  <c r="E47" i="16"/>
  <c r="F47" i="16"/>
  <c r="A48" i="16"/>
  <c r="B48" i="16"/>
  <c r="C48" i="16"/>
  <c r="D48" i="16"/>
  <c r="E48" i="16"/>
  <c r="F48" i="16"/>
  <c r="A49" i="16"/>
  <c r="B49" i="16"/>
  <c r="C49" i="16"/>
  <c r="D49" i="16"/>
  <c r="E49" i="16"/>
  <c r="F49" i="16"/>
  <c r="A50" i="16"/>
  <c r="B50" i="16"/>
  <c r="C50" i="16"/>
  <c r="D50" i="16"/>
  <c r="E50" i="16"/>
  <c r="F50" i="16"/>
  <c r="A51" i="16"/>
  <c r="A52" i="16"/>
  <c r="B52" i="16"/>
  <c r="C52" i="16"/>
  <c r="D52" i="16"/>
  <c r="E52" i="16"/>
  <c r="F52" i="16"/>
  <c r="A53" i="16"/>
  <c r="B53" i="16"/>
  <c r="C53" i="16"/>
  <c r="D53" i="16"/>
  <c r="E53" i="16"/>
  <c r="F53" i="16"/>
  <c r="A54" i="16"/>
  <c r="A55" i="16"/>
  <c r="O24" i="16" s="1"/>
  <c r="B55" i="16"/>
  <c r="P24" i="16" s="1"/>
  <c r="C55" i="16"/>
  <c r="Q24" i="16" s="1"/>
  <c r="D55" i="16"/>
  <c r="R24" i="16" s="1"/>
  <c r="E55" i="16"/>
  <c r="S24" i="16" s="1"/>
  <c r="F55" i="16"/>
  <c r="T24" i="16" s="1"/>
  <c r="A56" i="16"/>
  <c r="B56" i="16"/>
  <c r="C56" i="16"/>
  <c r="D56" i="16"/>
  <c r="E56" i="16"/>
  <c r="F56" i="16"/>
  <c r="A57" i="16"/>
  <c r="A58" i="16"/>
  <c r="O25" i="16" s="1"/>
  <c r="B58" i="16"/>
  <c r="P25" i="16" s="1"/>
  <c r="C58" i="16"/>
  <c r="Q25" i="16" s="1"/>
  <c r="D58" i="16"/>
  <c r="R25" i="16" s="1"/>
  <c r="E58" i="16"/>
  <c r="S25" i="16" s="1"/>
  <c r="F58" i="16"/>
  <c r="T25" i="16" s="1"/>
  <c r="A59" i="16"/>
  <c r="B59" i="16"/>
  <c r="C59" i="16"/>
  <c r="D59" i="16"/>
  <c r="E59" i="16"/>
  <c r="F59" i="16"/>
  <c r="A60" i="16"/>
  <c r="B60" i="16"/>
  <c r="C60" i="16"/>
  <c r="D60" i="16"/>
  <c r="E60" i="16"/>
  <c r="F60" i="16"/>
  <c r="A61" i="16"/>
  <c r="B61" i="16"/>
  <c r="C61" i="16"/>
  <c r="D61" i="16"/>
  <c r="E61" i="16"/>
  <c r="F61" i="16"/>
  <c r="A62" i="16"/>
  <c r="A63" i="16"/>
  <c r="B63" i="16"/>
  <c r="C63" i="16"/>
  <c r="D63" i="16"/>
  <c r="E63" i="16"/>
  <c r="F63" i="16"/>
  <c r="A64" i="16"/>
  <c r="B64" i="16"/>
  <c r="C64" i="16"/>
  <c r="D64" i="16"/>
  <c r="E64" i="16"/>
  <c r="F64" i="16"/>
  <c r="A65" i="16"/>
  <c r="B65" i="16"/>
  <c r="C65" i="16"/>
  <c r="D65" i="16"/>
  <c r="E65" i="16"/>
  <c r="F65" i="16"/>
  <c r="A66" i="16"/>
  <c r="B66" i="16"/>
  <c r="C66" i="16"/>
  <c r="D66" i="16"/>
  <c r="E66" i="16"/>
  <c r="F66" i="16"/>
  <c r="A67" i="16"/>
  <c r="M16" i="16" s="1"/>
  <c r="A68" i="16"/>
  <c r="B36" i="16"/>
  <c r="C36" i="16"/>
  <c r="D36" i="16"/>
  <c r="E36" i="16"/>
  <c r="F36" i="16"/>
  <c r="A36" i="16"/>
  <c r="B5" i="16"/>
  <c r="C5" i="16"/>
  <c r="D5" i="16"/>
  <c r="E5" i="16"/>
  <c r="F5" i="16"/>
  <c r="B7" i="16"/>
  <c r="C7" i="16"/>
  <c r="D7" i="16"/>
  <c r="E7" i="16"/>
  <c r="F7" i="16"/>
  <c r="B8" i="16"/>
  <c r="C8" i="16"/>
  <c r="D8" i="16"/>
  <c r="E8" i="16"/>
  <c r="F8" i="16"/>
  <c r="B9" i="16"/>
  <c r="C9" i="16"/>
  <c r="D9" i="16"/>
  <c r="E9" i="16"/>
  <c r="F9" i="16"/>
  <c r="B12" i="16"/>
  <c r="P27" i="16" s="1"/>
  <c r="C12" i="16"/>
  <c r="Q27" i="16" s="1"/>
  <c r="D12" i="16"/>
  <c r="R27" i="16" s="1"/>
  <c r="E12" i="16"/>
  <c r="S27" i="16" s="1"/>
  <c r="F12" i="16"/>
  <c r="T27" i="16" s="1"/>
  <c r="B13" i="16"/>
  <c r="C13" i="16"/>
  <c r="D13" i="16"/>
  <c r="E13" i="16"/>
  <c r="F13" i="16"/>
  <c r="B14" i="16"/>
  <c r="C14" i="16"/>
  <c r="D14" i="16"/>
  <c r="E14" i="16"/>
  <c r="F14" i="16"/>
  <c r="B15" i="16"/>
  <c r="C15" i="16"/>
  <c r="D15" i="16"/>
  <c r="E15" i="16"/>
  <c r="F15" i="16"/>
  <c r="B18" i="16"/>
  <c r="C18" i="16"/>
  <c r="D18" i="16"/>
  <c r="E18" i="16"/>
  <c r="F18" i="16"/>
  <c r="B19" i="16"/>
  <c r="C19" i="16"/>
  <c r="D19" i="16"/>
  <c r="E19" i="16"/>
  <c r="F19" i="16"/>
  <c r="B20" i="16"/>
  <c r="C20" i="16"/>
  <c r="D20" i="16"/>
  <c r="E20" i="16"/>
  <c r="F20" i="16"/>
  <c r="B21" i="16"/>
  <c r="C21" i="16"/>
  <c r="D21" i="16"/>
  <c r="E21" i="16"/>
  <c r="F21" i="16"/>
  <c r="B23" i="16"/>
  <c r="C23" i="16"/>
  <c r="D23" i="16"/>
  <c r="E23" i="16"/>
  <c r="F23" i="16"/>
  <c r="B25" i="16"/>
  <c r="C25" i="16"/>
  <c r="D25" i="16"/>
  <c r="E25" i="16"/>
  <c r="F25" i="16"/>
  <c r="B26" i="16"/>
  <c r="C26" i="16"/>
  <c r="D26" i="16"/>
  <c r="E26" i="16"/>
  <c r="F26" i="16"/>
  <c r="B27" i="16"/>
  <c r="C27" i="16"/>
  <c r="D27" i="16"/>
  <c r="E27" i="16"/>
  <c r="F27" i="16"/>
  <c r="B28" i="16"/>
  <c r="C28" i="16"/>
  <c r="D28" i="16"/>
  <c r="E28" i="16"/>
  <c r="F28" i="16"/>
  <c r="B29" i="16"/>
  <c r="C29" i="16"/>
  <c r="D29" i="16"/>
  <c r="E29" i="16"/>
  <c r="F29" i="16"/>
  <c r="B30" i="16"/>
  <c r="C30" i="16"/>
  <c r="D30" i="16"/>
  <c r="E30" i="16"/>
  <c r="F30" i="16"/>
  <c r="B31" i="16"/>
  <c r="C31" i="16"/>
  <c r="D31" i="16"/>
  <c r="E31" i="16"/>
  <c r="F31" i="16"/>
  <c r="C4" i="16"/>
  <c r="D4" i="16"/>
  <c r="E4" i="16"/>
  <c r="F4" i="16"/>
  <c r="B4" i="16"/>
  <c r="A5" i="16"/>
  <c r="A6" i="16"/>
  <c r="A7" i="16"/>
  <c r="A8" i="16"/>
  <c r="A9" i="16"/>
  <c r="A10" i="16"/>
  <c r="A11" i="16"/>
  <c r="A12" i="16"/>
  <c r="O27" i="16" s="1"/>
  <c r="A13" i="16"/>
  <c r="A14" i="16"/>
  <c r="A15" i="16"/>
  <c r="A16" i="16"/>
  <c r="A17" i="16"/>
  <c r="A18" i="16"/>
  <c r="A19" i="16"/>
  <c r="A20" i="16"/>
  <c r="A21" i="16"/>
  <c r="A22" i="16"/>
  <c r="A23" i="16"/>
  <c r="A24" i="16"/>
  <c r="A25" i="16"/>
  <c r="A26" i="16"/>
  <c r="A27" i="16"/>
  <c r="A28" i="16"/>
  <c r="A29" i="16"/>
  <c r="A30" i="16"/>
  <c r="A31" i="16"/>
  <c r="A4" i="16"/>
  <c r="I25" i="16"/>
  <c r="I26" i="16"/>
  <c r="I27" i="16"/>
  <c r="I28" i="16"/>
  <c r="I29" i="16"/>
  <c r="I30" i="16"/>
  <c r="I3" i="16"/>
  <c r="H25" i="16"/>
  <c r="H26" i="16"/>
  <c r="H27" i="16"/>
  <c r="H28" i="16"/>
  <c r="H29" i="16"/>
  <c r="H30" i="16"/>
  <c r="H3" i="16"/>
  <c r="G25" i="16"/>
  <c r="G26" i="16"/>
  <c r="G27" i="16"/>
  <c r="G28" i="16"/>
  <c r="G29" i="16"/>
  <c r="G30" i="16"/>
  <c r="G3" i="16"/>
  <c r="Q26" i="16" l="1"/>
  <c r="T26" i="16"/>
  <c r="P26" i="16"/>
  <c r="M6" i="16"/>
  <c r="S26" i="16"/>
  <c r="N5" i="16"/>
  <c r="P29" i="16"/>
  <c r="P6" i="16"/>
  <c r="L6" i="16"/>
  <c r="R26" i="16"/>
  <c r="N6" i="16"/>
  <c r="O6" i="16"/>
  <c r="Q29" i="16"/>
  <c r="P5" i="16"/>
  <c r="O5" i="16"/>
  <c r="M5" i="16"/>
  <c r="J3" i="11"/>
  <c r="K251" i="15"/>
  <c r="K250" i="15"/>
  <c r="K249" i="15"/>
  <c r="K248" i="15"/>
  <c r="K247" i="15"/>
  <c r="K246" i="15"/>
  <c r="K245" i="15"/>
  <c r="K244" i="15"/>
  <c r="K243" i="15"/>
  <c r="K242" i="15"/>
  <c r="K241" i="15"/>
  <c r="K240" i="15"/>
  <c r="K239" i="15"/>
  <c r="K238" i="15"/>
  <c r="K237" i="15"/>
  <c r="K236" i="15"/>
  <c r="K235" i="15"/>
  <c r="K234" i="15"/>
  <c r="K233" i="15"/>
  <c r="K232" i="15"/>
  <c r="K231" i="15"/>
  <c r="K230" i="15"/>
  <c r="K229" i="15"/>
  <c r="K228" i="15"/>
  <c r="K227" i="15"/>
  <c r="K226" i="15"/>
  <c r="K225" i="15"/>
  <c r="K224" i="15"/>
  <c r="K223" i="15"/>
  <c r="K222" i="15"/>
  <c r="K221" i="15"/>
  <c r="K220" i="15"/>
  <c r="K219" i="15"/>
  <c r="K218" i="15"/>
  <c r="K217" i="15"/>
  <c r="K216" i="15"/>
  <c r="K215" i="15"/>
  <c r="K214" i="15"/>
  <c r="K213" i="15"/>
  <c r="K212" i="15"/>
  <c r="K211" i="15"/>
  <c r="K210" i="15"/>
  <c r="K209" i="15"/>
  <c r="K208" i="15"/>
  <c r="K207" i="15"/>
  <c r="K206" i="15"/>
  <c r="K205" i="15"/>
  <c r="K204" i="15"/>
  <c r="K203" i="15"/>
  <c r="K202" i="15"/>
  <c r="K201" i="15"/>
  <c r="K200" i="15"/>
  <c r="K199" i="15"/>
  <c r="K198" i="15"/>
  <c r="K197" i="15"/>
  <c r="K196" i="15"/>
  <c r="K195" i="15"/>
  <c r="K194" i="15"/>
  <c r="K193" i="15"/>
  <c r="K192" i="15"/>
  <c r="K191" i="15"/>
  <c r="K190" i="15"/>
  <c r="K189" i="15"/>
  <c r="K188" i="15"/>
  <c r="K187" i="15"/>
  <c r="K186" i="15"/>
  <c r="K185" i="15"/>
  <c r="K184" i="15"/>
  <c r="K183" i="15"/>
  <c r="K182" i="15"/>
  <c r="K181" i="15"/>
  <c r="K180" i="15"/>
  <c r="K179" i="15"/>
  <c r="K178" i="15"/>
  <c r="K177" i="15"/>
  <c r="K176" i="15"/>
  <c r="K175" i="15"/>
  <c r="K174" i="15"/>
  <c r="K173" i="15"/>
  <c r="K172" i="15"/>
  <c r="K171" i="15"/>
  <c r="K170" i="15"/>
  <c r="K169" i="15"/>
  <c r="K168" i="15"/>
  <c r="K167" i="15"/>
  <c r="K166" i="15"/>
  <c r="K165" i="15"/>
  <c r="K164" i="15"/>
  <c r="K163" i="15"/>
  <c r="K162" i="15"/>
  <c r="K161" i="15"/>
  <c r="K160" i="15"/>
  <c r="K159" i="15"/>
  <c r="K158" i="15"/>
  <c r="K157" i="15"/>
  <c r="K156" i="15"/>
  <c r="K155" i="15"/>
  <c r="K154" i="15"/>
  <c r="K153" i="15"/>
  <c r="K152" i="15"/>
  <c r="K151" i="15"/>
  <c r="K150" i="15"/>
  <c r="K149" i="15"/>
  <c r="K148" i="15"/>
  <c r="K147" i="15"/>
  <c r="K146" i="15"/>
  <c r="K145" i="15"/>
  <c r="K144" i="15"/>
  <c r="K143" i="15"/>
  <c r="K142" i="15"/>
  <c r="K141" i="15"/>
  <c r="K140" i="15"/>
  <c r="K139" i="15"/>
  <c r="K138" i="15"/>
  <c r="K137" i="15"/>
  <c r="K136" i="15"/>
  <c r="K135" i="15"/>
  <c r="K134" i="15"/>
  <c r="K133" i="15"/>
  <c r="K132" i="15"/>
  <c r="K131" i="15"/>
  <c r="K130" i="15"/>
  <c r="K129" i="15"/>
  <c r="K128" i="15"/>
  <c r="K127" i="15"/>
  <c r="K126" i="15"/>
  <c r="K125" i="15"/>
  <c r="K124" i="15"/>
  <c r="K123" i="15"/>
  <c r="K122" i="15"/>
  <c r="K121" i="15"/>
  <c r="K120" i="15"/>
  <c r="K119" i="15"/>
  <c r="K118" i="15"/>
  <c r="K117" i="15"/>
  <c r="K116" i="15"/>
  <c r="K115" i="15"/>
  <c r="K114" i="15"/>
  <c r="K113" i="15"/>
  <c r="K112" i="15"/>
  <c r="K111" i="15"/>
  <c r="K110" i="15"/>
  <c r="K109" i="15"/>
  <c r="K108" i="15"/>
  <c r="K107" i="15"/>
  <c r="K106" i="15"/>
  <c r="K105" i="15"/>
  <c r="K104" i="15"/>
  <c r="K103" i="15"/>
  <c r="K102" i="15"/>
  <c r="K101" i="15"/>
  <c r="K100" i="15"/>
  <c r="K99" i="15"/>
  <c r="K98" i="15"/>
  <c r="K97" i="15"/>
  <c r="K96" i="15"/>
  <c r="K95" i="15"/>
  <c r="K94" i="15"/>
  <c r="K93" i="15"/>
  <c r="K92" i="15"/>
  <c r="K91" i="15"/>
  <c r="K90" i="15"/>
  <c r="K89" i="15"/>
  <c r="K88" i="15"/>
  <c r="K87" i="15"/>
  <c r="K86" i="15"/>
  <c r="K85" i="15"/>
  <c r="K84" i="15"/>
  <c r="K83" i="15"/>
  <c r="K82" i="15"/>
  <c r="K81" i="15"/>
  <c r="K80" i="15"/>
  <c r="K79" i="15"/>
  <c r="K78" i="15"/>
  <c r="K77" i="15"/>
  <c r="K76" i="15"/>
  <c r="K75" i="15"/>
  <c r="K74" i="15"/>
  <c r="K73" i="15"/>
  <c r="K72" i="15"/>
  <c r="K71" i="15"/>
  <c r="K70" i="15"/>
  <c r="K69" i="15"/>
  <c r="K68" i="15"/>
  <c r="K67" i="15"/>
  <c r="K66" i="15"/>
  <c r="K65" i="15"/>
  <c r="K64" i="15"/>
  <c r="K63" i="15"/>
  <c r="K62" i="15"/>
  <c r="K61" i="15"/>
  <c r="K60" i="15"/>
  <c r="K59" i="15"/>
  <c r="K58" i="15"/>
  <c r="K57" i="15"/>
  <c r="K56" i="15"/>
  <c r="K55" i="15"/>
  <c r="K54" i="15"/>
  <c r="K53" i="15"/>
  <c r="K52" i="15"/>
  <c r="K51" i="15"/>
  <c r="K50" i="15"/>
  <c r="K49" i="15"/>
  <c r="K48" i="15"/>
  <c r="K47" i="15"/>
  <c r="K46" i="15"/>
  <c r="K45" i="15"/>
  <c r="K44" i="15"/>
  <c r="K43" i="15"/>
  <c r="K42" i="15"/>
  <c r="K41" i="15"/>
  <c r="K40" i="15"/>
  <c r="K39" i="15"/>
  <c r="K38" i="15"/>
  <c r="K37" i="15"/>
  <c r="K36" i="15"/>
  <c r="K35" i="15"/>
  <c r="K34" i="15"/>
  <c r="K33" i="15"/>
  <c r="K32" i="15"/>
  <c r="K31" i="15"/>
  <c r="K30" i="15"/>
  <c r="K29" i="15"/>
  <c r="K28" i="15"/>
  <c r="K27" i="15"/>
  <c r="K26" i="15"/>
  <c r="K25" i="15"/>
  <c r="K24" i="15"/>
  <c r="K23" i="15"/>
  <c r="K22" i="15"/>
  <c r="K21" i="15"/>
  <c r="K20" i="15"/>
  <c r="K19" i="15"/>
  <c r="K18" i="15"/>
  <c r="K17" i="15"/>
  <c r="K16" i="15"/>
  <c r="K15" i="15"/>
  <c r="K14" i="15"/>
  <c r="K13" i="15"/>
  <c r="K12" i="15"/>
  <c r="K11" i="15"/>
  <c r="K10" i="15"/>
  <c r="K9" i="15"/>
  <c r="K8" i="15"/>
  <c r="K7" i="15"/>
  <c r="K6" i="15"/>
  <c r="K5" i="15"/>
  <c r="K4" i="15"/>
  <c r="K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3" i="15"/>
  <c r="E7" i="15"/>
  <c r="E4" i="15"/>
  <c r="E5" i="15"/>
  <c r="E6"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G5" i="13"/>
  <c r="E3" i="15"/>
  <c r="G6" i="13"/>
  <c r="O7" i="13"/>
  <c r="P7" i="13" s="1"/>
  <c r="O28" i="13"/>
  <c r="P28" i="13" s="1"/>
  <c r="O52" i="13"/>
  <c r="P52" i="13" s="1"/>
  <c r="O79" i="13"/>
  <c r="P79" i="13" s="1"/>
  <c r="O108" i="13"/>
  <c r="P108" i="13" s="1"/>
  <c r="O135" i="13"/>
  <c r="P135" i="13" s="1"/>
  <c r="O167" i="13"/>
  <c r="P167" i="13" s="1"/>
  <c r="O199" i="13"/>
  <c r="P199" i="13" s="1"/>
  <c r="O216" i="13"/>
  <c r="P216" i="13" s="1"/>
  <c r="O232" i="13"/>
  <c r="P232" i="13" s="1"/>
  <c r="O248" i="13"/>
  <c r="P248" i="13" s="1"/>
  <c r="O2" i="13"/>
  <c r="P2" i="13" s="1"/>
  <c r="N3" i="13"/>
  <c r="O3" i="13" s="1"/>
  <c r="P3" i="13" s="1"/>
  <c r="N4" i="13"/>
  <c r="O5" i="13"/>
  <c r="P5" i="13" s="1"/>
  <c r="N6" i="13"/>
  <c r="O6" i="13" s="1"/>
  <c r="P6" i="13" s="1"/>
  <c r="N7" i="13"/>
  <c r="N8" i="13"/>
  <c r="O8" i="13" s="1"/>
  <c r="P8" i="13" s="1"/>
  <c r="N9" i="13"/>
  <c r="O9" i="13" s="1"/>
  <c r="P9" i="13" s="1"/>
  <c r="N10" i="13"/>
  <c r="O10" i="13" s="1"/>
  <c r="P10" i="13" s="1"/>
  <c r="O11" i="13"/>
  <c r="P11" i="13" s="1"/>
  <c r="N12" i="13"/>
  <c r="O12" i="13" s="1"/>
  <c r="P12" i="13" s="1"/>
  <c r="N13" i="13"/>
  <c r="N14" i="13"/>
  <c r="O14" i="13" s="1"/>
  <c r="P14" i="13" s="1"/>
  <c r="N15" i="13"/>
  <c r="O15" i="13" s="1"/>
  <c r="P15" i="13" s="1"/>
  <c r="N16" i="13"/>
  <c r="O16" i="13" s="1"/>
  <c r="P16" i="13" s="1"/>
  <c r="O17" i="13"/>
  <c r="P17" i="13" s="1"/>
  <c r="N18" i="13"/>
  <c r="N19" i="13"/>
  <c r="O19" i="13" s="1"/>
  <c r="P19" i="13" s="1"/>
  <c r="N20" i="13"/>
  <c r="O20" i="13" s="1"/>
  <c r="P20" i="13" s="1"/>
  <c r="N21" i="13"/>
  <c r="O22" i="13"/>
  <c r="P22" i="13" s="1"/>
  <c r="N23" i="13"/>
  <c r="O23" i="13" s="1"/>
  <c r="P23" i="13" s="1"/>
  <c r="N24" i="13"/>
  <c r="O24" i="13" s="1"/>
  <c r="P24" i="13" s="1"/>
  <c r="N25" i="13"/>
  <c r="O25" i="13" s="1"/>
  <c r="P25" i="13" s="1"/>
  <c r="N26" i="13"/>
  <c r="O26" i="13" s="1"/>
  <c r="P26" i="13" s="1"/>
  <c r="N27" i="13"/>
  <c r="O27" i="13" s="1"/>
  <c r="P27" i="13" s="1"/>
  <c r="N28" i="13"/>
  <c r="N29" i="13"/>
  <c r="O29" i="13" s="1"/>
  <c r="P29" i="13" s="1"/>
  <c r="N30" i="13"/>
  <c r="O30" i="13" s="1"/>
  <c r="P30" i="13" s="1"/>
  <c r="N31" i="13"/>
  <c r="O31" i="13" s="1"/>
  <c r="P31" i="13" s="1"/>
  <c r="N32" i="13"/>
  <c r="O32" i="13" s="1"/>
  <c r="P32" i="13" s="1"/>
  <c r="N33" i="13"/>
  <c r="O33" i="13" s="1"/>
  <c r="P33" i="13" s="1"/>
  <c r="N34" i="13"/>
  <c r="O34" i="13" s="1"/>
  <c r="P34" i="13" s="1"/>
  <c r="N35" i="13"/>
  <c r="O35" i="13" s="1"/>
  <c r="P35" i="13" s="1"/>
  <c r="N36" i="13"/>
  <c r="O36" i="13" s="1"/>
  <c r="P36" i="13" s="1"/>
  <c r="N37" i="13"/>
  <c r="O37" i="13" s="1"/>
  <c r="P37" i="13" s="1"/>
  <c r="N38" i="13"/>
  <c r="O38" i="13" s="1"/>
  <c r="P38" i="13" s="1"/>
  <c r="N39" i="13"/>
  <c r="O39" i="13" s="1"/>
  <c r="P39" i="13" s="1"/>
  <c r="N40" i="13"/>
  <c r="O40" i="13" s="1"/>
  <c r="P40" i="13" s="1"/>
  <c r="N41" i="13"/>
  <c r="O41" i="13" s="1"/>
  <c r="P41" i="13" s="1"/>
  <c r="N42" i="13"/>
  <c r="O42" i="13" s="1"/>
  <c r="P42" i="13" s="1"/>
  <c r="N43" i="13"/>
  <c r="O43" i="13" s="1"/>
  <c r="P43" i="13" s="1"/>
  <c r="N44" i="13"/>
  <c r="O44" i="13" s="1"/>
  <c r="P44" i="13" s="1"/>
  <c r="N45" i="13"/>
  <c r="O45" i="13" s="1"/>
  <c r="P45" i="13" s="1"/>
  <c r="N46" i="13"/>
  <c r="O46" i="13" s="1"/>
  <c r="P46" i="13" s="1"/>
  <c r="N47" i="13"/>
  <c r="O47" i="13" s="1"/>
  <c r="P47" i="13" s="1"/>
  <c r="N48" i="13"/>
  <c r="O48" i="13" s="1"/>
  <c r="P48" i="13" s="1"/>
  <c r="N49" i="13"/>
  <c r="O49" i="13" s="1"/>
  <c r="P49" i="13" s="1"/>
  <c r="N50" i="13"/>
  <c r="O50" i="13" s="1"/>
  <c r="P50" i="13" s="1"/>
  <c r="N51" i="13"/>
  <c r="O51" i="13" s="1"/>
  <c r="P51" i="13" s="1"/>
  <c r="N52" i="13"/>
  <c r="N53" i="13"/>
  <c r="O53" i="13" s="1"/>
  <c r="P53" i="13" s="1"/>
  <c r="N54" i="13"/>
  <c r="O54" i="13" s="1"/>
  <c r="P54" i="13" s="1"/>
  <c r="N55" i="13"/>
  <c r="O55" i="13" s="1"/>
  <c r="P55" i="13" s="1"/>
  <c r="N56" i="13"/>
  <c r="O56" i="13" s="1"/>
  <c r="P56" i="13" s="1"/>
  <c r="N57" i="13"/>
  <c r="O57" i="13" s="1"/>
  <c r="P57" i="13" s="1"/>
  <c r="N58" i="13"/>
  <c r="O58" i="13" s="1"/>
  <c r="P58" i="13" s="1"/>
  <c r="N59" i="13"/>
  <c r="O59" i="13" s="1"/>
  <c r="P59" i="13" s="1"/>
  <c r="N60" i="13"/>
  <c r="O60" i="13" s="1"/>
  <c r="P60" i="13" s="1"/>
  <c r="N61" i="13"/>
  <c r="O61" i="13" s="1"/>
  <c r="P61" i="13" s="1"/>
  <c r="N62" i="13"/>
  <c r="O62" i="13" s="1"/>
  <c r="P62" i="13" s="1"/>
  <c r="N63" i="13"/>
  <c r="O63" i="13" s="1"/>
  <c r="P63" i="13" s="1"/>
  <c r="N64" i="13"/>
  <c r="O64" i="13" s="1"/>
  <c r="P64" i="13" s="1"/>
  <c r="N65" i="13"/>
  <c r="O65" i="13" s="1"/>
  <c r="P65" i="13" s="1"/>
  <c r="N66" i="13"/>
  <c r="O66" i="13" s="1"/>
  <c r="P66" i="13" s="1"/>
  <c r="N67" i="13"/>
  <c r="O67" i="13" s="1"/>
  <c r="P67" i="13" s="1"/>
  <c r="N68" i="13"/>
  <c r="O68" i="13" s="1"/>
  <c r="P68" i="13" s="1"/>
  <c r="N69" i="13"/>
  <c r="O69" i="13" s="1"/>
  <c r="P69" i="13" s="1"/>
  <c r="N70" i="13"/>
  <c r="O70" i="13" s="1"/>
  <c r="P70" i="13" s="1"/>
  <c r="N71" i="13"/>
  <c r="O71" i="13" s="1"/>
  <c r="P71" i="13" s="1"/>
  <c r="N72" i="13"/>
  <c r="O72" i="13" s="1"/>
  <c r="P72" i="13" s="1"/>
  <c r="N73" i="13"/>
  <c r="O73" i="13" s="1"/>
  <c r="P73" i="13" s="1"/>
  <c r="N74" i="13"/>
  <c r="O74" i="13" s="1"/>
  <c r="P74" i="13" s="1"/>
  <c r="N75" i="13"/>
  <c r="O75" i="13" s="1"/>
  <c r="P75" i="13" s="1"/>
  <c r="N76" i="13"/>
  <c r="O76" i="13" s="1"/>
  <c r="P76" i="13" s="1"/>
  <c r="N77" i="13"/>
  <c r="O77" i="13" s="1"/>
  <c r="P77" i="13" s="1"/>
  <c r="N78" i="13"/>
  <c r="O78" i="13" s="1"/>
  <c r="P78" i="13" s="1"/>
  <c r="N79" i="13"/>
  <c r="N80" i="13"/>
  <c r="O80" i="13" s="1"/>
  <c r="P80" i="13" s="1"/>
  <c r="N81" i="13"/>
  <c r="O81" i="13" s="1"/>
  <c r="P81" i="13" s="1"/>
  <c r="N82" i="13"/>
  <c r="O82" i="13" s="1"/>
  <c r="P82" i="13" s="1"/>
  <c r="N83" i="13"/>
  <c r="O83" i="13" s="1"/>
  <c r="P83" i="13" s="1"/>
  <c r="N84" i="13"/>
  <c r="O84" i="13" s="1"/>
  <c r="P84" i="13" s="1"/>
  <c r="N85" i="13"/>
  <c r="O85" i="13" s="1"/>
  <c r="P85" i="13" s="1"/>
  <c r="N86" i="13"/>
  <c r="O86" i="13" s="1"/>
  <c r="P86" i="13" s="1"/>
  <c r="N87" i="13"/>
  <c r="O87" i="13" s="1"/>
  <c r="P87" i="13" s="1"/>
  <c r="N88" i="13"/>
  <c r="O88" i="13" s="1"/>
  <c r="P88" i="13" s="1"/>
  <c r="N89" i="13"/>
  <c r="O89" i="13" s="1"/>
  <c r="P89" i="13" s="1"/>
  <c r="N90" i="13"/>
  <c r="O90" i="13" s="1"/>
  <c r="P90" i="13" s="1"/>
  <c r="N91" i="13"/>
  <c r="O91" i="13" s="1"/>
  <c r="P91" i="13" s="1"/>
  <c r="N92" i="13"/>
  <c r="O92" i="13" s="1"/>
  <c r="P92" i="13" s="1"/>
  <c r="N93" i="13"/>
  <c r="O93" i="13" s="1"/>
  <c r="P93" i="13" s="1"/>
  <c r="N94" i="13"/>
  <c r="O94" i="13" s="1"/>
  <c r="P94" i="13" s="1"/>
  <c r="N95" i="13"/>
  <c r="O95" i="13" s="1"/>
  <c r="P95" i="13" s="1"/>
  <c r="N96" i="13"/>
  <c r="O96" i="13" s="1"/>
  <c r="P96" i="13" s="1"/>
  <c r="N97" i="13"/>
  <c r="O97" i="13" s="1"/>
  <c r="P97" i="13" s="1"/>
  <c r="N98" i="13"/>
  <c r="O98" i="13" s="1"/>
  <c r="P98" i="13" s="1"/>
  <c r="N99" i="13"/>
  <c r="O99" i="13" s="1"/>
  <c r="P99" i="13" s="1"/>
  <c r="N100" i="13"/>
  <c r="O100" i="13" s="1"/>
  <c r="P100" i="13" s="1"/>
  <c r="N101" i="13"/>
  <c r="O101" i="13" s="1"/>
  <c r="P101" i="13" s="1"/>
  <c r="N102" i="13"/>
  <c r="O102" i="13" s="1"/>
  <c r="P102" i="13" s="1"/>
  <c r="N103" i="13"/>
  <c r="O103" i="13" s="1"/>
  <c r="P103" i="13" s="1"/>
  <c r="N104" i="13"/>
  <c r="O104" i="13" s="1"/>
  <c r="P104" i="13" s="1"/>
  <c r="N105" i="13"/>
  <c r="O105" i="13" s="1"/>
  <c r="P105" i="13" s="1"/>
  <c r="N106" i="13"/>
  <c r="O106" i="13" s="1"/>
  <c r="P106" i="13" s="1"/>
  <c r="N107" i="13"/>
  <c r="O107" i="13" s="1"/>
  <c r="P107" i="13" s="1"/>
  <c r="N108" i="13"/>
  <c r="N109" i="13"/>
  <c r="O109" i="13" s="1"/>
  <c r="P109" i="13" s="1"/>
  <c r="N110" i="13"/>
  <c r="O110" i="13" s="1"/>
  <c r="P110" i="13" s="1"/>
  <c r="N111" i="13"/>
  <c r="O111" i="13" s="1"/>
  <c r="P111" i="13" s="1"/>
  <c r="N112" i="13"/>
  <c r="O112" i="13" s="1"/>
  <c r="P112" i="13" s="1"/>
  <c r="N113" i="13"/>
  <c r="O113" i="13" s="1"/>
  <c r="P113" i="13" s="1"/>
  <c r="N114" i="13"/>
  <c r="O114" i="13" s="1"/>
  <c r="P114" i="13" s="1"/>
  <c r="N115" i="13"/>
  <c r="O115" i="13" s="1"/>
  <c r="P115" i="13" s="1"/>
  <c r="N116" i="13"/>
  <c r="O116" i="13" s="1"/>
  <c r="P116" i="13" s="1"/>
  <c r="N117" i="13"/>
  <c r="O117" i="13" s="1"/>
  <c r="P117" i="13" s="1"/>
  <c r="N118" i="13"/>
  <c r="O118" i="13" s="1"/>
  <c r="P118" i="13" s="1"/>
  <c r="N119" i="13"/>
  <c r="O119" i="13" s="1"/>
  <c r="P119" i="13" s="1"/>
  <c r="N120" i="13"/>
  <c r="O120" i="13" s="1"/>
  <c r="P120" i="13" s="1"/>
  <c r="N121" i="13"/>
  <c r="O121" i="13" s="1"/>
  <c r="P121" i="13" s="1"/>
  <c r="N122" i="13"/>
  <c r="O122" i="13" s="1"/>
  <c r="P122" i="13" s="1"/>
  <c r="N123" i="13"/>
  <c r="O123" i="13" s="1"/>
  <c r="P123" i="13" s="1"/>
  <c r="N124" i="13"/>
  <c r="O124" i="13" s="1"/>
  <c r="P124" i="13" s="1"/>
  <c r="N125" i="13"/>
  <c r="O125" i="13" s="1"/>
  <c r="P125" i="13" s="1"/>
  <c r="N126" i="13"/>
  <c r="O126" i="13" s="1"/>
  <c r="P126" i="13" s="1"/>
  <c r="N127" i="13"/>
  <c r="O127" i="13" s="1"/>
  <c r="P127" i="13" s="1"/>
  <c r="N128" i="13"/>
  <c r="O128" i="13" s="1"/>
  <c r="P128" i="13" s="1"/>
  <c r="N129" i="13"/>
  <c r="O129" i="13" s="1"/>
  <c r="P129" i="13" s="1"/>
  <c r="N130" i="13"/>
  <c r="O130" i="13" s="1"/>
  <c r="P130" i="13" s="1"/>
  <c r="N131" i="13"/>
  <c r="O131" i="13" s="1"/>
  <c r="P131" i="13" s="1"/>
  <c r="N132" i="13"/>
  <c r="O132" i="13" s="1"/>
  <c r="P132" i="13" s="1"/>
  <c r="N133" i="13"/>
  <c r="O133" i="13" s="1"/>
  <c r="P133" i="13" s="1"/>
  <c r="N134" i="13"/>
  <c r="O134" i="13" s="1"/>
  <c r="P134" i="13" s="1"/>
  <c r="N135" i="13"/>
  <c r="N136" i="13"/>
  <c r="O136" i="13" s="1"/>
  <c r="P136" i="13" s="1"/>
  <c r="N137" i="13"/>
  <c r="O137" i="13" s="1"/>
  <c r="P137" i="13" s="1"/>
  <c r="N138" i="13"/>
  <c r="O138" i="13" s="1"/>
  <c r="P138" i="13" s="1"/>
  <c r="N139" i="13"/>
  <c r="O139" i="13" s="1"/>
  <c r="P139" i="13" s="1"/>
  <c r="N140" i="13"/>
  <c r="O140" i="13" s="1"/>
  <c r="P140" i="13" s="1"/>
  <c r="N141" i="13"/>
  <c r="O141" i="13" s="1"/>
  <c r="P141" i="13" s="1"/>
  <c r="N142" i="13"/>
  <c r="O142" i="13" s="1"/>
  <c r="P142" i="13" s="1"/>
  <c r="N143" i="13"/>
  <c r="O143" i="13" s="1"/>
  <c r="P143" i="13" s="1"/>
  <c r="N144" i="13"/>
  <c r="O144" i="13" s="1"/>
  <c r="P144" i="13" s="1"/>
  <c r="N145" i="13"/>
  <c r="O145" i="13" s="1"/>
  <c r="P145" i="13" s="1"/>
  <c r="N146" i="13"/>
  <c r="O146" i="13" s="1"/>
  <c r="P146" i="13" s="1"/>
  <c r="N147" i="13"/>
  <c r="O147" i="13" s="1"/>
  <c r="P147" i="13" s="1"/>
  <c r="N148" i="13"/>
  <c r="O148" i="13" s="1"/>
  <c r="P148" i="13" s="1"/>
  <c r="N149" i="13"/>
  <c r="O149" i="13" s="1"/>
  <c r="P149" i="13" s="1"/>
  <c r="N150" i="13"/>
  <c r="O150" i="13" s="1"/>
  <c r="P150" i="13" s="1"/>
  <c r="N151" i="13"/>
  <c r="O151" i="13" s="1"/>
  <c r="P151" i="13" s="1"/>
  <c r="N152" i="13"/>
  <c r="O152" i="13" s="1"/>
  <c r="P152" i="13" s="1"/>
  <c r="N153" i="13"/>
  <c r="O153" i="13" s="1"/>
  <c r="P153" i="13" s="1"/>
  <c r="N154" i="13"/>
  <c r="O154" i="13" s="1"/>
  <c r="P154" i="13" s="1"/>
  <c r="N155" i="13"/>
  <c r="O155" i="13" s="1"/>
  <c r="P155" i="13" s="1"/>
  <c r="N156" i="13"/>
  <c r="O156" i="13" s="1"/>
  <c r="P156" i="13" s="1"/>
  <c r="N157" i="13"/>
  <c r="O157" i="13" s="1"/>
  <c r="P157" i="13" s="1"/>
  <c r="N158" i="13"/>
  <c r="O158" i="13" s="1"/>
  <c r="P158" i="13" s="1"/>
  <c r="N159" i="13"/>
  <c r="O159" i="13" s="1"/>
  <c r="P159" i="13" s="1"/>
  <c r="N160" i="13"/>
  <c r="O160" i="13" s="1"/>
  <c r="P160" i="13" s="1"/>
  <c r="N161" i="13"/>
  <c r="O161" i="13" s="1"/>
  <c r="P161" i="13" s="1"/>
  <c r="N162" i="13"/>
  <c r="O162" i="13" s="1"/>
  <c r="P162" i="13" s="1"/>
  <c r="N163" i="13"/>
  <c r="O163" i="13" s="1"/>
  <c r="P163" i="13" s="1"/>
  <c r="N164" i="13"/>
  <c r="O164" i="13" s="1"/>
  <c r="P164" i="13" s="1"/>
  <c r="N165" i="13"/>
  <c r="O165" i="13" s="1"/>
  <c r="P165" i="13" s="1"/>
  <c r="N166" i="13"/>
  <c r="O166" i="13" s="1"/>
  <c r="P166" i="13" s="1"/>
  <c r="N167" i="13"/>
  <c r="N168" i="13"/>
  <c r="O168" i="13" s="1"/>
  <c r="P168" i="13" s="1"/>
  <c r="N169" i="13"/>
  <c r="O169" i="13" s="1"/>
  <c r="P169" i="13" s="1"/>
  <c r="N170" i="13"/>
  <c r="O170" i="13" s="1"/>
  <c r="P170" i="13" s="1"/>
  <c r="N171" i="13"/>
  <c r="O171" i="13" s="1"/>
  <c r="P171" i="13" s="1"/>
  <c r="N172" i="13"/>
  <c r="O172" i="13" s="1"/>
  <c r="P172" i="13" s="1"/>
  <c r="N173" i="13"/>
  <c r="O173" i="13" s="1"/>
  <c r="P173" i="13" s="1"/>
  <c r="N174" i="13"/>
  <c r="O174" i="13" s="1"/>
  <c r="P174" i="13" s="1"/>
  <c r="N175" i="13"/>
  <c r="O175" i="13" s="1"/>
  <c r="P175" i="13" s="1"/>
  <c r="N176" i="13"/>
  <c r="O176" i="13" s="1"/>
  <c r="P176" i="13" s="1"/>
  <c r="N177" i="13"/>
  <c r="O177" i="13" s="1"/>
  <c r="P177" i="13" s="1"/>
  <c r="N178" i="13"/>
  <c r="O178" i="13" s="1"/>
  <c r="P178" i="13" s="1"/>
  <c r="N179" i="13"/>
  <c r="O179" i="13" s="1"/>
  <c r="P179" i="13" s="1"/>
  <c r="N180" i="13"/>
  <c r="O180" i="13" s="1"/>
  <c r="P180" i="13" s="1"/>
  <c r="N181" i="13"/>
  <c r="O181" i="13" s="1"/>
  <c r="P181" i="13" s="1"/>
  <c r="N182" i="13"/>
  <c r="O182" i="13" s="1"/>
  <c r="P182" i="13" s="1"/>
  <c r="N183" i="13"/>
  <c r="O183" i="13" s="1"/>
  <c r="P183" i="13" s="1"/>
  <c r="N184" i="13"/>
  <c r="O184" i="13" s="1"/>
  <c r="P184" i="13" s="1"/>
  <c r="N185" i="13"/>
  <c r="O185" i="13" s="1"/>
  <c r="P185" i="13" s="1"/>
  <c r="N186" i="13"/>
  <c r="O186" i="13" s="1"/>
  <c r="P186" i="13" s="1"/>
  <c r="N187" i="13"/>
  <c r="O187" i="13" s="1"/>
  <c r="P187" i="13" s="1"/>
  <c r="N188" i="13"/>
  <c r="O188" i="13" s="1"/>
  <c r="P188" i="13" s="1"/>
  <c r="N189" i="13"/>
  <c r="O189" i="13" s="1"/>
  <c r="P189" i="13" s="1"/>
  <c r="N190" i="13"/>
  <c r="O190" i="13" s="1"/>
  <c r="P190" i="13" s="1"/>
  <c r="N191" i="13"/>
  <c r="O191" i="13" s="1"/>
  <c r="P191" i="13" s="1"/>
  <c r="N192" i="13"/>
  <c r="O192" i="13" s="1"/>
  <c r="P192" i="13" s="1"/>
  <c r="N193" i="13"/>
  <c r="O193" i="13" s="1"/>
  <c r="P193" i="13" s="1"/>
  <c r="N194" i="13"/>
  <c r="O194" i="13" s="1"/>
  <c r="P194" i="13" s="1"/>
  <c r="N195" i="13"/>
  <c r="O195" i="13" s="1"/>
  <c r="P195" i="13" s="1"/>
  <c r="N196" i="13"/>
  <c r="O196" i="13" s="1"/>
  <c r="P196" i="13" s="1"/>
  <c r="N197" i="13"/>
  <c r="O197" i="13" s="1"/>
  <c r="P197" i="13" s="1"/>
  <c r="N198" i="13"/>
  <c r="O198" i="13" s="1"/>
  <c r="P198" i="13" s="1"/>
  <c r="N199" i="13"/>
  <c r="N200" i="13"/>
  <c r="O200" i="13" s="1"/>
  <c r="P200" i="13" s="1"/>
  <c r="N201" i="13"/>
  <c r="O201" i="13" s="1"/>
  <c r="P201" i="13" s="1"/>
  <c r="N202" i="13"/>
  <c r="O202" i="13" s="1"/>
  <c r="P202" i="13" s="1"/>
  <c r="N203" i="13"/>
  <c r="O203" i="13" s="1"/>
  <c r="P203" i="13" s="1"/>
  <c r="N204" i="13"/>
  <c r="O204" i="13" s="1"/>
  <c r="P204" i="13" s="1"/>
  <c r="N205" i="13"/>
  <c r="O205" i="13" s="1"/>
  <c r="P205" i="13" s="1"/>
  <c r="N206" i="13"/>
  <c r="O206" i="13" s="1"/>
  <c r="P206" i="13" s="1"/>
  <c r="N207" i="13"/>
  <c r="O207" i="13" s="1"/>
  <c r="P207" i="13" s="1"/>
  <c r="N208" i="13"/>
  <c r="O208" i="13" s="1"/>
  <c r="P208" i="13" s="1"/>
  <c r="N209" i="13"/>
  <c r="O209" i="13" s="1"/>
  <c r="P209" i="13" s="1"/>
  <c r="N210" i="13"/>
  <c r="O210" i="13" s="1"/>
  <c r="P210" i="13" s="1"/>
  <c r="N211" i="13"/>
  <c r="O211" i="13" s="1"/>
  <c r="P211" i="13" s="1"/>
  <c r="N212" i="13"/>
  <c r="O212" i="13" s="1"/>
  <c r="P212" i="13" s="1"/>
  <c r="N213" i="13"/>
  <c r="O213" i="13" s="1"/>
  <c r="P213" i="13" s="1"/>
  <c r="N214" i="13"/>
  <c r="O214" i="13" s="1"/>
  <c r="P214" i="13" s="1"/>
  <c r="N215" i="13"/>
  <c r="O215" i="13" s="1"/>
  <c r="P215" i="13" s="1"/>
  <c r="N216" i="13"/>
  <c r="N217" i="13"/>
  <c r="O217" i="13" s="1"/>
  <c r="P217" i="13" s="1"/>
  <c r="N218" i="13"/>
  <c r="O218" i="13" s="1"/>
  <c r="P218" i="13" s="1"/>
  <c r="N219" i="13"/>
  <c r="O219" i="13" s="1"/>
  <c r="P219" i="13" s="1"/>
  <c r="N220" i="13"/>
  <c r="O220" i="13" s="1"/>
  <c r="P220" i="13" s="1"/>
  <c r="N221" i="13"/>
  <c r="O221" i="13" s="1"/>
  <c r="P221" i="13" s="1"/>
  <c r="N222" i="13"/>
  <c r="O222" i="13" s="1"/>
  <c r="P222" i="13" s="1"/>
  <c r="N223" i="13"/>
  <c r="O223" i="13" s="1"/>
  <c r="P223" i="13" s="1"/>
  <c r="N224" i="13"/>
  <c r="O224" i="13" s="1"/>
  <c r="P224" i="13" s="1"/>
  <c r="N225" i="13"/>
  <c r="O225" i="13" s="1"/>
  <c r="P225" i="13" s="1"/>
  <c r="N226" i="13"/>
  <c r="O226" i="13" s="1"/>
  <c r="P226" i="13" s="1"/>
  <c r="N227" i="13"/>
  <c r="O227" i="13" s="1"/>
  <c r="P227" i="13" s="1"/>
  <c r="N228" i="13"/>
  <c r="O228" i="13" s="1"/>
  <c r="P228" i="13" s="1"/>
  <c r="N229" i="13"/>
  <c r="O229" i="13" s="1"/>
  <c r="P229" i="13" s="1"/>
  <c r="N230" i="13"/>
  <c r="O230" i="13" s="1"/>
  <c r="P230" i="13" s="1"/>
  <c r="N231" i="13"/>
  <c r="O231" i="13" s="1"/>
  <c r="P231" i="13" s="1"/>
  <c r="N232" i="13"/>
  <c r="N233" i="13"/>
  <c r="O233" i="13" s="1"/>
  <c r="P233" i="13" s="1"/>
  <c r="N234" i="13"/>
  <c r="O234" i="13" s="1"/>
  <c r="P234" i="13" s="1"/>
  <c r="N235" i="13"/>
  <c r="O235" i="13" s="1"/>
  <c r="P235" i="13" s="1"/>
  <c r="N236" i="13"/>
  <c r="O236" i="13" s="1"/>
  <c r="P236" i="13" s="1"/>
  <c r="N237" i="13"/>
  <c r="O237" i="13" s="1"/>
  <c r="P237" i="13" s="1"/>
  <c r="N238" i="13"/>
  <c r="O238" i="13" s="1"/>
  <c r="P238" i="13" s="1"/>
  <c r="N239" i="13"/>
  <c r="O239" i="13" s="1"/>
  <c r="P239" i="13" s="1"/>
  <c r="N240" i="13"/>
  <c r="O240" i="13" s="1"/>
  <c r="P240" i="13" s="1"/>
  <c r="N241" i="13"/>
  <c r="O241" i="13" s="1"/>
  <c r="P241" i="13" s="1"/>
  <c r="N242" i="13"/>
  <c r="O242" i="13" s="1"/>
  <c r="P242" i="13" s="1"/>
  <c r="N243" i="13"/>
  <c r="O243" i="13" s="1"/>
  <c r="P243" i="13" s="1"/>
  <c r="N244" i="13"/>
  <c r="O244" i="13" s="1"/>
  <c r="P244" i="13" s="1"/>
  <c r="N245" i="13"/>
  <c r="O245" i="13" s="1"/>
  <c r="P245" i="13" s="1"/>
  <c r="N246" i="13"/>
  <c r="O246" i="13" s="1"/>
  <c r="P246" i="13" s="1"/>
  <c r="N247" i="13"/>
  <c r="O247" i="13" s="1"/>
  <c r="P247" i="13" s="1"/>
  <c r="N248" i="13"/>
  <c r="N249" i="13"/>
  <c r="O249" i="13" s="1"/>
  <c r="P249" i="13" s="1"/>
  <c r="N250" i="13"/>
  <c r="O250" i="13" s="1"/>
  <c r="P250" i="13" s="1"/>
  <c r="N251" i="13"/>
  <c r="O251" i="13" s="1"/>
  <c r="P251" i="13" s="1"/>
  <c r="O4" i="13" l="1"/>
  <c r="P4" i="13" s="1"/>
  <c r="L2" i="15"/>
  <c r="P21" i="13"/>
  <c r="O21" i="13"/>
  <c r="C2" i="15"/>
  <c r="P18" i="13"/>
  <c r="O18" i="13"/>
  <c r="O13" i="13"/>
  <c r="P13" i="13" s="1"/>
  <c r="Q2" i="13" s="1"/>
  <c r="Q5" i="13" s="1"/>
  <c r="Q8" i="13" s="1"/>
  <c r="T29" i="16"/>
  <c r="S29" i="16"/>
  <c r="R29" i="16"/>
  <c r="I2" i="15"/>
  <c r="F2" i="15"/>
  <c r="I6" i="13"/>
  <c r="I3" i="13"/>
  <c r="I4" i="13"/>
  <c r="I5" i="13"/>
  <c r="I7" i="13"/>
  <c r="I8" i="13"/>
  <c r="I9" i="13"/>
  <c r="I10" i="13"/>
  <c r="I11" i="13"/>
  <c r="I12" i="13"/>
  <c r="I13" i="13"/>
  <c r="I14" i="13"/>
  <c r="I15" i="13"/>
  <c r="I16" i="13"/>
  <c r="K16" i="13" s="1"/>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M23" i="16" s="1"/>
  <c r="M25" i="16" s="1"/>
  <c r="M26" i="16" s="1"/>
  <c r="I2" i="13"/>
  <c r="H4" i="13"/>
  <c r="K4" i="13" s="1"/>
  <c r="H5" i="13"/>
  <c r="K5" i="13" s="1"/>
  <c r="H6" i="13"/>
  <c r="K6" i="13" s="1"/>
  <c r="H7" i="13"/>
  <c r="K7" i="13" s="1"/>
  <c r="H8" i="13"/>
  <c r="H9" i="13"/>
  <c r="K9" i="13" s="1"/>
  <c r="H10" i="13"/>
  <c r="H11" i="13"/>
  <c r="K11" i="13" s="1"/>
  <c r="H12" i="13"/>
  <c r="H13" i="13"/>
  <c r="K13" i="13" s="1"/>
  <c r="H14" i="13"/>
  <c r="H15" i="13"/>
  <c r="K15" i="13" s="1"/>
  <c r="H16" i="13"/>
  <c r="H17" i="13"/>
  <c r="K17" i="13" s="1"/>
  <c r="H18" i="13"/>
  <c r="H19" i="13"/>
  <c r="K19" i="13" s="1"/>
  <c r="H20" i="13"/>
  <c r="H21" i="13"/>
  <c r="K21" i="13" s="1"/>
  <c r="H22" i="13"/>
  <c r="H23" i="13"/>
  <c r="K23" i="13" s="1"/>
  <c r="H24" i="13"/>
  <c r="H25" i="13"/>
  <c r="K25" i="13" s="1"/>
  <c r="H26" i="13"/>
  <c r="H27" i="13"/>
  <c r="K27" i="13" s="1"/>
  <c r="H28" i="13"/>
  <c r="H29" i="13"/>
  <c r="K29" i="13" s="1"/>
  <c r="H30" i="13"/>
  <c r="H31" i="13"/>
  <c r="K31" i="13" s="1"/>
  <c r="H32" i="13"/>
  <c r="H33" i="13"/>
  <c r="K33" i="13" s="1"/>
  <c r="H34" i="13"/>
  <c r="H35" i="13"/>
  <c r="K35" i="13" s="1"/>
  <c r="H36" i="13"/>
  <c r="H37" i="13"/>
  <c r="K37" i="13" s="1"/>
  <c r="H38" i="13"/>
  <c r="H39" i="13"/>
  <c r="K39" i="13" s="1"/>
  <c r="H40" i="13"/>
  <c r="H41" i="13"/>
  <c r="K41" i="13" s="1"/>
  <c r="H42" i="13"/>
  <c r="H43" i="13"/>
  <c r="K43" i="13" s="1"/>
  <c r="H44" i="13"/>
  <c r="H45" i="13"/>
  <c r="K45" i="13" s="1"/>
  <c r="H46" i="13"/>
  <c r="H47" i="13"/>
  <c r="K47" i="13" s="1"/>
  <c r="H48" i="13"/>
  <c r="H49" i="13"/>
  <c r="K49" i="13" s="1"/>
  <c r="H50" i="13"/>
  <c r="H51" i="13"/>
  <c r="K51" i="13" s="1"/>
  <c r="H52" i="13"/>
  <c r="H53" i="13"/>
  <c r="K53" i="13" s="1"/>
  <c r="H54" i="13"/>
  <c r="H55" i="13"/>
  <c r="K55" i="13" s="1"/>
  <c r="H56" i="13"/>
  <c r="H57" i="13"/>
  <c r="K57" i="13" s="1"/>
  <c r="H58" i="13"/>
  <c r="H59" i="13"/>
  <c r="K59" i="13" s="1"/>
  <c r="H60" i="13"/>
  <c r="H61" i="13"/>
  <c r="K61" i="13" s="1"/>
  <c r="H62" i="13"/>
  <c r="H63" i="13"/>
  <c r="K63" i="13" s="1"/>
  <c r="H64" i="13"/>
  <c r="H65" i="13"/>
  <c r="K65" i="13" s="1"/>
  <c r="H66" i="13"/>
  <c r="H67" i="13"/>
  <c r="K67" i="13" s="1"/>
  <c r="H68" i="13"/>
  <c r="H69" i="13"/>
  <c r="K69" i="13" s="1"/>
  <c r="H70" i="13"/>
  <c r="H71" i="13"/>
  <c r="K71" i="13" s="1"/>
  <c r="H72" i="13"/>
  <c r="H73" i="13"/>
  <c r="K73" i="13" s="1"/>
  <c r="H74" i="13"/>
  <c r="H75" i="13"/>
  <c r="K75" i="13" s="1"/>
  <c r="H76" i="13"/>
  <c r="H77" i="13"/>
  <c r="K77" i="13" s="1"/>
  <c r="H78" i="13"/>
  <c r="H79" i="13"/>
  <c r="K79" i="13" s="1"/>
  <c r="H80" i="13"/>
  <c r="H81" i="13"/>
  <c r="K81" i="13" s="1"/>
  <c r="H82" i="13"/>
  <c r="H83" i="13"/>
  <c r="K83" i="13" s="1"/>
  <c r="H84" i="13"/>
  <c r="H85" i="13"/>
  <c r="K85" i="13" s="1"/>
  <c r="H86" i="13"/>
  <c r="H87" i="13"/>
  <c r="K87" i="13" s="1"/>
  <c r="H88" i="13"/>
  <c r="H89" i="13"/>
  <c r="K89" i="13" s="1"/>
  <c r="H90" i="13"/>
  <c r="H91" i="13"/>
  <c r="K91" i="13" s="1"/>
  <c r="H92" i="13"/>
  <c r="H93" i="13"/>
  <c r="K93" i="13" s="1"/>
  <c r="H94" i="13"/>
  <c r="H95" i="13"/>
  <c r="K95" i="13" s="1"/>
  <c r="H96" i="13"/>
  <c r="H97" i="13"/>
  <c r="K97" i="13" s="1"/>
  <c r="H98" i="13"/>
  <c r="H99" i="13"/>
  <c r="K99" i="13" s="1"/>
  <c r="H100" i="13"/>
  <c r="H101" i="13"/>
  <c r="K101" i="13" s="1"/>
  <c r="H102" i="13"/>
  <c r="H103" i="13"/>
  <c r="K103" i="13" s="1"/>
  <c r="H104" i="13"/>
  <c r="H105" i="13"/>
  <c r="K105" i="13" s="1"/>
  <c r="H106" i="13"/>
  <c r="H107" i="13"/>
  <c r="K107" i="13" s="1"/>
  <c r="H108" i="13"/>
  <c r="H109" i="13"/>
  <c r="K109" i="13" s="1"/>
  <c r="H110" i="13"/>
  <c r="H111" i="13"/>
  <c r="K111" i="13" s="1"/>
  <c r="H112" i="13"/>
  <c r="H113" i="13"/>
  <c r="K113" i="13" s="1"/>
  <c r="H114" i="13"/>
  <c r="H115" i="13"/>
  <c r="K115" i="13" s="1"/>
  <c r="H116" i="13"/>
  <c r="H117" i="13"/>
  <c r="K117" i="13" s="1"/>
  <c r="H118" i="13"/>
  <c r="H119" i="13"/>
  <c r="K119" i="13" s="1"/>
  <c r="H120" i="13"/>
  <c r="H121" i="13"/>
  <c r="K121" i="13" s="1"/>
  <c r="H122" i="13"/>
  <c r="H123" i="13"/>
  <c r="K123" i="13" s="1"/>
  <c r="H124" i="13"/>
  <c r="H125" i="13"/>
  <c r="K125" i="13" s="1"/>
  <c r="H126" i="13"/>
  <c r="H127" i="13"/>
  <c r="K127" i="13" s="1"/>
  <c r="H128" i="13"/>
  <c r="H129" i="13"/>
  <c r="K129" i="13" s="1"/>
  <c r="H130" i="13"/>
  <c r="H131" i="13"/>
  <c r="K131" i="13" s="1"/>
  <c r="H132" i="13"/>
  <c r="H133" i="13"/>
  <c r="K133" i="13" s="1"/>
  <c r="H134" i="13"/>
  <c r="H135" i="13"/>
  <c r="K135" i="13" s="1"/>
  <c r="H136" i="13"/>
  <c r="H137" i="13"/>
  <c r="K137" i="13" s="1"/>
  <c r="H138" i="13"/>
  <c r="H139" i="13"/>
  <c r="K139" i="13" s="1"/>
  <c r="H140" i="13"/>
  <c r="H141" i="13"/>
  <c r="K141" i="13" s="1"/>
  <c r="H142" i="13"/>
  <c r="H143" i="13"/>
  <c r="K143" i="13" s="1"/>
  <c r="H144" i="13"/>
  <c r="H145" i="13"/>
  <c r="K145" i="13" s="1"/>
  <c r="H146" i="13"/>
  <c r="H147" i="13"/>
  <c r="K147" i="13" s="1"/>
  <c r="H148" i="13"/>
  <c r="H149" i="13"/>
  <c r="K149" i="13" s="1"/>
  <c r="H150" i="13"/>
  <c r="H151" i="13"/>
  <c r="K151" i="13" s="1"/>
  <c r="H152" i="13"/>
  <c r="H153" i="13"/>
  <c r="K153" i="13" s="1"/>
  <c r="H154" i="13"/>
  <c r="H155" i="13"/>
  <c r="K155" i="13" s="1"/>
  <c r="H156" i="13"/>
  <c r="H157" i="13"/>
  <c r="K157" i="13" s="1"/>
  <c r="H158" i="13"/>
  <c r="H159" i="13"/>
  <c r="K159" i="13" s="1"/>
  <c r="H160" i="13"/>
  <c r="H161" i="13"/>
  <c r="K161" i="13" s="1"/>
  <c r="H162" i="13"/>
  <c r="H163" i="13"/>
  <c r="K163" i="13" s="1"/>
  <c r="H164" i="13"/>
  <c r="H165" i="13"/>
  <c r="K165" i="13" s="1"/>
  <c r="H166" i="13"/>
  <c r="H167" i="13"/>
  <c r="K167" i="13" s="1"/>
  <c r="H168" i="13"/>
  <c r="H169" i="13"/>
  <c r="K169" i="13" s="1"/>
  <c r="H170" i="13"/>
  <c r="H171" i="13"/>
  <c r="K171" i="13" s="1"/>
  <c r="H172" i="13"/>
  <c r="H173" i="13"/>
  <c r="K173" i="13" s="1"/>
  <c r="H174" i="13"/>
  <c r="H175" i="13"/>
  <c r="K175" i="13" s="1"/>
  <c r="H176" i="13"/>
  <c r="H177" i="13"/>
  <c r="K177" i="13" s="1"/>
  <c r="H178" i="13"/>
  <c r="H179" i="13"/>
  <c r="K179" i="13" s="1"/>
  <c r="H180" i="13"/>
  <c r="H181" i="13"/>
  <c r="K181" i="13" s="1"/>
  <c r="H182" i="13"/>
  <c r="H183" i="13"/>
  <c r="K183" i="13" s="1"/>
  <c r="H184" i="13"/>
  <c r="H185" i="13"/>
  <c r="K185" i="13" s="1"/>
  <c r="H186" i="13"/>
  <c r="H187" i="13"/>
  <c r="K187" i="13" s="1"/>
  <c r="H188" i="13"/>
  <c r="H189" i="13"/>
  <c r="K189" i="13" s="1"/>
  <c r="H190" i="13"/>
  <c r="H191" i="13"/>
  <c r="K191" i="13" s="1"/>
  <c r="H192" i="13"/>
  <c r="H193" i="13"/>
  <c r="K193" i="13" s="1"/>
  <c r="H194" i="13"/>
  <c r="H195" i="13"/>
  <c r="K195" i="13" s="1"/>
  <c r="H196" i="13"/>
  <c r="H197" i="13"/>
  <c r="K197" i="13" s="1"/>
  <c r="H198" i="13"/>
  <c r="H199" i="13"/>
  <c r="K199" i="13" s="1"/>
  <c r="H200" i="13"/>
  <c r="H201" i="13"/>
  <c r="K201" i="13" s="1"/>
  <c r="H202" i="13"/>
  <c r="H203" i="13"/>
  <c r="K203" i="13" s="1"/>
  <c r="H204" i="13"/>
  <c r="H205" i="13"/>
  <c r="K205" i="13" s="1"/>
  <c r="H206" i="13"/>
  <c r="H207" i="13"/>
  <c r="K207" i="13" s="1"/>
  <c r="H208" i="13"/>
  <c r="H209" i="13"/>
  <c r="K209" i="13" s="1"/>
  <c r="H210" i="13"/>
  <c r="H211" i="13"/>
  <c r="K211" i="13" s="1"/>
  <c r="H212" i="13"/>
  <c r="H213" i="13"/>
  <c r="K213" i="13" s="1"/>
  <c r="H214" i="13"/>
  <c r="H215" i="13"/>
  <c r="K215" i="13" s="1"/>
  <c r="H216" i="13"/>
  <c r="H217" i="13"/>
  <c r="K217" i="13" s="1"/>
  <c r="H218" i="13"/>
  <c r="H219" i="13"/>
  <c r="K219" i="13" s="1"/>
  <c r="H220" i="13"/>
  <c r="H221" i="13"/>
  <c r="K221" i="13" s="1"/>
  <c r="H222" i="13"/>
  <c r="H223" i="13"/>
  <c r="K223" i="13" s="1"/>
  <c r="H224" i="13"/>
  <c r="H225" i="13"/>
  <c r="K225" i="13" s="1"/>
  <c r="H226" i="13"/>
  <c r="H227" i="13"/>
  <c r="K227" i="13" s="1"/>
  <c r="H228" i="13"/>
  <c r="H229" i="13"/>
  <c r="K229" i="13" s="1"/>
  <c r="H230" i="13"/>
  <c r="H231" i="13"/>
  <c r="K231" i="13" s="1"/>
  <c r="H232" i="13"/>
  <c r="H233" i="13"/>
  <c r="K233" i="13" s="1"/>
  <c r="H234" i="13"/>
  <c r="H235" i="13"/>
  <c r="K235" i="13" s="1"/>
  <c r="H236" i="13"/>
  <c r="H237" i="13"/>
  <c r="K237" i="13" s="1"/>
  <c r="H238" i="13"/>
  <c r="H239" i="13"/>
  <c r="K239" i="13" s="1"/>
  <c r="H240" i="13"/>
  <c r="H241" i="13"/>
  <c r="K241" i="13" s="1"/>
  <c r="H242" i="13"/>
  <c r="H243" i="13"/>
  <c r="K243" i="13" s="1"/>
  <c r="H244" i="13"/>
  <c r="H245" i="13"/>
  <c r="K245" i="13" s="1"/>
  <c r="H246" i="13"/>
  <c r="H247" i="13"/>
  <c r="K247" i="13" s="1"/>
  <c r="H248" i="13"/>
  <c r="H249" i="13"/>
  <c r="K249" i="13" s="1"/>
  <c r="H250" i="13"/>
  <c r="H251" i="13"/>
  <c r="K251" i="13" s="1"/>
  <c r="G4" i="13"/>
  <c r="J4" i="13" s="1"/>
  <c r="J5" i="13"/>
  <c r="J6" i="13"/>
  <c r="G7" i="13"/>
  <c r="J7" i="13" s="1"/>
  <c r="G8" i="13"/>
  <c r="G9" i="13"/>
  <c r="J9" i="13" s="1"/>
  <c r="G10" i="13"/>
  <c r="G11" i="13"/>
  <c r="J11" i="13" s="1"/>
  <c r="G12" i="13"/>
  <c r="G13" i="13"/>
  <c r="J13" i="13" s="1"/>
  <c r="G14" i="13"/>
  <c r="G15" i="13"/>
  <c r="J15" i="13" s="1"/>
  <c r="G16" i="13"/>
  <c r="G17" i="13"/>
  <c r="J17" i="13" s="1"/>
  <c r="G18" i="13"/>
  <c r="G19" i="13"/>
  <c r="J19" i="13" s="1"/>
  <c r="G20" i="13"/>
  <c r="G21" i="13"/>
  <c r="J21" i="13" s="1"/>
  <c r="G22" i="13"/>
  <c r="G23" i="13"/>
  <c r="J23" i="13" s="1"/>
  <c r="G24" i="13"/>
  <c r="G25" i="13"/>
  <c r="J25" i="13" s="1"/>
  <c r="G26" i="13"/>
  <c r="G27" i="13"/>
  <c r="J27" i="13" s="1"/>
  <c r="G28" i="13"/>
  <c r="G29" i="13"/>
  <c r="J29" i="13" s="1"/>
  <c r="G30" i="13"/>
  <c r="G31" i="13"/>
  <c r="J31" i="13" s="1"/>
  <c r="G32" i="13"/>
  <c r="G33" i="13"/>
  <c r="J33" i="13" s="1"/>
  <c r="G34" i="13"/>
  <c r="G35" i="13"/>
  <c r="J35" i="13" s="1"/>
  <c r="G36" i="13"/>
  <c r="G37" i="13"/>
  <c r="J37" i="13" s="1"/>
  <c r="G38" i="13"/>
  <c r="G39" i="13"/>
  <c r="J39" i="13" s="1"/>
  <c r="G40" i="13"/>
  <c r="G41" i="13"/>
  <c r="J41" i="13" s="1"/>
  <c r="G42" i="13"/>
  <c r="G43" i="13"/>
  <c r="J43" i="13" s="1"/>
  <c r="G44" i="13"/>
  <c r="G45" i="13"/>
  <c r="J45" i="13" s="1"/>
  <c r="G46" i="13"/>
  <c r="G47" i="13"/>
  <c r="J47" i="13" s="1"/>
  <c r="G48" i="13"/>
  <c r="G49" i="13"/>
  <c r="J49" i="13" s="1"/>
  <c r="G50" i="13"/>
  <c r="G51" i="13"/>
  <c r="J51" i="13" s="1"/>
  <c r="G52" i="13"/>
  <c r="G53" i="13"/>
  <c r="J53" i="13" s="1"/>
  <c r="G54" i="13"/>
  <c r="G55" i="13"/>
  <c r="J55" i="13" s="1"/>
  <c r="G56" i="13"/>
  <c r="G57" i="13"/>
  <c r="J57" i="13" s="1"/>
  <c r="G58" i="13"/>
  <c r="G59" i="13"/>
  <c r="J59" i="13" s="1"/>
  <c r="G60" i="13"/>
  <c r="G61" i="13"/>
  <c r="J61" i="13" s="1"/>
  <c r="G62" i="13"/>
  <c r="G63" i="13"/>
  <c r="J63" i="13" s="1"/>
  <c r="G64" i="13"/>
  <c r="G65" i="13"/>
  <c r="J65" i="13" s="1"/>
  <c r="G66" i="13"/>
  <c r="G67" i="13"/>
  <c r="J67" i="13" s="1"/>
  <c r="G68" i="13"/>
  <c r="G69" i="13"/>
  <c r="J69" i="13" s="1"/>
  <c r="G70" i="13"/>
  <c r="G71" i="13"/>
  <c r="J71" i="13" s="1"/>
  <c r="G72" i="13"/>
  <c r="G73" i="13"/>
  <c r="J73" i="13" s="1"/>
  <c r="G74" i="13"/>
  <c r="G75" i="13"/>
  <c r="J75" i="13" s="1"/>
  <c r="G76" i="13"/>
  <c r="G77" i="13"/>
  <c r="J77" i="13" s="1"/>
  <c r="G78" i="13"/>
  <c r="J78" i="13" s="1"/>
  <c r="G79" i="13"/>
  <c r="J79" i="13" s="1"/>
  <c r="G80" i="13"/>
  <c r="G81" i="13"/>
  <c r="J81" i="13" s="1"/>
  <c r="G82" i="13"/>
  <c r="J82" i="13" s="1"/>
  <c r="G83" i="13"/>
  <c r="J83" i="13" s="1"/>
  <c r="G84" i="13"/>
  <c r="G85" i="13"/>
  <c r="J85" i="13" s="1"/>
  <c r="G86" i="13"/>
  <c r="J86" i="13" s="1"/>
  <c r="G87" i="13"/>
  <c r="J87" i="13" s="1"/>
  <c r="G88" i="13"/>
  <c r="G89" i="13"/>
  <c r="J89" i="13" s="1"/>
  <c r="G90" i="13"/>
  <c r="J90" i="13" s="1"/>
  <c r="G91" i="13"/>
  <c r="J91" i="13" s="1"/>
  <c r="G92" i="13"/>
  <c r="G93" i="13"/>
  <c r="J93" i="13" s="1"/>
  <c r="G94" i="13"/>
  <c r="J94" i="13" s="1"/>
  <c r="G95" i="13"/>
  <c r="J95" i="13" s="1"/>
  <c r="G96" i="13"/>
  <c r="G97" i="13"/>
  <c r="J97" i="13" s="1"/>
  <c r="G98" i="13"/>
  <c r="J98" i="13" s="1"/>
  <c r="G99" i="13"/>
  <c r="J99" i="13" s="1"/>
  <c r="G100" i="13"/>
  <c r="G101" i="13"/>
  <c r="J101" i="13" s="1"/>
  <c r="G102" i="13"/>
  <c r="J102" i="13" s="1"/>
  <c r="G103" i="13"/>
  <c r="J103" i="13" s="1"/>
  <c r="G104" i="13"/>
  <c r="G105" i="13"/>
  <c r="J105" i="13" s="1"/>
  <c r="G106" i="13"/>
  <c r="J106" i="13" s="1"/>
  <c r="G107" i="13"/>
  <c r="J107" i="13" s="1"/>
  <c r="G108" i="13"/>
  <c r="G109" i="13"/>
  <c r="J109" i="13" s="1"/>
  <c r="G110" i="13"/>
  <c r="J110" i="13" s="1"/>
  <c r="G111" i="13"/>
  <c r="J111" i="13" s="1"/>
  <c r="G112" i="13"/>
  <c r="G113" i="13"/>
  <c r="J113" i="13" s="1"/>
  <c r="G114" i="13"/>
  <c r="J114" i="13" s="1"/>
  <c r="G115" i="13"/>
  <c r="J115" i="13" s="1"/>
  <c r="G116" i="13"/>
  <c r="G117" i="13"/>
  <c r="J117" i="13" s="1"/>
  <c r="G118" i="13"/>
  <c r="J118" i="13" s="1"/>
  <c r="G119" i="13"/>
  <c r="J119" i="13" s="1"/>
  <c r="G120" i="13"/>
  <c r="G121" i="13"/>
  <c r="J121" i="13" s="1"/>
  <c r="G122" i="13"/>
  <c r="J122" i="13" s="1"/>
  <c r="G123" i="13"/>
  <c r="J123" i="13" s="1"/>
  <c r="G124" i="13"/>
  <c r="G125" i="13"/>
  <c r="J125" i="13" s="1"/>
  <c r="G126" i="13"/>
  <c r="J126" i="13" s="1"/>
  <c r="G127" i="13"/>
  <c r="J127" i="13" s="1"/>
  <c r="G128" i="13"/>
  <c r="G129" i="13"/>
  <c r="J129" i="13" s="1"/>
  <c r="G130" i="13"/>
  <c r="J130" i="13" s="1"/>
  <c r="G131" i="13"/>
  <c r="J131" i="13" s="1"/>
  <c r="G132" i="13"/>
  <c r="G133" i="13"/>
  <c r="J133" i="13" s="1"/>
  <c r="G134" i="13"/>
  <c r="J134" i="13" s="1"/>
  <c r="G135" i="13"/>
  <c r="J135" i="13" s="1"/>
  <c r="G136" i="13"/>
  <c r="G137" i="13"/>
  <c r="J137" i="13" s="1"/>
  <c r="G138" i="13"/>
  <c r="J138" i="13" s="1"/>
  <c r="G139" i="13"/>
  <c r="J139" i="13" s="1"/>
  <c r="G140" i="13"/>
  <c r="G141" i="13"/>
  <c r="J141" i="13" s="1"/>
  <c r="G142" i="13"/>
  <c r="J142" i="13" s="1"/>
  <c r="G143" i="13"/>
  <c r="J143" i="13" s="1"/>
  <c r="G144" i="13"/>
  <c r="G145" i="13"/>
  <c r="J145" i="13" s="1"/>
  <c r="G146" i="13"/>
  <c r="J146" i="13" s="1"/>
  <c r="G147" i="13"/>
  <c r="J147" i="13" s="1"/>
  <c r="G148" i="13"/>
  <c r="G149" i="13"/>
  <c r="J149" i="13" s="1"/>
  <c r="G150" i="13"/>
  <c r="J150" i="13" s="1"/>
  <c r="G151" i="13"/>
  <c r="J151" i="13" s="1"/>
  <c r="G152" i="13"/>
  <c r="G153" i="13"/>
  <c r="J153" i="13" s="1"/>
  <c r="G154" i="13"/>
  <c r="J154" i="13" s="1"/>
  <c r="G155" i="13"/>
  <c r="J155" i="13" s="1"/>
  <c r="G156" i="13"/>
  <c r="G157" i="13"/>
  <c r="J157" i="13" s="1"/>
  <c r="G158" i="13"/>
  <c r="J158" i="13" s="1"/>
  <c r="G159" i="13"/>
  <c r="J159" i="13" s="1"/>
  <c r="G160" i="13"/>
  <c r="G161" i="13"/>
  <c r="J161" i="13" s="1"/>
  <c r="G162" i="13"/>
  <c r="J162" i="13" s="1"/>
  <c r="G163" i="13"/>
  <c r="J163" i="13" s="1"/>
  <c r="G164" i="13"/>
  <c r="G165" i="13"/>
  <c r="J165" i="13" s="1"/>
  <c r="G166" i="13"/>
  <c r="J166" i="13" s="1"/>
  <c r="G167" i="13"/>
  <c r="J167" i="13" s="1"/>
  <c r="G168" i="13"/>
  <c r="G169" i="13"/>
  <c r="J169" i="13" s="1"/>
  <c r="G170" i="13"/>
  <c r="J170" i="13" s="1"/>
  <c r="G171" i="13"/>
  <c r="J171" i="13" s="1"/>
  <c r="G172" i="13"/>
  <c r="G173" i="13"/>
  <c r="J173" i="13" s="1"/>
  <c r="G174" i="13"/>
  <c r="J174" i="13" s="1"/>
  <c r="G175" i="13"/>
  <c r="J175" i="13" s="1"/>
  <c r="G176" i="13"/>
  <c r="G177" i="13"/>
  <c r="J177" i="13" s="1"/>
  <c r="G178" i="13"/>
  <c r="J178" i="13" s="1"/>
  <c r="G179" i="13"/>
  <c r="J179" i="13" s="1"/>
  <c r="G180" i="13"/>
  <c r="G181" i="13"/>
  <c r="J181" i="13" s="1"/>
  <c r="G182" i="13"/>
  <c r="J182" i="13" s="1"/>
  <c r="G183" i="13"/>
  <c r="J183" i="13" s="1"/>
  <c r="G184" i="13"/>
  <c r="G185" i="13"/>
  <c r="J185" i="13" s="1"/>
  <c r="G186" i="13"/>
  <c r="J186" i="13" s="1"/>
  <c r="G187" i="13"/>
  <c r="J187" i="13" s="1"/>
  <c r="G188" i="13"/>
  <c r="G189" i="13"/>
  <c r="J189" i="13" s="1"/>
  <c r="G190" i="13"/>
  <c r="J190" i="13" s="1"/>
  <c r="G191" i="13"/>
  <c r="J191" i="13" s="1"/>
  <c r="G192" i="13"/>
  <c r="G193" i="13"/>
  <c r="J193" i="13" s="1"/>
  <c r="G194" i="13"/>
  <c r="J194" i="13" s="1"/>
  <c r="G195" i="13"/>
  <c r="J195" i="13" s="1"/>
  <c r="G196" i="13"/>
  <c r="G197" i="13"/>
  <c r="J197" i="13" s="1"/>
  <c r="G198" i="13"/>
  <c r="J198" i="13" s="1"/>
  <c r="G199" i="13"/>
  <c r="J199" i="13" s="1"/>
  <c r="G200" i="13"/>
  <c r="G201" i="13"/>
  <c r="J201" i="13" s="1"/>
  <c r="G202" i="13"/>
  <c r="J202" i="13" s="1"/>
  <c r="G203" i="13"/>
  <c r="J203" i="13" s="1"/>
  <c r="G204" i="13"/>
  <c r="G205" i="13"/>
  <c r="J205" i="13" s="1"/>
  <c r="G206" i="13"/>
  <c r="J206" i="13" s="1"/>
  <c r="G207" i="13"/>
  <c r="J207" i="13" s="1"/>
  <c r="G208" i="13"/>
  <c r="G209" i="13"/>
  <c r="J209" i="13" s="1"/>
  <c r="G210" i="13"/>
  <c r="J210" i="13" s="1"/>
  <c r="G211" i="13"/>
  <c r="J211" i="13" s="1"/>
  <c r="G212" i="13"/>
  <c r="G213" i="13"/>
  <c r="J213" i="13" s="1"/>
  <c r="G214" i="13"/>
  <c r="J214" i="13" s="1"/>
  <c r="G215" i="13"/>
  <c r="J215" i="13" s="1"/>
  <c r="G216" i="13"/>
  <c r="G217" i="13"/>
  <c r="J217" i="13" s="1"/>
  <c r="G218" i="13"/>
  <c r="J218" i="13" s="1"/>
  <c r="G219" i="13"/>
  <c r="J219" i="13" s="1"/>
  <c r="G220" i="13"/>
  <c r="G221" i="13"/>
  <c r="J221" i="13" s="1"/>
  <c r="G222" i="13"/>
  <c r="J222" i="13" s="1"/>
  <c r="G223" i="13"/>
  <c r="J223" i="13" s="1"/>
  <c r="G224" i="13"/>
  <c r="G225" i="13"/>
  <c r="J225" i="13" s="1"/>
  <c r="G226" i="13"/>
  <c r="J226" i="13" s="1"/>
  <c r="G227" i="13"/>
  <c r="J227" i="13" s="1"/>
  <c r="G228" i="13"/>
  <c r="G229" i="13"/>
  <c r="J229" i="13" s="1"/>
  <c r="G230" i="13"/>
  <c r="J230" i="13" s="1"/>
  <c r="G231" i="13"/>
  <c r="J231" i="13" s="1"/>
  <c r="G232" i="13"/>
  <c r="G233" i="13"/>
  <c r="J233" i="13" s="1"/>
  <c r="G234" i="13"/>
  <c r="J234" i="13" s="1"/>
  <c r="G235" i="13"/>
  <c r="J235" i="13" s="1"/>
  <c r="G236" i="13"/>
  <c r="G237" i="13"/>
  <c r="J237" i="13" s="1"/>
  <c r="G238" i="13"/>
  <c r="J238" i="13" s="1"/>
  <c r="G239" i="13"/>
  <c r="J239" i="13" s="1"/>
  <c r="G240" i="13"/>
  <c r="G241" i="13"/>
  <c r="J241" i="13" s="1"/>
  <c r="G242" i="13"/>
  <c r="J242" i="13" s="1"/>
  <c r="G243" i="13"/>
  <c r="J243" i="13" s="1"/>
  <c r="G244" i="13"/>
  <c r="G245" i="13"/>
  <c r="J245" i="13" s="1"/>
  <c r="G246" i="13"/>
  <c r="J246" i="13" s="1"/>
  <c r="G247" i="13"/>
  <c r="J247" i="13" s="1"/>
  <c r="G248" i="13"/>
  <c r="G249" i="13"/>
  <c r="J249" i="13" s="1"/>
  <c r="G250" i="13"/>
  <c r="J250" i="13" s="1"/>
  <c r="J251" i="13"/>
  <c r="H3" i="13"/>
  <c r="G3" i="13"/>
  <c r="F2"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J74" i="13" l="1"/>
  <c r="J70" i="13"/>
  <c r="J66" i="13"/>
  <c r="J62" i="13"/>
  <c r="J58" i="13"/>
  <c r="J54" i="13"/>
  <c r="J50" i="13"/>
  <c r="J46" i="13"/>
  <c r="J42" i="13"/>
  <c r="J38" i="13"/>
  <c r="J34" i="13"/>
  <c r="J30" i="13"/>
  <c r="J26" i="13"/>
  <c r="J22" i="13"/>
  <c r="J18" i="13"/>
  <c r="J14" i="13"/>
  <c r="J10" i="13"/>
  <c r="K250" i="13"/>
  <c r="K246" i="13"/>
  <c r="K242" i="13"/>
  <c r="K238" i="13"/>
  <c r="K234" i="13"/>
  <c r="K230" i="13"/>
  <c r="K226" i="13"/>
  <c r="K222" i="13"/>
  <c r="K218" i="13"/>
  <c r="K214" i="13"/>
  <c r="K210" i="13"/>
  <c r="K206" i="13"/>
  <c r="K202" i="13"/>
  <c r="K198" i="13"/>
  <c r="K194" i="13"/>
  <c r="K190" i="13"/>
  <c r="K186" i="13"/>
  <c r="K182" i="13"/>
  <c r="K178" i="13"/>
  <c r="K174" i="13"/>
  <c r="K170" i="13"/>
  <c r="K166" i="13"/>
  <c r="K162" i="13"/>
  <c r="K158" i="13"/>
  <c r="K154" i="13"/>
  <c r="K150" i="13"/>
  <c r="K146" i="13"/>
  <c r="K142" i="13"/>
  <c r="K138" i="13"/>
  <c r="K134" i="13"/>
  <c r="K130" i="13"/>
  <c r="K126" i="13"/>
  <c r="K122" i="13"/>
  <c r="K118" i="13"/>
  <c r="K114" i="13"/>
  <c r="K110" i="13"/>
  <c r="K106" i="13"/>
  <c r="K102" i="13"/>
  <c r="K98" i="13"/>
  <c r="K94" i="13"/>
  <c r="K90" i="13"/>
  <c r="K86" i="13"/>
  <c r="K82" i="13"/>
  <c r="K78" i="13"/>
  <c r="K74" i="13"/>
  <c r="K70" i="13"/>
  <c r="K66" i="13"/>
  <c r="K62" i="13"/>
  <c r="K58" i="13"/>
  <c r="K54" i="13"/>
  <c r="K50" i="13"/>
  <c r="K46" i="13"/>
  <c r="K42" i="13"/>
  <c r="K38" i="13"/>
  <c r="K34" i="13"/>
  <c r="K30" i="13"/>
  <c r="K26" i="13"/>
  <c r="K22" i="13"/>
  <c r="K18" i="13"/>
  <c r="K14" i="13"/>
  <c r="K10" i="13"/>
  <c r="J3" i="13"/>
  <c r="K3" i="13"/>
  <c r="J248" i="13"/>
  <c r="J244" i="13"/>
  <c r="J240" i="13"/>
  <c r="J236" i="13"/>
  <c r="J232" i="13"/>
  <c r="J228" i="13"/>
  <c r="J224" i="13"/>
  <c r="J220" i="13"/>
  <c r="J216" i="13"/>
  <c r="J212" i="13"/>
  <c r="J208" i="13"/>
  <c r="J204" i="13"/>
  <c r="J200" i="13"/>
  <c r="J196" i="13"/>
  <c r="J192" i="13"/>
  <c r="J188" i="13"/>
  <c r="J184" i="13"/>
  <c r="J180" i="13"/>
  <c r="J176" i="13"/>
  <c r="J172" i="13"/>
  <c r="J168" i="13"/>
  <c r="J164" i="13"/>
  <c r="J160" i="13"/>
  <c r="J156" i="13"/>
  <c r="J152" i="13"/>
  <c r="J148" i="13"/>
  <c r="J144" i="13"/>
  <c r="J140" i="13"/>
  <c r="J136" i="13"/>
  <c r="J132" i="13"/>
  <c r="J128" i="13"/>
  <c r="J124" i="13"/>
  <c r="J120" i="13"/>
  <c r="J116" i="13"/>
  <c r="J112" i="13"/>
  <c r="J108" i="13"/>
  <c r="J104" i="13"/>
  <c r="J100" i="13"/>
  <c r="J96" i="13"/>
  <c r="J92" i="13"/>
  <c r="J88" i="13"/>
  <c r="J84" i="13"/>
  <c r="J80" i="13"/>
  <c r="J76" i="13"/>
  <c r="J72" i="13"/>
  <c r="J68" i="13"/>
  <c r="J64" i="13"/>
  <c r="J60" i="13"/>
  <c r="J56" i="13"/>
  <c r="J52" i="13"/>
  <c r="J48" i="13"/>
  <c r="J44" i="13"/>
  <c r="J40" i="13"/>
  <c r="J36" i="13"/>
  <c r="J32" i="13"/>
  <c r="J28" i="13"/>
  <c r="J24" i="13"/>
  <c r="J20" i="13"/>
  <c r="J16" i="13"/>
  <c r="J12" i="13"/>
  <c r="J8" i="13"/>
  <c r="K248" i="13"/>
  <c r="K244" i="13"/>
  <c r="K240" i="13"/>
  <c r="K236" i="13"/>
  <c r="K232" i="13"/>
  <c r="K228" i="13"/>
  <c r="K224" i="13"/>
  <c r="K220" i="13"/>
  <c r="K216" i="13"/>
  <c r="K212" i="13"/>
  <c r="K208" i="13"/>
  <c r="K204" i="13"/>
  <c r="K200" i="13"/>
  <c r="K196" i="13"/>
  <c r="K192" i="13"/>
  <c r="K188" i="13"/>
  <c r="K184" i="13"/>
  <c r="K180" i="13"/>
  <c r="K176" i="13"/>
  <c r="K172" i="13"/>
  <c r="K168" i="13"/>
  <c r="K164" i="13"/>
  <c r="K160" i="13"/>
  <c r="K156" i="13"/>
  <c r="K152" i="13"/>
  <c r="K148" i="13"/>
  <c r="K144" i="13"/>
  <c r="K140" i="13"/>
  <c r="K136" i="13"/>
  <c r="K132"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2" i="13"/>
  <c r="K8" i="13"/>
  <c r="X13" i="3"/>
  <c r="U20" i="3"/>
  <c r="X21" i="3"/>
  <c r="U24" i="3"/>
  <c r="O11" i="3"/>
  <c r="P11" i="3"/>
  <c r="Q11" i="3"/>
  <c r="R11" i="3"/>
  <c r="N11" i="3"/>
  <c r="N5" i="3"/>
  <c r="O5" i="3"/>
  <c r="P5" i="3"/>
  <c r="Q5" i="3"/>
  <c r="R5" i="3"/>
  <c r="N6" i="3"/>
  <c r="O6" i="3"/>
  <c r="P6" i="3"/>
  <c r="Q6" i="3"/>
  <c r="R6" i="3"/>
  <c r="N7" i="3"/>
  <c r="O7" i="3"/>
  <c r="P7" i="3"/>
  <c r="Q7" i="3"/>
  <c r="R7" i="3"/>
  <c r="N9" i="3"/>
  <c r="O9" i="3"/>
  <c r="P9" i="3"/>
  <c r="Q9" i="3"/>
  <c r="R9" i="3"/>
  <c r="N10" i="3"/>
  <c r="O10" i="3"/>
  <c r="P10" i="3"/>
  <c r="Q10" i="3"/>
  <c r="R10" i="3"/>
  <c r="N12" i="3"/>
  <c r="O12" i="3"/>
  <c r="P12" i="3"/>
  <c r="Q12" i="3"/>
  <c r="R12" i="3"/>
  <c r="N13" i="3"/>
  <c r="O13" i="3"/>
  <c r="P13" i="3"/>
  <c r="Q13" i="3"/>
  <c r="R13" i="3"/>
  <c r="N15" i="3"/>
  <c r="O15" i="3"/>
  <c r="P15" i="3"/>
  <c r="Q15" i="3"/>
  <c r="R15" i="3"/>
  <c r="N16" i="3"/>
  <c r="O16" i="3"/>
  <c r="P16" i="3"/>
  <c r="Q16" i="3"/>
  <c r="R16" i="3"/>
  <c r="N17" i="3"/>
  <c r="O17" i="3"/>
  <c r="P17" i="3"/>
  <c r="Q17" i="3"/>
  <c r="R17" i="3"/>
  <c r="N19" i="3"/>
  <c r="O19" i="3"/>
  <c r="P19" i="3"/>
  <c r="Q19" i="3"/>
  <c r="R19" i="3"/>
  <c r="N20" i="3"/>
  <c r="O20" i="3"/>
  <c r="P20" i="3"/>
  <c r="Q20" i="3"/>
  <c r="R20" i="3"/>
  <c r="N21" i="3"/>
  <c r="O21" i="3"/>
  <c r="P21" i="3"/>
  <c r="Q21" i="3"/>
  <c r="R21" i="3"/>
  <c r="N22" i="3"/>
  <c r="O22" i="3"/>
  <c r="P22" i="3"/>
  <c r="Q22" i="3"/>
  <c r="R22" i="3"/>
  <c r="N23" i="3"/>
  <c r="O23" i="3"/>
  <c r="P23" i="3"/>
  <c r="Q23" i="3"/>
  <c r="R23" i="3"/>
  <c r="N24" i="3"/>
  <c r="O24" i="3"/>
  <c r="P24" i="3"/>
  <c r="Q24" i="3"/>
  <c r="R24" i="3"/>
  <c r="I11" i="3"/>
  <c r="U11" i="3" s="1"/>
  <c r="J11" i="3"/>
  <c r="H11" i="3"/>
  <c r="T11" i="3" s="1"/>
  <c r="H5" i="3"/>
  <c r="T5" i="3" s="1"/>
  <c r="I5" i="3"/>
  <c r="U5" i="3" s="1"/>
  <c r="J5" i="3"/>
  <c r="K5" i="3"/>
  <c r="W5" i="3" s="1"/>
  <c r="L5" i="3"/>
  <c r="X5" i="3" s="1"/>
  <c r="H6" i="3"/>
  <c r="T6" i="3" s="1"/>
  <c r="I6" i="3"/>
  <c r="J6" i="3"/>
  <c r="V6" i="3" s="1"/>
  <c r="K6" i="3"/>
  <c r="L6" i="3"/>
  <c r="X6" i="3" s="1"/>
  <c r="H7" i="3"/>
  <c r="T7" i="3" s="1"/>
  <c r="I7" i="3"/>
  <c r="U7" i="3" s="1"/>
  <c r="J7" i="3"/>
  <c r="V7" i="3" s="1"/>
  <c r="K7" i="3"/>
  <c r="W7" i="3" s="1"/>
  <c r="L7" i="3"/>
  <c r="X7" i="3" s="1"/>
  <c r="H9" i="3"/>
  <c r="T9" i="3" s="1"/>
  <c r="I9" i="3"/>
  <c r="J9" i="3"/>
  <c r="K9" i="3"/>
  <c r="L9" i="3"/>
  <c r="X9" i="3" s="1"/>
  <c r="H10" i="3"/>
  <c r="T10" i="3" s="1"/>
  <c r="I10" i="3"/>
  <c r="U10" i="3" s="1"/>
  <c r="J10" i="3"/>
  <c r="V10" i="3" s="1"/>
  <c r="K10" i="3"/>
  <c r="W10" i="3" s="1"/>
  <c r="L10" i="3"/>
  <c r="X10" i="3" s="1"/>
  <c r="K11" i="3"/>
  <c r="L11" i="3"/>
  <c r="H12" i="3"/>
  <c r="T12" i="3" s="1"/>
  <c r="I12" i="3"/>
  <c r="J12" i="3"/>
  <c r="K12" i="3"/>
  <c r="L12" i="3"/>
  <c r="X12" i="3" s="1"/>
  <c r="H13" i="3"/>
  <c r="T13" i="3" s="1"/>
  <c r="I13" i="3"/>
  <c r="U13" i="3" s="1"/>
  <c r="J13" i="3"/>
  <c r="K13" i="3"/>
  <c r="W13" i="3" s="1"/>
  <c r="L13" i="3"/>
  <c r="H15" i="3"/>
  <c r="T15" i="3" s="1"/>
  <c r="I15" i="3"/>
  <c r="J15" i="3"/>
  <c r="K15" i="3"/>
  <c r="L15" i="3"/>
  <c r="X15" i="3" s="1"/>
  <c r="H16" i="3"/>
  <c r="T16" i="3" s="1"/>
  <c r="I16" i="3"/>
  <c r="U16" i="3" s="1"/>
  <c r="J16" i="3"/>
  <c r="V16" i="3" s="1"/>
  <c r="K16" i="3"/>
  <c r="W16" i="3" s="1"/>
  <c r="L16" i="3"/>
  <c r="X16" i="3" s="1"/>
  <c r="H17" i="3"/>
  <c r="T17" i="3" s="1"/>
  <c r="I17" i="3"/>
  <c r="J17" i="3"/>
  <c r="K17" i="3"/>
  <c r="L17" i="3"/>
  <c r="X17" i="3" s="1"/>
  <c r="H19" i="3"/>
  <c r="T19" i="3" s="1"/>
  <c r="I19" i="3"/>
  <c r="U19" i="3" s="1"/>
  <c r="J19" i="3"/>
  <c r="K19" i="3"/>
  <c r="W19" i="3" s="1"/>
  <c r="L19" i="3"/>
  <c r="X19" i="3" s="1"/>
  <c r="H20" i="3"/>
  <c r="T20" i="3" s="1"/>
  <c r="I20" i="3"/>
  <c r="J20" i="3"/>
  <c r="V20" i="3" s="1"/>
  <c r="K20" i="3"/>
  <c r="L20" i="3"/>
  <c r="X20" i="3" s="1"/>
  <c r="H21" i="3"/>
  <c r="T21" i="3" s="1"/>
  <c r="I21" i="3"/>
  <c r="U21" i="3" s="1"/>
  <c r="J21" i="3"/>
  <c r="V21" i="3" s="1"/>
  <c r="K21" i="3"/>
  <c r="W21" i="3" s="1"/>
  <c r="L21" i="3"/>
  <c r="H22" i="3"/>
  <c r="T22" i="3" s="1"/>
  <c r="I22" i="3"/>
  <c r="J22" i="3"/>
  <c r="K22" i="3"/>
  <c r="W22" i="3" s="1"/>
  <c r="L22" i="3"/>
  <c r="X22" i="3" s="1"/>
  <c r="H23" i="3"/>
  <c r="T23" i="3" s="1"/>
  <c r="I23" i="3"/>
  <c r="U23" i="3" s="1"/>
  <c r="J23" i="3"/>
  <c r="K23" i="3"/>
  <c r="L23" i="3"/>
  <c r="X23" i="3" s="1"/>
  <c r="H24" i="3"/>
  <c r="T24" i="3" s="1"/>
  <c r="I24" i="3"/>
  <c r="J24" i="3"/>
  <c r="V24" i="3" s="1"/>
  <c r="K24" i="3"/>
  <c r="L24" i="3"/>
  <c r="X24" i="3" s="1"/>
  <c r="O28" i="2"/>
  <c r="P28" i="2"/>
  <c r="Q28" i="2"/>
  <c r="R28" i="2"/>
  <c r="N28" i="2"/>
  <c r="R23" i="2"/>
  <c r="O17" i="2"/>
  <c r="P17" i="2"/>
  <c r="Q17" i="2"/>
  <c r="R17" i="2"/>
  <c r="N17" i="2"/>
  <c r="P8" i="2"/>
  <c r="O8" i="2"/>
  <c r="N5" i="2"/>
  <c r="O5" i="2"/>
  <c r="P5" i="2"/>
  <c r="Q5" i="2"/>
  <c r="R5" i="2"/>
  <c r="N7" i="2"/>
  <c r="O7" i="2"/>
  <c r="P7" i="2"/>
  <c r="Q7" i="2"/>
  <c r="R7" i="2"/>
  <c r="N8" i="2"/>
  <c r="Q8" i="2"/>
  <c r="R8" i="2"/>
  <c r="N9" i="2"/>
  <c r="O9" i="2"/>
  <c r="P9" i="2"/>
  <c r="Q9" i="2"/>
  <c r="R9" i="2"/>
  <c r="N10" i="2"/>
  <c r="O10" i="2"/>
  <c r="P10" i="2"/>
  <c r="Q10" i="2"/>
  <c r="R10" i="2"/>
  <c r="N12" i="2"/>
  <c r="O12" i="2"/>
  <c r="P12" i="2"/>
  <c r="Q12" i="2"/>
  <c r="R12" i="2"/>
  <c r="N13" i="2"/>
  <c r="O13" i="2"/>
  <c r="P13" i="2"/>
  <c r="Q13" i="2"/>
  <c r="R13" i="2"/>
  <c r="N15" i="2"/>
  <c r="O15" i="2"/>
  <c r="P15" i="2"/>
  <c r="Q15" i="2"/>
  <c r="R15" i="2"/>
  <c r="N16" i="2"/>
  <c r="O16" i="2"/>
  <c r="P16" i="2"/>
  <c r="Q16" i="2"/>
  <c r="R16" i="2"/>
  <c r="N18" i="2"/>
  <c r="O18" i="2"/>
  <c r="P18" i="2"/>
  <c r="Q18" i="2"/>
  <c r="R18" i="2"/>
  <c r="N20" i="2"/>
  <c r="O20" i="2"/>
  <c r="P20" i="2"/>
  <c r="Q20" i="2"/>
  <c r="R20" i="2"/>
  <c r="N21" i="2"/>
  <c r="O21" i="2"/>
  <c r="P21" i="2"/>
  <c r="Q21" i="2"/>
  <c r="R21" i="2"/>
  <c r="N23" i="2"/>
  <c r="O23" i="2"/>
  <c r="P23" i="2"/>
  <c r="Q23" i="2"/>
  <c r="N24" i="2"/>
  <c r="O24" i="2"/>
  <c r="P24" i="2"/>
  <c r="Q24" i="2"/>
  <c r="R24" i="2"/>
  <c r="N26" i="2"/>
  <c r="O26" i="2"/>
  <c r="P26" i="2"/>
  <c r="Q26" i="2"/>
  <c r="R26" i="2"/>
  <c r="N27" i="2"/>
  <c r="O27" i="2"/>
  <c r="P27" i="2"/>
  <c r="Q27" i="2"/>
  <c r="R27" i="2"/>
  <c r="N29" i="2"/>
  <c r="O29" i="2"/>
  <c r="P29" i="2"/>
  <c r="Q29" i="2"/>
  <c r="R29" i="2"/>
  <c r="N31" i="2"/>
  <c r="O31" i="2"/>
  <c r="P31" i="2"/>
  <c r="Q31" i="2"/>
  <c r="R31" i="2"/>
  <c r="N32" i="2"/>
  <c r="O32" i="2"/>
  <c r="P32" i="2"/>
  <c r="Q32" i="2"/>
  <c r="R32" i="2"/>
  <c r="N33" i="2"/>
  <c r="O33" i="2"/>
  <c r="P33" i="2"/>
  <c r="Q33" i="2"/>
  <c r="R33" i="2"/>
  <c r="N34" i="2"/>
  <c r="O34" i="2"/>
  <c r="P34" i="2"/>
  <c r="Q34" i="2"/>
  <c r="R34" i="2"/>
  <c r="O4" i="2"/>
  <c r="P4" i="2"/>
  <c r="Q4" i="2"/>
  <c r="R4" i="2"/>
  <c r="N4" i="2"/>
  <c r="O23" i="1"/>
  <c r="P23" i="1"/>
  <c r="Q23" i="1"/>
  <c r="R23" i="1"/>
  <c r="N23" i="1"/>
  <c r="N21" i="1"/>
  <c r="O21" i="1"/>
  <c r="P21" i="1"/>
  <c r="Q21" i="1"/>
  <c r="R21" i="1"/>
  <c r="O20" i="1"/>
  <c r="P20" i="1"/>
  <c r="Q20" i="1"/>
  <c r="R20" i="1"/>
  <c r="N20" i="1"/>
  <c r="O9" i="1"/>
  <c r="P9" i="1"/>
  <c r="Q9" i="1"/>
  <c r="R9" i="1"/>
  <c r="N9" i="1"/>
  <c r="N5" i="1"/>
  <c r="O5" i="1"/>
  <c r="P5" i="1"/>
  <c r="Q5" i="1"/>
  <c r="R5" i="1"/>
  <c r="N7" i="1"/>
  <c r="O7" i="1"/>
  <c r="P7" i="1"/>
  <c r="Q7" i="1"/>
  <c r="R7" i="1"/>
  <c r="N8" i="1"/>
  <c r="O8" i="1"/>
  <c r="P8" i="1"/>
  <c r="Q8" i="1"/>
  <c r="R8" i="1"/>
  <c r="N12" i="1"/>
  <c r="O12" i="1"/>
  <c r="P12" i="1"/>
  <c r="Q12" i="1"/>
  <c r="R12" i="1"/>
  <c r="N13" i="1"/>
  <c r="O13" i="1"/>
  <c r="P13" i="1"/>
  <c r="Q13" i="1"/>
  <c r="R13" i="1"/>
  <c r="N14" i="1"/>
  <c r="O14" i="1"/>
  <c r="P14" i="1"/>
  <c r="Q14" i="1"/>
  <c r="R14" i="1"/>
  <c r="N15" i="1"/>
  <c r="O15" i="1"/>
  <c r="P15" i="1"/>
  <c r="Q15" i="1"/>
  <c r="R15" i="1"/>
  <c r="N18" i="1"/>
  <c r="O18" i="1"/>
  <c r="P18" i="1"/>
  <c r="Q18" i="1"/>
  <c r="R18" i="1"/>
  <c r="N19" i="1"/>
  <c r="O19" i="1"/>
  <c r="P19" i="1"/>
  <c r="Q19" i="1"/>
  <c r="R19" i="1"/>
  <c r="N25" i="1"/>
  <c r="O25" i="1"/>
  <c r="P25" i="1"/>
  <c r="Q25" i="1"/>
  <c r="R25" i="1"/>
  <c r="N26" i="1"/>
  <c r="O26" i="1"/>
  <c r="P26" i="1"/>
  <c r="Q26" i="1"/>
  <c r="R26" i="1"/>
  <c r="N27" i="1"/>
  <c r="O27" i="1"/>
  <c r="P27" i="1"/>
  <c r="Q27" i="1"/>
  <c r="R27" i="1"/>
  <c r="N28" i="1"/>
  <c r="O28" i="1"/>
  <c r="P28" i="1"/>
  <c r="Q28" i="1"/>
  <c r="R28" i="1"/>
  <c r="N29" i="1"/>
  <c r="O29" i="1"/>
  <c r="P29" i="1"/>
  <c r="Q29" i="1"/>
  <c r="R29" i="1"/>
  <c r="N30" i="1"/>
  <c r="O30" i="1"/>
  <c r="P30" i="1"/>
  <c r="Q30" i="1"/>
  <c r="R30" i="1"/>
  <c r="N31" i="1"/>
  <c r="O31" i="1"/>
  <c r="P31" i="1"/>
  <c r="Q31" i="1"/>
  <c r="R31" i="1"/>
  <c r="O4" i="1"/>
  <c r="P4" i="1"/>
  <c r="Q4" i="1"/>
  <c r="R4" i="1"/>
  <c r="N4" i="1"/>
  <c r="H5" i="1"/>
  <c r="T5" i="1" s="1"/>
  <c r="I5" i="1"/>
  <c r="J5" i="1"/>
  <c r="K5" i="1"/>
  <c r="L5" i="1"/>
  <c r="X5" i="1" s="1"/>
  <c r="H7" i="1"/>
  <c r="T7" i="1" s="1"/>
  <c r="I7" i="1"/>
  <c r="J7" i="1"/>
  <c r="K7" i="1"/>
  <c r="L7" i="1"/>
  <c r="X7" i="1" s="1"/>
  <c r="H8" i="1"/>
  <c r="T8" i="1" s="1"/>
  <c r="I8" i="1"/>
  <c r="U8" i="1" s="1"/>
  <c r="J8" i="1"/>
  <c r="K8" i="1"/>
  <c r="W8" i="1" s="1"/>
  <c r="L8" i="1"/>
  <c r="X8" i="1" s="1"/>
  <c r="H9" i="1"/>
  <c r="T9" i="1" s="1"/>
  <c r="I9" i="1"/>
  <c r="J9" i="1"/>
  <c r="K9" i="1"/>
  <c r="L9" i="1"/>
  <c r="X9" i="1" s="1"/>
  <c r="H12" i="1"/>
  <c r="T12" i="1" s="1"/>
  <c r="I12" i="1"/>
  <c r="U12" i="1" s="1"/>
  <c r="J12" i="1"/>
  <c r="V12" i="1" s="1"/>
  <c r="K12" i="1"/>
  <c r="L12" i="1"/>
  <c r="X12" i="1" s="1"/>
  <c r="H13" i="1"/>
  <c r="T13" i="1" s="1"/>
  <c r="I13" i="1"/>
  <c r="J13" i="1"/>
  <c r="K13" i="1"/>
  <c r="L13" i="1"/>
  <c r="H14" i="1"/>
  <c r="T14" i="1" s="1"/>
  <c r="I14" i="1"/>
  <c r="J14" i="1"/>
  <c r="K14" i="1"/>
  <c r="L14" i="1"/>
  <c r="X14" i="1" s="1"/>
  <c r="H15" i="1"/>
  <c r="T15" i="1" s="1"/>
  <c r="I15" i="1"/>
  <c r="J15" i="1"/>
  <c r="V15" i="1" s="1"/>
  <c r="K15" i="1"/>
  <c r="L15" i="1"/>
  <c r="X15" i="1" s="1"/>
  <c r="H18" i="1"/>
  <c r="T18" i="1" s="1"/>
  <c r="I18" i="1"/>
  <c r="J18" i="1"/>
  <c r="V18" i="1" s="1"/>
  <c r="K18" i="1"/>
  <c r="L18" i="1"/>
  <c r="X18" i="1" s="1"/>
  <c r="H19" i="1"/>
  <c r="T19" i="1" s="1"/>
  <c r="I19" i="1"/>
  <c r="J19" i="1"/>
  <c r="K19" i="1"/>
  <c r="L19" i="1"/>
  <c r="X19" i="1" s="1"/>
  <c r="H20" i="1"/>
  <c r="T20" i="1" s="1"/>
  <c r="I20" i="1"/>
  <c r="U20" i="1" s="1"/>
  <c r="J20" i="1"/>
  <c r="K20" i="1"/>
  <c r="L20" i="1"/>
  <c r="X20" i="1" s="1"/>
  <c r="H21" i="1"/>
  <c r="T21" i="1" s="1"/>
  <c r="I21" i="1"/>
  <c r="J21" i="1"/>
  <c r="K21" i="1"/>
  <c r="L21" i="1"/>
  <c r="X21" i="1" s="1"/>
  <c r="H23" i="1"/>
  <c r="T23" i="1" s="1"/>
  <c r="I23" i="1"/>
  <c r="U23" i="1" s="1"/>
  <c r="J23" i="1"/>
  <c r="V23" i="1" s="1"/>
  <c r="K23" i="1"/>
  <c r="W23" i="1" s="1"/>
  <c r="L23" i="1"/>
  <c r="X23" i="1" s="1"/>
  <c r="H25" i="1"/>
  <c r="T25" i="1" s="1"/>
  <c r="I25" i="1"/>
  <c r="J25" i="1"/>
  <c r="K25" i="1"/>
  <c r="L25" i="1"/>
  <c r="X25" i="1" s="1"/>
  <c r="H26" i="1"/>
  <c r="T26" i="1" s="1"/>
  <c r="I26" i="1"/>
  <c r="U26" i="1" s="1"/>
  <c r="J26" i="1"/>
  <c r="K26" i="1"/>
  <c r="L26" i="1"/>
  <c r="X26" i="1" s="1"/>
  <c r="H27" i="1"/>
  <c r="T27" i="1" s="1"/>
  <c r="I27" i="1"/>
  <c r="J27" i="1"/>
  <c r="V27" i="1" s="1"/>
  <c r="K27" i="1"/>
  <c r="L27" i="1"/>
  <c r="X27" i="1" s="1"/>
  <c r="H28" i="1"/>
  <c r="T28" i="1" s="1"/>
  <c r="I28" i="1"/>
  <c r="U28" i="1" s="1"/>
  <c r="J28" i="1"/>
  <c r="V28" i="1" s="1"/>
  <c r="K28" i="1"/>
  <c r="W28" i="1" s="1"/>
  <c r="L28" i="1"/>
  <c r="X28" i="1" s="1"/>
  <c r="H29" i="1"/>
  <c r="T29" i="1" s="1"/>
  <c r="I29" i="1"/>
  <c r="J29" i="1"/>
  <c r="K29" i="1"/>
  <c r="L29" i="1"/>
  <c r="X29" i="1" s="1"/>
  <c r="H30" i="1"/>
  <c r="T30" i="1" s="1"/>
  <c r="I30" i="1"/>
  <c r="U30" i="1" s="1"/>
  <c r="J30" i="1"/>
  <c r="K30" i="1"/>
  <c r="W30" i="1" s="1"/>
  <c r="L30" i="1"/>
  <c r="X30" i="1" s="1"/>
  <c r="H31" i="1"/>
  <c r="T31" i="1" s="1"/>
  <c r="I31" i="1"/>
  <c r="J31" i="1"/>
  <c r="V31" i="1" s="1"/>
  <c r="K31" i="1"/>
  <c r="L31" i="1"/>
  <c r="X31" i="1" s="1"/>
  <c r="I4" i="1"/>
  <c r="J4" i="1"/>
  <c r="V4" i="1" s="1"/>
  <c r="K4" i="1"/>
  <c r="W4" i="1" s="1"/>
  <c r="L4" i="1"/>
  <c r="X4" i="1" s="1"/>
  <c r="H4" i="1"/>
  <c r="T4" i="1" s="1"/>
  <c r="X13" i="1" l="1"/>
  <c r="V29" i="1"/>
  <c r="V25" i="1"/>
  <c r="V19" i="1"/>
  <c r="V7" i="1"/>
  <c r="V22" i="3"/>
  <c r="V17" i="3"/>
  <c r="V12" i="3"/>
  <c r="W11" i="3"/>
  <c r="V9" i="3"/>
  <c r="U12" i="3"/>
  <c r="W31" i="1"/>
  <c r="U29" i="1"/>
  <c r="W27" i="1"/>
  <c r="U25" i="1"/>
  <c r="U19" i="1"/>
  <c r="W15" i="1"/>
  <c r="U13" i="1"/>
  <c r="U7" i="1"/>
  <c r="W24" i="3"/>
  <c r="U22" i="3"/>
  <c r="W20" i="3"/>
  <c r="U17" i="3"/>
  <c r="W15" i="3"/>
  <c r="U9" i="3"/>
  <c r="W6" i="3"/>
  <c r="K252" i="13"/>
  <c r="U31" i="1"/>
  <c r="U27" i="1"/>
  <c r="U21" i="1"/>
  <c r="V20" i="1"/>
  <c r="W19" i="1"/>
  <c r="U15" i="1"/>
  <c r="V14" i="1"/>
  <c r="W13" i="1"/>
  <c r="U9" i="1"/>
  <c r="V8" i="1"/>
  <c r="W7" i="1"/>
  <c r="W17" i="3"/>
  <c r="U15" i="3"/>
  <c r="V13" i="3"/>
  <c r="W12" i="3"/>
  <c r="X11" i="3"/>
  <c r="W9" i="3"/>
  <c r="U6" i="3"/>
  <c r="V5" i="3"/>
  <c r="W26" i="1"/>
  <c r="W5" i="1"/>
  <c r="V23" i="3"/>
  <c r="U4" i="1"/>
  <c r="V30" i="1"/>
  <c r="V26" i="1"/>
  <c r="W25" i="1"/>
  <c r="W21" i="1"/>
  <c r="W9" i="1"/>
  <c r="W23" i="3"/>
  <c r="V19" i="3"/>
  <c r="V5" i="1"/>
  <c r="W18" i="1"/>
  <c r="W14" i="1"/>
  <c r="W29" i="1"/>
  <c r="V21" i="1"/>
  <c r="W20" i="1"/>
  <c r="U18" i="1"/>
  <c r="U14" i="1"/>
  <c r="V13" i="1"/>
  <c r="W12" i="1"/>
  <c r="V9" i="1"/>
  <c r="U5" i="1"/>
  <c r="V11" i="3"/>
  <c r="V15" i="3"/>
  <c r="G32" i="1"/>
  <c r="H31" i="6" s="1"/>
  <c r="G31" i="16" s="1"/>
  <c r="J31" i="6" l="1"/>
  <c r="I32" i="7"/>
  <c r="G64" i="16" s="1"/>
  <c r="I33" i="7"/>
  <c r="H32" i="7"/>
  <c r="H33" i="7"/>
  <c r="H34" i="7"/>
  <c r="I34" i="7" s="1"/>
  <c r="H27" i="7"/>
  <c r="I27" i="7" s="1"/>
  <c r="H28" i="7"/>
  <c r="I28" i="7" s="1"/>
  <c r="H29" i="7"/>
  <c r="I29" i="7" s="1"/>
  <c r="H26" i="7"/>
  <c r="I26" i="7" s="1"/>
  <c r="K27" i="7" l="1"/>
  <c r="G59" i="16"/>
  <c r="K34" i="7"/>
  <c r="N34" i="7" s="1"/>
  <c r="O34" i="7" s="1"/>
  <c r="I66" i="16" s="1"/>
  <c r="G66" i="16"/>
  <c r="K33" i="7"/>
  <c r="G65" i="16"/>
  <c r="K26" i="7"/>
  <c r="N26" i="7" s="1"/>
  <c r="O26" i="7" s="1"/>
  <c r="I58" i="16" s="1"/>
  <c r="W25" i="16" s="1"/>
  <c r="G58" i="16"/>
  <c r="U25" i="16" s="1"/>
  <c r="K29" i="7"/>
  <c r="G61" i="16"/>
  <c r="K28" i="7"/>
  <c r="L28" i="7" s="1"/>
  <c r="H60" i="16" s="1"/>
  <c r="G60" i="16"/>
  <c r="K32" i="7"/>
  <c r="L32" i="7" s="1"/>
  <c r="H64" i="16" s="1"/>
  <c r="L31" i="6"/>
  <c r="I31" i="16" s="1"/>
  <c r="H31" i="16"/>
  <c r="L34" i="7"/>
  <c r="H66" i="16" s="1"/>
  <c r="N28" i="7"/>
  <c r="O28" i="7" s="1"/>
  <c r="I60" i="16" s="1"/>
  <c r="L26" i="7"/>
  <c r="H58" i="16" s="1"/>
  <c r="V25" i="16" s="1"/>
  <c r="N29" i="7"/>
  <c r="O29" i="7" s="1"/>
  <c r="I61" i="16" s="1"/>
  <c r="L29" i="7"/>
  <c r="H61" i="16" s="1"/>
  <c r="N27" i="7"/>
  <c r="O27" i="7" s="1"/>
  <c r="I59" i="16" s="1"/>
  <c r="L27" i="7"/>
  <c r="H59" i="16" s="1"/>
  <c r="L33" i="7"/>
  <c r="H65" i="16" s="1"/>
  <c r="N33" i="7"/>
  <c r="O33" i="7" s="1"/>
  <c r="I65" i="16" s="1"/>
  <c r="N32" i="7"/>
  <c r="O32" i="7" s="1"/>
  <c r="I64" i="16" s="1"/>
  <c r="F16" i="6"/>
  <c r="F16" i="16" s="1"/>
  <c r="F10" i="6"/>
  <c r="F10" i="16" s="1"/>
  <c r="F48" i="5"/>
  <c r="C42" i="5"/>
  <c r="B42" i="5"/>
  <c r="D33" i="5"/>
  <c r="C33" i="5"/>
  <c r="B30" i="5"/>
  <c r="C30" i="5"/>
  <c r="D30" i="5"/>
  <c r="E30" i="5"/>
  <c r="F30" i="5"/>
  <c r="B32" i="5"/>
  <c r="C32" i="5"/>
  <c r="D32" i="5"/>
  <c r="E32" i="5"/>
  <c r="F32" i="5"/>
  <c r="B33" i="5"/>
  <c r="E33" i="5"/>
  <c r="F33" i="5"/>
  <c r="B34" i="5"/>
  <c r="C34" i="5"/>
  <c r="D34" i="5"/>
  <c r="E34" i="5"/>
  <c r="F34" i="5"/>
  <c r="B35" i="5"/>
  <c r="C35" i="5"/>
  <c r="D35" i="5"/>
  <c r="E35" i="5"/>
  <c r="F35" i="5"/>
  <c r="B37" i="5"/>
  <c r="C37" i="5"/>
  <c r="D37" i="5"/>
  <c r="E37" i="5"/>
  <c r="F37" i="5"/>
  <c r="B38" i="5"/>
  <c r="C38" i="5"/>
  <c r="D38" i="5"/>
  <c r="E38" i="5"/>
  <c r="F38" i="5"/>
  <c r="B40" i="5"/>
  <c r="C40" i="5"/>
  <c r="D40" i="5"/>
  <c r="E40" i="5"/>
  <c r="F40" i="5"/>
  <c r="B41" i="5"/>
  <c r="C41" i="5"/>
  <c r="D41" i="5"/>
  <c r="E41" i="5"/>
  <c r="F41" i="5"/>
  <c r="D42" i="5"/>
  <c r="E42" i="5"/>
  <c r="F42" i="5"/>
  <c r="B43" i="5"/>
  <c r="C43" i="5"/>
  <c r="D43" i="5"/>
  <c r="E43" i="5"/>
  <c r="F43" i="5"/>
  <c r="B45" i="5"/>
  <c r="C45" i="5"/>
  <c r="D45" i="5"/>
  <c r="E45" i="5"/>
  <c r="F45" i="5"/>
  <c r="B46" i="5"/>
  <c r="C46" i="5"/>
  <c r="D46" i="5"/>
  <c r="E46" i="5"/>
  <c r="F46" i="5"/>
  <c r="B48" i="5"/>
  <c r="C48" i="5"/>
  <c r="D48" i="5"/>
  <c r="E48" i="5"/>
  <c r="B49" i="5"/>
  <c r="C49" i="5"/>
  <c r="D49" i="5"/>
  <c r="E49" i="5"/>
  <c r="F49" i="5"/>
  <c r="C29" i="5"/>
  <c r="D29" i="5"/>
  <c r="E29" i="5"/>
  <c r="F29" i="5"/>
  <c r="B29" i="5"/>
  <c r="B6" i="5"/>
  <c r="C6" i="5"/>
  <c r="D6" i="5"/>
  <c r="E6" i="5"/>
  <c r="F6" i="5"/>
  <c r="B8" i="5"/>
  <c r="C8" i="5"/>
  <c r="D8" i="5"/>
  <c r="E8" i="5"/>
  <c r="F8" i="5"/>
  <c r="B9" i="5"/>
  <c r="C9" i="5"/>
  <c r="D9" i="5"/>
  <c r="E9" i="5"/>
  <c r="F9" i="5"/>
  <c r="B10" i="5"/>
  <c r="C10" i="5"/>
  <c r="D10" i="5"/>
  <c r="E10" i="5"/>
  <c r="F10" i="5"/>
  <c r="B13" i="5"/>
  <c r="C13" i="5"/>
  <c r="D13" i="5"/>
  <c r="E13" i="5"/>
  <c r="F13" i="5"/>
  <c r="B14" i="5"/>
  <c r="C14" i="5"/>
  <c r="D14" i="5"/>
  <c r="E14" i="5"/>
  <c r="F14" i="5"/>
  <c r="B15" i="5"/>
  <c r="C15" i="5"/>
  <c r="D15" i="5"/>
  <c r="E15" i="5"/>
  <c r="F15" i="5"/>
  <c r="B16" i="5"/>
  <c r="C16" i="5"/>
  <c r="D16" i="5"/>
  <c r="E16" i="5"/>
  <c r="F16" i="5"/>
  <c r="C19" i="5"/>
  <c r="D19" i="5"/>
  <c r="E19" i="5"/>
  <c r="F19" i="5"/>
  <c r="B20" i="5"/>
  <c r="C20" i="5"/>
  <c r="D20" i="5"/>
  <c r="E20" i="5"/>
  <c r="F20" i="5"/>
  <c r="B21" i="5"/>
  <c r="C21" i="5"/>
  <c r="D21" i="5"/>
  <c r="E21" i="5"/>
  <c r="F21" i="5"/>
  <c r="B22" i="5"/>
  <c r="C22" i="5"/>
  <c r="D22" i="5"/>
  <c r="E22" i="5"/>
  <c r="F22" i="5"/>
  <c r="B24" i="5"/>
  <c r="C24" i="5"/>
  <c r="D24" i="5"/>
  <c r="E24" i="5"/>
  <c r="F24" i="5"/>
  <c r="C5" i="5"/>
  <c r="D5" i="5"/>
  <c r="E5" i="5"/>
  <c r="F5" i="5"/>
  <c r="B5" i="5"/>
  <c r="D2" i="5"/>
  <c r="E2" i="5"/>
  <c r="F2" i="5"/>
  <c r="C2" i="5"/>
  <c r="F35" i="7"/>
  <c r="E35" i="7"/>
  <c r="E67" i="16" s="1"/>
  <c r="Q16" i="16" s="1"/>
  <c r="D35" i="7"/>
  <c r="D67" i="16" s="1"/>
  <c r="P16" i="16" s="1"/>
  <c r="C35" i="7"/>
  <c r="B35" i="7"/>
  <c r="F22" i="7"/>
  <c r="E22" i="7"/>
  <c r="D22" i="7"/>
  <c r="C22" i="7"/>
  <c r="B22" i="7"/>
  <c r="F14" i="7"/>
  <c r="F46" i="16" s="1"/>
  <c r="E14" i="7"/>
  <c r="E46" i="16" s="1"/>
  <c r="O10" i="16" s="1"/>
  <c r="D14" i="7"/>
  <c r="D46" i="16" s="1"/>
  <c r="N10" i="16" s="1"/>
  <c r="C14" i="7"/>
  <c r="C46" i="16" s="1"/>
  <c r="B14" i="7"/>
  <c r="B46" i="16" s="1"/>
  <c r="F6" i="7"/>
  <c r="E6" i="7"/>
  <c r="D6" i="7"/>
  <c r="C6" i="7"/>
  <c r="B6" i="7"/>
  <c r="E16" i="6"/>
  <c r="E16" i="16" s="1"/>
  <c r="D16" i="6"/>
  <c r="D16" i="16" s="1"/>
  <c r="C16" i="6"/>
  <c r="C16" i="16" s="1"/>
  <c r="B16" i="6"/>
  <c r="B16" i="16" s="1"/>
  <c r="E10" i="6"/>
  <c r="E10" i="16" s="1"/>
  <c r="D10" i="6"/>
  <c r="D10" i="16" s="1"/>
  <c r="C10" i="6"/>
  <c r="C10" i="16" s="1"/>
  <c r="B10" i="6"/>
  <c r="B10" i="16" s="1"/>
  <c r="F6" i="6"/>
  <c r="F6" i="16" s="1"/>
  <c r="E6" i="6"/>
  <c r="D6" i="6"/>
  <c r="D6" i="16" s="1"/>
  <c r="C6" i="6"/>
  <c r="B6" i="6"/>
  <c r="B6" i="16" s="1"/>
  <c r="C11" i="6" l="1"/>
  <c r="C11" i="16" s="1"/>
  <c r="C6" i="16"/>
  <c r="P10" i="16"/>
  <c r="F11" i="7"/>
  <c r="F43" i="16" s="1"/>
  <c r="F38" i="16"/>
  <c r="C9" i="8"/>
  <c r="C10" i="8" s="1"/>
  <c r="C67" i="16"/>
  <c r="O16" i="16" s="1"/>
  <c r="E25" i="7"/>
  <c r="E11" i="8" s="1"/>
  <c r="E54" i="16"/>
  <c r="E11" i="6"/>
  <c r="E11" i="16" s="1"/>
  <c r="E6" i="16"/>
  <c r="D11" i="7"/>
  <c r="D43" i="16" s="1"/>
  <c r="D38" i="16"/>
  <c r="M10" i="16"/>
  <c r="B25" i="7"/>
  <c r="B54" i="16"/>
  <c r="F25" i="7"/>
  <c r="F54" i="16"/>
  <c r="Q17" i="16"/>
  <c r="Q18" i="16"/>
  <c r="Q19" i="16" s="1"/>
  <c r="B11" i="7"/>
  <c r="B43" i="16" s="1"/>
  <c r="B38" i="16"/>
  <c r="D25" i="7"/>
  <c r="D54" i="16"/>
  <c r="C11" i="7"/>
  <c r="C43" i="16" s="1"/>
  <c r="C38" i="16"/>
  <c r="P18" i="16"/>
  <c r="P17" i="16"/>
  <c r="E11" i="7"/>
  <c r="E43" i="16" s="1"/>
  <c r="E38" i="16"/>
  <c r="C25" i="7"/>
  <c r="C54" i="16"/>
  <c r="B9" i="8"/>
  <c r="B10" i="8" s="1"/>
  <c r="B67" i="16"/>
  <c r="N16" i="16" s="1"/>
  <c r="F9" i="8"/>
  <c r="F10" i="8" s="1"/>
  <c r="F67" i="16"/>
  <c r="R16" i="16" s="1"/>
  <c r="D9" i="8"/>
  <c r="D10" i="8" s="1"/>
  <c r="C17" i="6"/>
  <c r="C17" i="8"/>
  <c r="B19" i="7"/>
  <c r="B11" i="8"/>
  <c r="F11" i="8"/>
  <c r="E19" i="7"/>
  <c r="E17" i="6"/>
  <c r="E17" i="8"/>
  <c r="D11" i="6"/>
  <c r="D11" i="16" s="1"/>
  <c r="C19" i="7"/>
  <c r="C51" i="16" s="1"/>
  <c r="C12" i="8"/>
  <c r="B11" i="6"/>
  <c r="B11" i="16" s="1"/>
  <c r="F11" i="6"/>
  <c r="F11" i="16" s="1"/>
  <c r="H29" i="5"/>
  <c r="G4" i="7" s="1"/>
  <c r="H21" i="5"/>
  <c r="G20" i="6" s="1"/>
  <c r="H40" i="5"/>
  <c r="G15" i="7" s="1"/>
  <c r="H24" i="5"/>
  <c r="G23" i="6" s="1"/>
  <c r="H20" i="5"/>
  <c r="G19" i="6" s="1"/>
  <c r="G18" i="6"/>
  <c r="H16" i="5"/>
  <c r="G15" i="6" s="1"/>
  <c r="H15" i="5"/>
  <c r="G14" i="6" s="1"/>
  <c r="H13" i="5"/>
  <c r="G12" i="6" s="1"/>
  <c r="H10" i="5"/>
  <c r="G9" i="6" s="1"/>
  <c r="H9" i="5"/>
  <c r="G8" i="6" s="1"/>
  <c r="H8" i="5"/>
  <c r="G7" i="6" s="1"/>
  <c r="G5" i="6"/>
  <c r="H49" i="5"/>
  <c r="G24" i="7" s="1"/>
  <c r="H48" i="5"/>
  <c r="G23" i="7" s="1"/>
  <c r="H38" i="5"/>
  <c r="G13" i="7" s="1"/>
  <c r="H34" i="5"/>
  <c r="G9" i="7" s="1"/>
  <c r="H32" i="5"/>
  <c r="G7" i="7" s="1"/>
  <c r="M1" i="7"/>
  <c r="G4" i="6"/>
  <c r="H22" i="5"/>
  <c r="G21" i="6" s="1"/>
  <c r="H14" i="5"/>
  <c r="G13" i="6" s="1"/>
  <c r="H43" i="5"/>
  <c r="G18" i="7" s="1"/>
  <c r="H41" i="5"/>
  <c r="G16" i="7" s="1"/>
  <c r="H37" i="5"/>
  <c r="G12" i="7" s="1"/>
  <c r="H42" i="5"/>
  <c r="G17" i="7" s="1"/>
  <c r="H30" i="5"/>
  <c r="G5" i="7" s="1"/>
  <c r="H46" i="5"/>
  <c r="G21" i="7" s="1"/>
  <c r="H45" i="5"/>
  <c r="G20" i="7" s="1"/>
  <c r="H35" i="5"/>
  <c r="G10" i="7" s="1"/>
  <c r="H33" i="5"/>
  <c r="G8" i="7" s="1"/>
  <c r="F19" i="7" l="1"/>
  <c r="F51" i="16" s="1"/>
  <c r="C22" i="6"/>
  <c r="C22" i="16" s="1"/>
  <c r="C17" i="16"/>
  <c r="C30" i="7"/>
  <c r="C57" i="16"/>
  <c r="M8" i="16" s="1"/>
  <c r="M9" i="16" s="1"/>
  <c r="D30" i="7"/>
  <c r="D57" i="16"/>
  <c r="N8" i="16" s="1"/>
  <c r="N9" i="16" s="1"/>
  <c r="B30" i="7"/>
  <c r="B57" i="16"/>
  <c r="O17" i="16"/>
  <c r="O18" i="16"/>
  <c r="E30" i="7"/>
  <c r="E57" i="16"/>
  <c r="D11" i="8"/>
  <c r="E12" i="8"/>
  <c r="E51" i="16"/>
  <c r="N18" i="16"/>
  <c r="N17" i="16"/>
  <c r="E22" i="6"/>
  <c r="E22" i="16" s="1"/>
  <c r="E17" i="16"/>
  <c r="R18" i="16"/>
  <c r="R17" i="16"/>
  <c r="R19" i="16" s="1"/>
  <c r="P19" i="16"/>
  <c r="D19" i="7"/>
  <c r="D51" i="16" s="1"/>
  <c r="C11" i="8"/>
  <c r="B12" i="8"/>
  <c r="B51" i="16"/>
  <c r="O8" i="16"/>
  <c r="L8" i="16"/>
  <c r="F30" i="7"/>
  <c r="F57" i="16"/>
  <c r="P8" i="16" s="1"/>
  <c r="P9" i="16" s="1"/>
  <c r="E24" i="8"/>
  <c r="D17" i="6"/>
  <c r="D17" i="8"/>
  <c r="B17" i="6"/>
  <c r="B17" i="8"/>
  <c r="E24" i="6"/>
  <c r="E24" i="16" s="1"/>
  <c r="E21" i="8"/>
  <c r="E5" i="8"/>
  <c r="E4" i="8"/>
  <c r="E14" i="8"/>
  <c r="E7" i="8"/>
  <c r="E8" i="8" s="1"/>
  <c r="F22" i="8"/>
  <c r="F13" i="8"/>
  <c r="F16" i="8"/>
  <c r="C22" i="8"/>
  <c r="C16" i="8"/>
  <c r="C13" i="8"/>
  <c r="C7" i="8"/>
  <c r="C8" i="8" s="1"/>
  <c r="F17" i="6"/>
  <c r="F17" i="8"/>
  <c r="E22" i="8"/>
  <c r="E13" i="8"/>
  <c r="E16" i="8"/>
  <c r="F12" i="8"/>
  <c r="B22" i="8"/>
  <c r="B16" i="8"/>
  <c r="B13" i="8"/>
  <c r="B24" i="8"/>
  <c r="K1" i="6"/>
  <c r="C18" i="3"/>
  <c r="D18" i="3"/>
  <c r="E18" i="3"/>
  <c r="F18" i="3"/>
  <c r="B18" i="3"/>
  <c r="C14" i="3"/>
  <c r="D14" i="3"/>
  <c r="E14" i="3"/>
  <c r="F14" i="3"/>
  <c r="B14" i="3"/>
  <c r="C35" i="2"/>
  <c r="D35" i="2"/>
  <c r="E35" i="2"/>
  <c r="F35" i="2"/>
  <c r="B35" i="2"/>
  <c r="C22" i="2"/>
  <c r="D22" i="2"/>
  <c r="E22" i="2"/>
  <c r="F22" i="2"/>
  <c r="B22" i="2"/>
  <c r="C14" i="2"/>
  <c r="D14" i="2"/>
  <c r="E14" i="2"/>
  <c r="F14" i="2"/>
  <c r="B14" i="2"/>
  <c r="C6" i="2"/>
  <c r="D6" i="2"/>
  <c r="E6" i="2"/>
  <c r="F6" i="2"/>
  <c r="B6" i="2"/>
  <c r="C5" i="8" l="1"/>
  <c r="C15" i="8" s="1"/>
  <c r="C21" i="8"/>
  <c r="C23" i="8" s="1"/>
  <c r="B22" i="6"/>
  <c r="B22" i="16" s="1"/>
  <c r="B17" i="16"/>
  <c r="D16" i="8"/>
  <c r="F62" i="16"/>
  <c r="F6" i="8"/>
  <c r="F36" i="7"/>
  <c r="F68" i="16" s="1"/>
  <c r="O9" i="16"/>
  <c r="N19" i="16"/>
  <c r="D62" i="16"/>
  <c r="D36" i="7"/>
  <c r="D68" i="16" s="1"/>
  <c r="D6" i="8"/>
  <c r="D24" i="8"/>
  <c r="C4" i="8"/>
  <c r="C24" i="6"/>
  <c r="C24" i="16" s="1"/>
  <c r="D13" i="8"/>
  <c r="O4" i="16"/>
  <c r="O7" i="16" s="1"/>
  <c r="O11" i="16" s="1"/>
  <c r="S31" i="16"/>
  <c r="E62" i="16"/>
  <c r="E6" i="8"/>
  <c r="E36" i="7"/>
  <c r="E68" i="16" s="1"/>
  <c r="B62" i="16"/>
  <c r="B6" i="8"/>
  <c r="B36" i="7"/>
  <c r="B68" i="16" s="1"/>
  <c r="C62" i="16"/>
  <c r="C6" i="8"/>
  <c r="C36" i="7"/>
  <c r="C68" i="16" s="1"/>
  <c r="C24" i="8"/>
  <c r="D12" i="8"/>
  <c r="F22" i="6"/>
  <c r="F17" i="16"/>
  <c r="C14" i="8"/>
  <c r="F24" i="8"/>
  <c r="D22" i="6"/>
  <c r="D22" i="16" s="1"/>
  <c r="D17" i="16"/>
  <c r="D22" i="8"/>
  <c r="O19" i="16"/>
  <c r="M4" i="16"/>
  <c r="M7" i="16" s="1"/>
  <c r="M11" i="16" s="1"/>
  <c r="Q31" i="16"/>
  <c r="Q33" i="16" s="1"/>
  <c r="H4" i="6"/>
  <c r="H10" i="7" s="1"/>
  <c r="N22" i="2"/>
  <c r="B47" i="5"/>
  <c r="N35" i="2"/>
  <c r="Q14" i="3"/>
  <c r="K14" i="3"/>
  <c r="D11" i="2"/>
  <c r="P6" i="2"/>
  <c r="D31" i="5"/>
  <c r="B25" i="2"/>
  <c r="Q18" i="3"/>
  <c r="K18" i="3"/>
  <c r="E15" i="8"/>
  <c r="B24" i="6"/>
  <c r="B24" i="16" s="1"/>
  <c r="B21" i="8"/>
  <c r="B23" i="8" s="1"/>
  <c r="B25" i="8" s="1"/>
  <c r="B4" i="8"/>
  <c r="B14" i="8"/>
  <c r="B5" i="8"/>
  <c r="B15" i="8" s="1"/>
  <c r="B7" i="8"/>
  <c r="B8" i="8" s="1"/>
  <c r="E25" i="2"/>
  <c r="Q22" i="2"/>
  <c r="E47" i="5"/>
  <c r="N14" i="3"/>
  <c r="H14" i="3"/>
  <c r="T14" i="3" s="1"/>
  <c r="J18" i="3"/>
  <c r="P18" i="3"/>
  <c r="E23" i="8"/>
  <c r="E25" i="8" s="1"/>
  <c r="E11" i="2"/>
  <c r="Q6" i="2"/>
  <c r="E31" i="5"/>
  <c r="R14" i="2"/>
  <c r="F39" i="5"/>
  <c r="O22" i="2"/>
  <c r="C47" i="5"/>
  <c r="O35" i="2"/>
  <c r="R18" i="3"/>
  <c r="L18" i="3"/>
  <c r="F14" i="8"/>
  <c r="F4" i="8"/>
  <c r="F5" i="8"/>
  <c r="F15" i="8" s="1"/>
  <c r="F7" i="8"/>
  <c r="F8" i="8" s="1"/>
  <c r="F24" i="6"/>
  <c r="F24" i="16" s="1"/>
  <c r="Q14" i="2"/>
  <c r="E39" i="5"/>
  <c r="R22" i="2"/>
  <c r="F47" i="5"/>
  <c r="R35" i="2"/>
  <c r="J14" i="3"/>
  <c r="V14" i="3" s="1"/>
  <c r="P14" i="3"/>
  <c r="B11" i="2"/>
  <c r="N6" i="2"/>
  <c r="B31" i="5"/>
  <c r="C11" i="2"/>
  <c r="O6" i="2"/>
  <c r="C31" i="5"/>
  <c r="P14" i="2"/>
  <c r="D39" i="5"/>
  <c r="F25" i="2"/>
  <c r="Q35" i="2"/>
  <c r="O14" i="3"/>
  <c r="I14" i="3"/>
  <c r="U14" i="3" s="1"/>
  <c r="F11" i="2"/>
  <c r="R6" i="2"/>
  <c r="F31" i="5"/>
  <c r="N14" i="2"/>
  <c r="B39" i="5"/>
  <c r="O14" i="2"/>
  <c r="C39" i="5"/>
  <c r="D25" i="2"/>
  <c r="P22" i="2"/>
  <c r="D47" i="5"/>
  <c r="C25" i="2"/>
  <c r="P35" i="2"/>
  <c r="R14" i="3"/>
  <c r="L14" i="3"/>
  <c r="X14" i="3" s="1"/>
  <c r="N18" i="3"/>
  <c r="H18" i="3"/>
  <c r="T18" i="3" s="1"/>
  <c r="O18" i="3"/>
  <c r="I18" i="3"/>
  <c r="D24" i="6"/>
  <c r="D24" i="16" s="1"/>
  <c r="D21" i="8"/>
  <c r="D23" i="8" s="1"/>
  <c r="D25" i="8" s="1"/>
  <c r="D14" i="8"/>
  <c r="D4" i="8"/>
  <c r="D5" i="8"/>
  <c r="D15" i="8" s="1"/>
  <c r="D7" i="8"/>
  <c r="D8" i="8" s="1"/>
  <c r="D19" i="2"/>
  <c r="X18" i="3" l="1"/>
  <c r="N4" i="16"/>
  <c r="N7" i="16" s="1"/>
  <c r="N11" i="16" s="1"/>
  <c r="R31" i="16"/>
  <c r="R33" i="16" s="1"/>
  <c r="P4" i="16"/>
  <c r="P7" i="16" s="1"/>
  <c r="P11" i="16" s="1"/>
  <c r="T31" i="16"/>
  <c r="C25" i="8"/>
  <c r="U18" i="3"/>
  <c r="F21" i="8"/>
  <c r="F23" i="8" s="1"/>
  <c r="F25" i="8" s="1"/>
  <c r="F22" i="16"/>
  <c r="L4" i="16"/>
  <c r="L7" i="16" s="1"/>
  <c r="P31" i="16"/>
  <c r="P33" i="16" s="1"/>
  <c r="V18" i="3"/>
  <c r="H39" i="5"/>
  <c r="G14" i="7" s="1"/>
  <c r="H21" i="6"/>
  <c r="G21" i="16" s="1"/>
  <c r="H19" i="6"/>
  <c r="I19" i="6" s="1"/>
  <c r="H8" i="7"/>
  <c r="I8" i="7" s="1"/>
  <c r="G40" i="16" s="1"/>
  <c r="H9" i="7"/>
  <c r="I9" i="7" s="1"/>
  <c r="G41" i="16" s="1"/>
  <c r="H21" i="7"/>
  <c r="I21" i="7" s="1"/>
  <c r="G53" i="16" s="1"/>
  <c r="H23" i="6"/>
  <c r="I23" i="6" s="1"/>
  <c r="J4" i="6"/>
  <c r="H4" i="16" s="1"/>
  <c r="H7" i="7"/>
  <c r="I7" i="7" s="1"/>
  <c r="G39" i="16" s="1"/>
  <c r="H13" i="7"/>
  <c r="J13" i="7" s="1"/>
  <c r="H20" i="7"/>
  <c r="I20" i="7" s="1"/>
  <c r="G52" i="16" s="1"/>
  <c r="H23" i="7"/>
  <c r="I23" i="7" s="1"/>
  <c r="G55" i="16" s="1"/>
  <c r="U24" i="16" s="1"/>
  <c r="U26" i="16" s="1"/>
  <c r="H5" i="7"/>
  <c r="I5" i="7" s="1"/>
  <c r="G37" i="16" s="1"/>
  <c r="H24" i="7"/>
  <c r="I24" i="7" s="1"/>
  <c r="G56" i="16" s="1"/>
  <c r="H15" i="7"/>
  <c r="I15" i="7" s="1"/>
  <c r="G47" i="16" s="1"/>
  <c r="H5" i="6"/>
  <c r="I5" i="6" s="1"/>
  <c r="J5" i="6" s="1"/>
  <c r="H12" i="7"/>
  <c r="I12" i="7" s="1"/>
  <c r="G4" i="16"/>
  <c r="H7" i="6"/>
  <c r="G7" i="16" s="1"/>
  <c r="H4" i="7"/>
  <c r="J4" i="7" s="1"/>
  <c r="K4" i="7" s="1"/>
  <c r="H8" i="6"/>
  <c r="G8" i="16" s="1"/>
  <c r="H20" i="6"/>
  <c r="G20" i="16" s="1"/>
  <c r="H9" i="6"/>
  <c r="G9" i="16" s="1"/>
  <c r="H17" i="7"/>
  <c r="J17" i="7" s="1"/>
  <c r="K17" i="7" s="1"/>
  <c r="H18" i="6"/>
  <c r="G18" i="16" s="1"/>
  <c r="I4" i="6"/>
  <c r="H12" i="6"/>
  <c r="G12" i="16" s="1"/>
  <c r="U27" i="16" s="1"/>
  <c r="H16" i="7"/>
  <c r="I16" i="7" s="1"/>
  <c r="G48" i="16" s="1"/>
  <c r="H14" i="6"/>
  <c r="G14" i="16" s="1"/>
  <c r="H18" i="7"/>
  <c r="J18" i="7" s="1"/>
  <c r="H15" i="6"/>
  <c r="G15" i="16" s="1"/>
  <c r="H13" i="6"/>
  <c r="I13" i="6" s="1"/>
  <c r="J13" i="6" s="1"/>
  <c r="I8" i="6"/>
  <c r="I21" i="6"/>
  <c r="J12" i="2"/>
  <c r="J16" i="2"/>
  <c r="J18" i="2"/>
  <c r="J27" i="2"/>
  <c r="J31" i="2"/>
  <c r="J7" i="2"/>
  <c r="J9" i="2"/>
  <c r="J13" i="2"/>
  <c r="J19" i="2"/>
  <c r="J23" i="2"/>
  <c r="J24" i="2"/>
  <c r="J28" i="2"/>
  <c r="J32" i="2"/>
  <c r="J4" i="2"/>
  <c r="J10" i="2"/>
  <c r="J20" i="2"/>
  <c r="J29" i="2"/>
  <c r="J33" i="2"/>
  <c r="J17" i="2"/>
  <c r="J26" i="2"/>
  <c r="J8" i="2"/>
  <c r="J21" i="2"/>
  <c r="J34" i="2"/>
  <c r="J5" i="2"/>
  <c r="J15" i="2"/>
  <c r="D44" i="5"/>
  <c r="J35" i="2"/>
  <c r="F30" i="2"/>
  <c r="R25" i="2"/>
  <c r="F50" i="5"/>
  <c r="P11" i="2"/>
  <c r="J11" i="2"/>
  <c r="D36" i="5"/>
  <c r="H47" i="5"/>
  <c r="G22" i="7" s="1"/>
  <c r="J14" i="2"/>
  <c r="E30" i="2"/>
  <c r="Q25" i="2"/>
  <c r="E50" i="5"/>
  <c r="W18" i="3"/>
  <c r="H31" i="5"/>
  <c r="G6" i="7" s="1"/>
  <c r="B30" i="2"/>
  <c r="N25" i="2"/>
  <c r="B50" i="5"/>
  <c r="C30" i="2"/>
  <c r="O25" i="2"/>
  <c r="C50" i="5"/>
  <c r="D30" i="2"/>
  <c r="P25" i="2"/>
  <c r="J25" i="2"/>
  <c r="D50" i="5"/>
  <c r="E19" i="2"/>
  <c r="Q11" i="2"/>
  <c r="E36" i="5"/>
  <c r="W14" i="3"/>
  <c r="J22" i="2"/>
  <c r="F19" i="2"/>
  <c r="L11" i="2" s="1"/>
  <c r="R11" i="2"/>
  <c r="F36" i="5"/>
  <c r="C19" i="2"/>
  <c r="I11" i="2" s="1"/>
  <c r="U11" i="2" s="1"/>
  <c r="O11" i="2"/>
  <c r="C36" i="5"/>
  <c r="B19" i="2"/>
  <c r="H11" i="2" s="1"/>
  <c r="T11" i="2" s="1"/>
  <c r="N11" i="2"/>
  <c r="B36" i="5"/>
  <c r="J6" i="2"/>
  <c r="I10" i="7"/>
  <c r="G42" i="16" s="1"/>
  <c r="J10" i="7"/>
  <c r="B16" i="1"/>
  <c r="C16" i="1"/>
  <c r="D16" i="1"/>
  <c r="E16" i="1"/>
  <c r="F16" i="1"/>
  <c r="C10" i="1"/>
  <c r="D10" i="1"/>
  <c r="E10" i="1"/>
  <c r="F10" i="1"/>
  <c r="B10" i="1"/>
  <c r="F6" i="1"/>
  <c r="E6" i="1"/>
  <c r="D6" i="1"/>
  <c r="C6" i="1"/>
  <c r="B6" i="1"/>
  <c r="L25" i="2" l="1"/>
  <c r="I18" i="6"/>
  <c r="J18" i="6" s="1"/>
  <c r="H18" i="16" s="1"/>
  <c r="L4" i="6"/>
  <c r="I4" i="16" s="1"/>
  <c r="I20" i="6"/>
  <c r="J20" i="6" s="1"/>
  <c r="J24" i="7"/>
  <c r="K24" i="7" s="1"/>
  <c r="L24" i="7" s="1"/>
  <c r="H56" i="16" s="1"/>
  <c r="I18" i="7"/>
  <c r="G50" i="16" s="1"/>
  <c r="H16" i="6"/>
  <c r="G16" i="16" s="1"/>
  <c r="K10" i="7"/>
  <c r="M10" i="7" s="1"/>
  <c r="G13" i="16"/>
  <c r="I17" i="7"/>
  <c r="G49" i="16" s="1"/>
  <c r="J16" i="7"/>
  <c r="K16" i="7" s="1"/>
  <c r="M16" i="7" s="1"/>
  <c r="N16" i="7" s="1"/>
  <c r="G19" i="16"/>
  <c r="J15" i="7"/>
  <c r="K15" i="7" s="1"/>
  <c r="J8" i="7"/>
  <c r="K8" i="7" s="1"/>
  <c r="M8" i="7" s="1"/>
  <c r="G5" i="16"/>
  <c r="J8" i="6"/>
  <c r="K8" i="6" s="1"/>
  <c r="H6" i="6"/>
  <c r="I6" i="6" s="1"/>
  <c r="H6" i="7"/>
  <c r="H11" i="7" s="1"/>
  <c r="J5" i="7"/>
  <c r="K5" i="7" s="1"/>
  <c r="M5" i="7" s="1"/>
  <c r="N5" i="7" s="1"/>
  <c r="J21" i="6"/>
  <c r="H21" i="16" s="1"/>
  <c r="J19" i="6"/>
  <c r="H19" i="16" s="1"/>
  <c r="H14" i="7"/>
  <c r="J14" i="7" s="1"/>
  <c r="J12" i="7"/>
  <c r="K12" i="7" s="1"/>
  <c r="M12" i="7" s="1"/>
  <c r="N12" i="7" s="1"/>
  <c r="I4" i="7"/>
  <c r="G36" i="16" s="1"/>
  <c r="J23" i="7"/>
  <c r="K23" i="7" s="1"/>
  <c r="L23" i="7" s="1"/>
  <c r="H55" i="16" s="1"/>
  <c r="V24" i="16" s="1"/>
  <c r="V26" i="16" s="1"/>
  <c r="J9" i="7"/>
  <c r="K9" i="7" s="1"/>
  <c r="L9" i="7" s="1"/>
  <c r="H41" i="16" s="1"/>
  <c r="J7" i="7"/>
  <c r="K7" i="7" s="1"/>
  <c r="M7" i="7" s="1"/>
  <c r="N7" i="7" s="1"/>
  <c r="K4" i="6"/>
  <c r="J23" i="6"/>
  <c r="H23" i="16" s="1"/>
  <c r="G23" i="16"/>
  <c r="K18" i="7"/>
  <c r="L18" i="7" s="1"/>
  <c r="H50" i="16" s="1"/>
  <c r="I9" i="6"/>
  <c r="J9" i="6" s="1"/>
  <c r="H9" i="16" s="1"/>
  <c r="H22" i="7"/>
  <c r="H25" i="7" s="1"/>
  <c r="J21" i="7"/>
  <c r="K21" i="7" s="1"/>
  <c r="L21" i="7" s="1"/>
  <c r="H53" i="16" s="1"/>
  <c r="I13" i="7"/>
  <c r="G45" i="16" s="1"/>
  <c r="Q5" i="16" s="1"/>
  <c r="I14" i="6"/>
  <c r="J14" i="6" s="1"/>
  <c r="H14" i="16" s="1"/>
  <c r="K13" i="7"/>
  <c r="L13" i="7" s="1"/>
  <c r="H45" i="16" s="1"/>
  <c r="H10" i="6"/>
  <c r="G10" i="16" s="1"/>
  <c r="J20" i="7"/>
  <c r="K20" i="7" s="1"/>
  <c r="M20" i="7" s="1"/>
  <c r="N20" i="7" s="1"/>
  <c r="I15" i="6"/>
  <c r="J15" i="6" s="1"/>
  <c r="K15" i="6" s="1"/>
  <c r="I12" i="6"/>
  <c r="J12" i="6" s="1"/>
  <c r="H12" i="16" s="1"/>
  <c r="V27" i="16" s="1"/>
  <c r="I7" i="6"/>
  <c r="J7" i="6" s="1"/>
  <c r="H7" i="16" s="1"/>
  <c r="U29" i="16"/>
  <c r="K13" i="6"/>
  <c r="H13" i="16"/>
  <c r="G44" i="16"/>
  <c r="K5" i="6"/>
  <c r="H5" i="16"/>
  <c r="Q6" i="16"/>
  <c r="K18" i="6"/>
  <c r="Q10" i="1"/>
  <c r="K10" i="1"/>
  <c r="E11" i="5"/>
  <c r="K5" i="2"/>
  <c r="K15" i="2"/>
  <c r="K17" i="2"/>
  <c r="K21" i="2"/>
  <c r="K26" i="2"/>
  <c r="K34" i="2"/>
  <c r="K8" i="2"/>
  <c r="K12" i="2"/>
  <c r="K16" i="2"/>
  <c r="K18" i="2"/>
  <c r="K27" i="2"/>
  <c r="K31" i="2"/>
  <c r="Q19" i="2"/>
  <c r="K7" i="2"/>
  <c r="K9" i="2"/>
  <c r="K13" i="2"/>
  <c r="K19" i="2"/>
  <c r="K23" i="2"/>
  <c r="K24" i="2"/>
  <c r="K28" i="2"/>
  <c r="K32" i="2"/>
  <c r="K4" i="2"/>
  <c r="K10" i="2"/>
  <c r="K20" i="2"/>
  <c r="K33" i="2"/>
  <c r="K29" i="2"/>
  <c r="E44" i="5"/>
  <c r="K6" i="2"/>
  <c r="K22" i="2"/>
  <c r="K14" i="2"/>
  <c r="K35" i="2"/>
  <c r="H6" i="1"/>
  <c r="T6" i="1" s="1"/>
  <c r="N6" i="1"/>
  <c r="B7" i="5"/>
  <c r="P10" i="1"/>
  <c r="J10" i="1"/>
  <c r="D11" i="5"/>
  <c r="J16" i="1"/>
  <c r="P16" i="1"/>
  <c r="D17" i="5"/>
  <c r="V23" i="2"/>
  <c r="C11" i="1"/>
  <c r="O6" i="1"/>
  <c r="I6" i="1"/>
  <c r="U6" i="1" s="1"/>
  <c r="C7" i="5"/>
  <c r="O16" i="1"/>
  <c r="I16" i="1"/>
  <c r="C17" i="5"/>
  <c r="H8" i="2"/>
  <c r="T8" i="2" s="1"/>
  <c r="H10" i="2"/>
  <c r="T10" i="2" s="1"/>
  <c r="H20" i="2"/>
  <c r="T20" i="2" s="1"/>
  <c r="H29" i="2"/>
  <c r="T29" i="2" s="1"/>
  <c r="H33" i="2"/>
  <c r="T33" i="2" s="1"/>
  <c r="H4" i="2"/>
  <c r="T4" i="2" s="1"/>
  <c r="H5" i="2"/>
  <c r="T5" i="2" s="1"/>
  <c r="H15" i="2"/>
  <c r="T15" i="2" s="1"/>
  <c r="H21" i="2"/>
  <c r="T21" i="2" s="1"/>
  <c r="H26" i="2"/>
  <c r="T26" i="2" s="1"/>
  <c r="H34" i="2"/>
  <c r="T34" i="2" s="1"/>
  <c r="H17" i="2"/>
  <c r="T17" i="2" s="1"/>
  <c r="H12" i="2"/>
  <c r="T12" i="2" s="1"/>
  <c r="H16" i="2"/>
  <c r="T16" i="2" s="1"/>
  <c r="H18" i="2"/>
  <c r="T18" i="2" s="1"/>
  <c r="H27" i="2"/>
  <c r="T27" i="2" s="1"/>
  <c r="H31" i="2"/>
  <c r="T31" i="2" s="1"/>
  <c r="H7" i="2"/>
  <c r="T7" i="2" s="1"/>
  <c r="H24" i="2"/>
  <c r="T24" i="2" s="1"/>
  <c r="N19" i="2"/>
  <c r="H28" i="2"/>
  <c r="T28" i="2" s="1"/>
  <c r="H13" i="2"/>
  <c r="T13" i="2" s="1"/>
  <c r="H9" i="2"/>
  <c r="T9" i="2" s="1"/>
  <c r="H19" i="2"/>
  <c r="T19" i="2" s="1"/>
  <c r="H32" i="2"/>
  <c r="T32" i="2" s="1"/>
  <c r="H23" i="2"/>
  <c r="T23" i="2" s="1"/>
  <c r="B44" i="5"/>
  <c r="H35" i="2"/>
  <c r="T35" i="2" s="1"/>
  <c r="H14" i="2"/>
  <c r="T14" i="2" s="1"/>
  <c r="H22" i="2"/>
  <c r="T22" i="2" s="1"/>
  <c r="H6" i="2"/>
  <c r="T6" i="2" s="1"/>
  <c r="O19" i="2"/>
  <c r="I8" i="2"/>
  <c r="U8" i="2" s="1"/>
  <c r="I7" i="2"/>
  <c r="U7" i="2" s="1"/>
  <c r="I9" i="2"/>
  <c r="U9" i="2" s="1"/>
  <c r="I13" i="2"/>
  <c r="I19" i="2"/>
  <c r="I23" i="2"/>
  <c r="U23" i="2" s="1"/>
  <c r="I24" i="2"/>
  <c r="U24" i="2" s="1"/>
  <c r="I28" i="2"/>
  <c r="I32" i="2"/>
  <c r="U32" i="2" s="1"/>
  <c r="I4" i="2"/>
  <c r="U4" i="2" s="1"/>
  <c r="I17" i="2"/>
  <c r="I10" i="2"/>
  <c r="I20" i="2"/>
  <c r="I29" i="2"/>
  <c r="U29" i="2" s="1"/>
  <c r="I33" i="2"/>
  <c r="I5" i="2"/>
  <c r="I15" i="2"/>
  <c r="I21" i="2"/>
  <c r="I26" i="2"/>
  <c r="U26" i="2" s="1"/>
  <c r="I34" i="2"/>
  <c r="I27" i="2"/>
  <c r="I16" i="2"/>
  <c r="U16" i="2" s="1"/>
  <c r="I18" i="2"/>
  <c r="U18" i="2" s="1"/>
  <c r="I31" i="2"/>
  <c r="I12" i="2"/>
  <c r="U12" i="2" s="1"/>
  <c r="C44" i="5"/>
  <c r="I14" i="2"/>
  <c r="I22" i="2"/>
  <c r="I35" i="2"/>
  <c r="I6" i="2"/>
  <c r="L23" i="2"/>
  <c r="X23" i="2" s="1"/>
  <c r="L10" i="2"/>
  <c r="L20" i="2"/>
  <c r="L29" i="2"/>
  <c r="X29" i="2" s="1"/>
  <c r="L33" i="2"/>
  <c r="L5" i="2"/>
  <c r="L15" i="2"/>
  <c r="L17" i="2"/>
  <c r="L21" i="2"/>
  <c r="L26" i="2"/>
  <c r="L34" i="2"/>
  <c r="L8" i="2"/>
  <c r="L12" i="2"/>
  <c r="L16" i="2"/>
  <c r="L18" i="2"/>
  <c r="L27" i="2"/>
  <c r="L31" i="2"/>
  <c r="R19" i="2"/>
  <c r="L13" i="2"/>
  <c r="L32" i="2"/>
  <c r="L7" i="2"/>
  <c r="X7" i="2" s="1"/>
  <c r="L24" i="2"/>
  <c r="L4" i="2"/>
  <c r="L19" i="2"/>
  <c r="L28" i="2"/>
  <c r="L9" i="2"/>
  <c r="F44" i="5"/>
  <c r="L14" i="2"/>
  <c r="L6" i="2"/>
  <c r="X6" i="2" s="1"/>
  <c r="L35" i="2"/>
  <c r="X35" i="2" s="1"/>
  <c r="L22" i="2"/>
  <c r="X22" i="2" s="1"/>
  <c r="I25" i="2"/>
  <c r="H25" i="2"/>
  <c r="T25" i="2" s="1"/>
  <c r="E36" i="2"/>
  <c r="K30" i="2"/>
  <c r="Q30" i="2"/>
  <c r="V11" i="2"/>
  <c r="V15" i="2"/>
  <c r="V29" i="2"/>
  <c r="V19" i="2"/>
  <c r="P19" i="2"/>
  <c r="V16" i="2"/>
  <c r="E11" i="1"/>
  <c r="Q6" i="1"/>
  <c r="K6" i="1"/>
  <c r="W6" i="1" s="1"/>
  <c r="E7" i="5"/>
  <c r="Q16" i="1"/>
  <c r="K16" i="1"/>
  <c r="E17" i="5"/>
  <c r="X11" i="2"/>
  <c r="D36" i="2"/>
  <c r="P30" i="2"/>
  <c r="J30" i="2"/>
  <c r="C36" i="2"/>
  <c r="O30" i="2"/>
  <c r="I30" i="2"/>
  <c r="U30" i="2" s="1"/>
  <c r="B36" i="2"/>
  <c r="N30" i="2"/>
  <c r="H30" i="2"/>
  <c r="T30" i="2" s="1"/>
  <c r="K25" i="2"/>
  <c r="W25" i="2" s="1"/>
  <c r="V35" i="2"/>
  <c r="V17" i="2"/>
  <c r="V27" i="2"/>
  <c r="R6" i="1"/>
  <c r="L6" i="1"/>
  <c r="X6" i="1" s="1"/>
  <c r="F7" i="5"/>
  <c r="H50" i="5"/>
  <c r="G25" i="7" s="1"/>
  <c r="X25" i="2"/>
  <c r="B11" i="1"/>
  <c r="N10" i="1"/>
  <c r="H10" i="1"/>
  <c r="T10" i="1" s="1"/>
  <c r="B11" i="5"/>
  <c r="O10" i="1"/>
  <c r="I10" i="1"/>
  <c r="C11" i="5"/>
  <c r="D11" i="1"/>
  <c r="P6" i="1"/>
  <c r="J6" i="1"/>
  <c r="V6" i="1" s="1"/>
  <c r="D7" i="5"/>
  <c r="L10" i="1"/>
  <c r="R10" i="1"/>
  <c r="F11" i="5"/>
  <c r="R16" i="1"/>
  <c r="L16" i="1"/>
  <c r="F17" i="5"/>
  <c r="N16" i="1"/>
  <c r="H16" i="1"/>
  <c r="T16" i="1" s="1"/>
  <c r="B17" i="5"/>
  <c r="H36" i="5"/>
  <c r="G11" i="7" s="1"/>
  <c r="V22" i="2"/>
  <c r="K11" i="2"/>
  <c r="W11" i="2" s="1"/>
  <c r="R30" i="2"/>
  <c r="L30" i="2"/>
  <c r="X30" i="2" s="1"/>
  <c r="F36" i="2"/>
  <c r="V26" i="2"/>
  <c r="V20" i="2"/>
  <c r="V31" i="2"/>
  <c r="M4" i="7"/>
  <c r="L4" i="7"/>
  <c r="H36" i="16" s="1"/>
  <c r="I22" i="7"/>
  <c r="G54" i="16" s="1"/>
  <c r="J6" i="6"/>
  <c r="M17" i="7"/>
  <c r="L17" i="7"/>
  <c r="H49" i="16" s="1"/>
  <c r="F11" i="1"/>
  <c r="V16" i="1" l="1"/>
  <c r="V32" i="2"/>
  <c r="U31" i="2"/>
  <c r="U28" i="2"/>
  <c r="V33" i="2"/>
  <c r="W14" i="2"/>
  <c r="W16" i="1"/>
  <c r="V28" i="2"/>
  <c r="U10" i="1"/>
  <c r="U25" i="2"/>
  <c r="X28" i="2"/>
  <c r="X31" i="2"/>
  <c r="X12" i="2"/>
  <c r="X21" i="2"/>
  <c r="X33" i="2"/>
  <c r="U14" i="2"/>
  <c r="U33" i="2"/>
  <c r="U17" i="2"/>
  <c r="H44" i="5"/>
  <c r="G19" i="7" s="1"/>
  <c r="U16" i="1"/>
  <c r="W22" i="2"/>
  <c r="W33" i="2"/>
  <c r="W32" i="2"/>
  <c r="W19" i="2"/>
  <c r="W16" i="2"/>
  <c r="W26" i="2"/>
  <c r="V12" i="2"/>
  <c r="V14" i="2"/>
  <c r="X16" i="1"/>
  <c r="X10" i="1"/>
  <c r="V21" i="2"/>
  <c r="V30" i="2"/>
  <c r="V8" i="2"/>
  <c r="W30" i="2"/>
  <c r="V25" i="2"/>
  <c r="X14" i="2"/>
  <c r="X19" i="2"/>
  <c r="X32" i="2"/>
  <c r="X27" i="2"/>
  <c r="X8" i="2"/>
  <c r="X17" i="2"/>
  <c r="U21" i="2"/>
  <c r="V10" i="2"/>
  <c r="W28" i="2"/>
  <c r="W31" i="2"/>
  <c r="W12" i="2"/>
  <c r="W21" i="2"/>
  <c r="I10" i="6"/>
  <c r="M4" i="6"/>
  <c r="L8" i="7"/>
  <c r="H40" i="16" s="1"/>
  <c r="M9" i="7"/>
  <c r="N9" i="7" s="1"/>
  <c r="O9" i="7" s="1"/>
  <c r="I41" i="16" s="1"/>
  <c r="L13" i="6"/>
  <c r="M13" i="6" s="1"/>
  <c r="L8" i="6"/>
  <c r="I8" i="16" s="1"/>
  <c r="N10" i="7"/>
  <c r="P10" i="7" s="1"/>
  <c r="M18" i="7"/>
  <c r="N18" i="7" s="1"/>
  <c r="P18" i="7" s="1"/>
  <c r="M23" i="7"/>
  <c r="N23" i="7" s="1"/>
  <c r="P23" i="7" s="1"/>
  <c r="L10" i="7"/>
  <c r="H42" i="16" s="1"/>
  <c r="N17" i="7"/>
  <c r="P17" i="7" s="1"/>
  <c r="G6" i="16"/>
  <c r="K23" i="6"/>
  <c r="L23" i="6" s="1"/>
  <c r="M23" i="6" s="1"/>
  <c r="K20" i="6"/>
  <c r="L20" i="6" s="1"/>
  <c r="I20" i="16" s="1"/>
  <c r="H20" i="16"/>
  <c r="N4" i="7"/>
  <c r="P4" i="7" s="1"/>
  <c r="H8" i="16"/>
  <c r="N8" i="7"/>
  <c r="O8" i="7" s="1"/>
  <c r="I40" i="16" s="1"/>
  <c r="L12" i="7"/>
  <c r="H44" i="16" s="1"/>
  <c r="K6" i="7"/>
  <c r="K11" i="7" s="1"/>
  <c r="M21" i="7"/>
  <c r="N21" i="7" s="1"/>
  <c r="N22" i="7" s="1"/>
  <c r="P22" i="7" s="1"/>
  <c r="L5" i="7"/>
  <c r="H37" i="16" s="1"/>
  <c r="K7" i="6"/>
  <c r="L7" i="6" s="1"/>
  <c r="I7" i="16" s="1"/>
  <c r="L16" i="7"/>
  <c r="H48" i="16" s="1"/>
  <c r="L18" i="6"/>
  <c r="I18" i="16" s="1"/>
  <c r="L5" i="6"/>
  <c r="M5" i="6" s="1"/>
  <c r="L15" i="6"/>
  <c r="I15" i="16" s="1"/>
  <c r="L15" i="7"/>
  <c r="H47" i="16" s="1"/>
  <c r="M15" i="7"/>
  <c r="N15" i="7" s="1"/>
  <c r="O15" i="7" s="1"/>
  <c r="I47" i="16" s="1"/>
  <c r="K21" i="6"/>
  <c r="L21" i="6" s="1"/>
  <c r="I21" i="16" s="1"/>
  <c r="I6" i="7"/>
  <c r="G38" i="16" s="1"/>
  <c r="I16" i="6"/>
  <c r="J6" i="7"/>
  <c r="J10" i="6"/>
  <c r="H10" i="16" s="1"/>
  <c r="K19" i="6"/>
  <c r="L19" i="6" s="1"/>
  <c r="M19" i="6" s="1"/>
  <c r="K9" i="6"/>
  <c r="L9" i="6" s="1"/>
  <c r="I9" i="16" s="1"/>
  <c r="K14" i="7"/>
  <c r="M14" i="7" s="1"/>
  <c r="J22" i="7"/>
  <c r="L7" i="7"/>
  <c r="H39" i="16" s="1"/>
  <c r="M24" i="7"/>
  <c r="N24" i="7" s="1"/>
  <c r="P24" i="7" s="1"/>
  <c r="K12" i="6"/>
  <c r="L12" i="6" s="1"/>
  <c r="I12" i="16" s="1"/>
  <c r="W27" i="16" s="1"/>
  <c r="M13" i="7"/>
  <c r="N13" i="7" s="1"/>
  <c r="N14" i="7" s="1"/>
  <c r="P14" i="7" s="1"/>
  <c r="K14" i="6"/>
  <c r="L14" i="6" s="1"/>
  <c r="M14" i="6" s="1"/>
  <c r="R5" i="16"/>
  <c r="K22" i="7"/>
  <c r="M22" i="7" s="1"/>
  <c r="I14" i="7"/>
  <c r="G46" i="16" s="1"/>
  <c r="Q10" i="16" s="1"/>
  <c r="L20" i="7"/>
  <c r="H52" i="16" s="1"/>
  <c r="H15" i="16"/>
  <c r="J16" i="6"/>
  <c r="K16" i="6" s="1"/>
  <c r="V29" i="16"/>
  <c r="K6" i="6"/>
  <c r="H6" i="16"/>
  <c r="R6" i="16"/>
  <c r="I36" i="2"/>
  <c r="O36" i="2"/>
  <c r="X4" i="2"/>
  <c r="X13" i="2"/>
  <c r="X18" i="2"/>
  <c r="X34" i="2"/>
  <c r="X15" i="2"/>
  <c r="X20" i="2"/>
  <c r="U35" i="2"/>
  <c r="U27" i="2"/>
  <c r="U15" i="2"/>
  <c r="U20" i="2"/>
  <c r="U19" i="2"/>
  <c r="C17" i="1"/>
  <c r="O11" i="1"/>
  <c r="I11" i="1"/>
  <c r="C12" i="5"/>
  <c r="V10" i="1"/>
  <c r="W35" i="2"/>
  <c r="W10" i="2"/>
  <c r="W24" i="2"/>
  <c r="W9" i="2"/>
  <c r="W27" i="2"/>
  <c r="W8" i="2"/>
  <c r="W17" i="2"/>
  <c r="W10" i="1"/>
  <c r="G6" i="6"/>
  <c r="W5" i="2"/>
  <c r="B17" i="1"/>
  <c r="N11" i="1"/>
  <c r="H11" i="1"/>
  <c r="T11" i="1" s="1"/>
  <c r="B12" i="5"/>
  <c r="N36" i="2"/>
  <c r="H36" i="2"/>
  <c r="T36" i="2" s="1"/>
  <c r="U6" i="2"/>
  <c r="V34" i="2"/>
  <c r="W6" i="2"/>
  <c r="W20" i="2"/>
  <c r="W13" i="2"/>
  <c r="F17" i="1"/>
  <c r="R11" i="1"/>
  <c r="L11" i="1"/>
  <c r="F12" i="5"/>
  <c r="V13" i="2"/>
  <c r="V5" i="2"/>
  <c r="H17" i="5"/>
  <c r="G16" i="6" s="1"/>
  <c r="P11" i="1"/>
  <c r="J11" i="1"/>
  <c r="D12" i="5"/>
  <c r="H11" i="5"/>
  <c r="G10" i="6" s="1"/>
  <c r="V18" i="2"/>
  <c r="Q36" i="2"/>
  <c r="K36" i="2"/>
  <c r="D17" i="1"/>
  <c r="R36" i="2"/>
  <c r="L36" i="2"/>
  <c r="V4" i="2"/>
  <c r="V24" i="2"/>
  <c r="P36" i="2"/>
  <c r="J36" i="2"/>
  <c r="E17" i="1"/>
  <c r="Q11" i="1"/>
  <c r="K11" i="1"/>
  <c r="W11" i="1" s="1"/>
  <c r="E12" i="5"/>
  <c r="X9" i="2"/>
  <c r="X24" i="2"/>
  <c r="X16" i="2"/>
  <c r="X26" i="2"/>
  <c r="X5" i="2"/>
  <c r="X10" i="2"/>
  <c r="U22" i="2"/>
  <c r="U34" i="2"/>
  <c r="U5" i="2"/>
  <c r="U10" i="2"/>
  <c r="U13" i="2"/>
  <c r="V6" i="2"/>
  <c r="V7" i="2"/>
  <c r="V9" i="2"/>
  <c r="W29" i="2"/>
  <c r="W4" i="2"/>
  <c r="W23" i="2"/>
  <c r="W7" i="2"/>
  <c r="W18" i="2"/>
  <c r="W34" i="2"/>
  <c r="W15" i="2"/>
  <c r="J11" i="7"/>
  <c r="G11" i="8"/>
  <c r="H19" i="7"/>
  <c r="J19" i="7" s="1"/>
  <c r="H30" i="7"/>
  <c r="J25" i="7"/>
  <c r="P12" i="7"/>
  <c r="O12" i="7"/>
  <c r="I44" i="16" s="1"/>
  <c r="P16" i="7"/>
  <c r="O16" i="7"/>
  <c r="I48" i="16" s="1"/>
  <c r="P20" i="7"/>
  <c r="O20" i="7"/>
  <c r="I52" i="16" s="1"/>
  <c r="O21" i="7"/>
  <c r="I53" i="16" s="1"/>
  <c r="O5" i="7"/>
  <c r="I37" i="16" s="1"/>
  <c r="P5" i="7"/>
  <c r="P7" i="7"/>
  <c r="O7" i="7"/>
  <c r="I39" i="16" s="1"/>
  <c r="P15" i="7" l="1"/>
  <c r="W36" i="2"/>
  <c r="V36" i="2"/>
  <c r="X36" i="2"/>
  <c r="V11" i="1"/>
  <c r="U11" i="1"/>
  <c r="I13" i="16"/>
  <c r="P21" i="7"/>
  <c r="I23" i="16"/>
  <c r="M21" i="6"/>
  <c r="M6" i="7"/>
  <c r="P9" i="7"/>
  <c r="O23" i="7"/>
  <c r="I55" i="16" s="1"/>
  <c r="W24" i="16" s="1"/>
  <c r="W26" i="16" s="1"/>
  <c r="P8" i="7"/>
  <c r="M8" i="6"/>
  <c r="M20" i="6"/>
  <c r="O24" i="7"/>
  <c r="I56" i="16" s="1"/>
  <c r="M9" i="6"/>
  <c r="N6" i="7"/>
  <c r="P6" i="7" s="1"/>
  <c r="O4" i="7"/>
  <c r="I36" i="16" s="1"/>
  <c r="O18" i="7"/>
  <c r="I50" i="16" s="1"/>
  <c r="O10" i="7"/>
  <c r="I42" i="16" s="1"/>
  <c r="M15" i="6"/>
  <c r="L6" i="6"/>
  <c r="I6" i="16" s="1"/>
  <c r="M18" i="6"/>
  <c r="O17" i="7"/>
  <c r="I49" i="16" s="1"/>
  <c r="M12" i="6"/>
  <c r="K25" i="7"/>
  <c r="M25" i="7" s="1"/>
  <c r="L10" i="6"/>
  <c r="M10" i="6" s="1"/>
  <c r="I11" i="7"/>
  <c r="G43" i="16" s="1"/>
  <c r="L14" i="7"/>
  <c r="H46" i="16" s="1"/>
  <c r="R10" i="16" s="1"/>
  <c r="K10" i="6"/>
  <c r="I5" i="16"/>
  <c r="M7" i="6"/>
  <c r="L6" i="7"/>
  <c r="L11" i="7" s="1"/>
  <c r="H43" i="16" s="1"/>
  <c r="O13" i="7"/>
  <c r="I45" i="16" s="1"/>
  <c r="S5" i="16" s="1"/>
  <c r="W29" i="16"/>
  <c r="I19" i="16"/>
  <c r="I14" i="16"/>
  <c r="P13" i="7"/>
  <c r="M28" i="16"/>
  <c r="S33" i="16" s="1"/>
  <c r="H16" i="16"/>
  <c r="L16" i="6"/>
  <c r="M16" i="6" s="1"/>
  <c r="L22" i="7"/>
  <c r="H54" i="16" s="1"/>
  <c r="S6" i="16"/>
  <c r="F22" i="1"/>
  <c r="L17" i="1"/>
  <c r="R17" i="1"/>
  <c r="F18" i="5"/>
  <c r="D22" i="1"/>
  <c r="P17" i="1"/>
  <c r="J17" i="1"/>
  <c r="V17" i="1" s="1"/>
  <c r="D18" i="5"/>
  <c r="X11" i="1"/>
  <c r="C22" i="1"/>
  <c r="I17" i="1"/>
  <c r="U17" i="1" s="1"/>
  <c r="O17" i="1"/>
  <c r="C18" i="5"/>
  <c r="H12" i="5"/>
  <c r="G11" i="6" s="1"/>
  <c r="H11" i="6" s="1"/>
  <c r="G11" i="16" s="1"/>
  <c r="E22" i="1"/>
  <c r="Q17" i="1"/>
  <c r="K17" i="1"/>
  <c r="E18" i="5"/>
  <c r="B22" i="1"/>
  <c r="H17" i="1"/>
  <c r="T17" i="1" s="1"/>
  <c r="N17" i="1"/>
  <c r="B18" i="5"/>
  <c r="H18" i="5" s="1"/>
  <c r="G17" i="6" s="1"/>
  <c r="H17" i="6" s="1"/>
  <c r="G17" i="16" s="1"/>
  <c r="U36" i="2"/>
  <c r="G12" i="8"/>
  <c r="G16" i="8"/>
  <c r="G22" i="8"/>
  <c r="N25" i="7"/>
  <c r="P25" i="7" s="1"/>
  <c r="O22" i="7"/>
  <c r="I54" i="16" s="1"/>
  <c r="K19" i="7"/>
  <c r="M11" i="7"/>
  <c r="X17" i="1" l="1"/>
  <c r="W17" i="1"/>
  <c r="N11" i="7"/>
  <c r="N19" i="7" s="1"/>
  <c r="H38" i="16"/>
  <c r="I11" i="8"/>
  <c r="O6" i="7"/>
  <c r="O11" i="7" s="1"/>
  <c r="I43" i="16" s="1"/>
  <c r="M6" i="6"/>
  <c r="I10" i="16"/>
  <c r="K30" i="7"/>
  <c r="I19" i="7"/>
  <c r="G51" i="16" s="1"/>
  <c r="O14" i="7"/>
  <c r="I46" i="16" s="1"/>
  <c r="S10" i="16" s="1"/>
  <c r="I16" i="16"/>
  <c r="T33" i="16"/>
  <c r="L19" i="7"/>
  <c r="H51" i="16" s="1"/>
  <c r="Q4" i="16"/>
  <c r="Q7" i="16" s="1"/>
  <c r="U31" i="16"/>
  <c r="B24" i="1"/>
  <c r="N22" i="1"/>
  <c r="H22" i="1"/>
  <c r="T22" i="1" s="1"/>
  <c r="B23" i="5"/>
  <c r="B4" i="3"/>
  <c r="I11" i="6"/>
  <c r="J11" i="6" s="1"/>
  <c r="H11" i="16" s="1"/>
  <c r="G17" i="8"/>
  <c r="E24" i="1"/>
  <c r="Q22" i="1"/>
  <c r="K22" i="1"/>
  <c r="E23" i="5"/>
  <c r="E4" i="3"/>
  <c r="I17" i="6"/>
  <c r="J17" i="6" s="1"/>
  <c r="H17" i="16" s="1"/>
  <c r="H22" i="6"/>
  <c r="G22" i="16" s="1"/>
  <c r="C24" i="1"/>
  <c r="I22" i="1"/>
  <c r="U22" i="1" s="1"/>
  <c r="O22" i="1"/>
  <c r="C23" i="5"/>
  <c r="C4" i="3"/>
  <c r="D24" i="1"/>
  <c r="J22" i="1"/>
  <c r="P22" i="1"/>
  <c r="D23" i="5"/>
  <c r="D4" i="3"/>
  <c r="F24" i="1"/>
  <c r="R22" i="1"/>
  <c r="L22" i="1"/>
  <c r="X22" i="1" s="1"/>
  <c r="F23" i="5"/>
  <c r="F4" i="3"/>
  <c r="I16" i="8"/>
  <c r="H22" i="8"/>
  <c r="N30" i="7"/>
  <c r="I12" i="8"/>
  <c r="M19" i="7"/>
  <c r="I38" i="16" l="1"/>
  <c r="K11" i="8"/>
  <c r="P11" i="7"/>
  <c r="H16" i="8"/>
  <c r="J16" i="8"/>
  <c r="O19" i="7"/>
  <c r="I51" i="16" s="1"/>
  <c r="R4" i="16"/>
  <c r="R7" i="16" s="1"/>
  <c r="V31" i="16"/>
  <c r="E8" i="3"/>
  <c r="Q4" i="3"/>
  <c r="K4" i="3"/>
  <c r="K24" i="1"/>
  <c r="Q24" i="1"/>
  <c r="E25" i="5"/>
  <c r="O4" i="3"/>
  <c r="I4" i="3"/>
  <c r="U4" i="3" s="1"/>
  <c r="C8" i="3"/>
  <c r="I24" i="1"/>
  <c r="O24" i="1"/>
  <c r="C25" i="5"/>
  <c r="F8" i="3"/>
  <c r="L4" i="3"/>
  <c r="R4" i="3"/>
  <c r="L24" i="1"/>
  <c r="R24" i="1"/>
  <c r="F25" i="5"/>
  <c r="V22" i="1"/>
  <c r="G21" i="8"/>
  <c r="G23" i="8" s="1"/>
  <c r="G7" i="8"/>
  <c r="H24" i="6"/>
  <c r="G14" i="8"/>
  <c r="I22" i="6"/>
  <c r="G4" i="8"/>
  <c r="H4" i="8"/>
  <c r="W22" i="1"/>
  <c r="K11" i="6"/>
  <c r="L11" i="6" s="1"/>
  <c r="I11" i="16" s="1"/>
  <c r="I17" i="8"/>
  <c r="H23" i="5"/>
  <c r="G22" i="6" s="1"/>
  <c r="D8" i="3"/>
  <c r="P4" i="3"/>
  <c r="J4" i="3"/>
  <c r="P24" i="1"/>
  <c r="J24" i="1"/>
  <c r="D25" i="5"/>
  <c r="K17" i="6"/>
  <c r="L17" i="6" s="1"/>
  <c r="J22" i="6"/>
  <c r="H22" i="16" s="1"/>
  <c r="B8" i="3"/>
  <c r="N4" i="3"/>
  <c r="H4" i="3"/>
  <c r="T4" i="3" s="1"/>
  <c r="H24" i="1"/>
  <c r="T24" i="1" s="1"/>
  <c r="N24" i="1"/>
  <c r="B25" i="5"/>
  <c r="K16" i="8"/>
  <c r="I22" i="8"/>
  <c r="K12" i="8"/>
  <c r="P19" i="7"/>
  <c r="L16" i="8" l="1"/>
  <c r="I17" i="16"/>
  <c r="L22" i="6"/>
  <c r="I22" i="16" s="1"/>
  <c r="I24" i="6"/>
  <c r="G24" i="16"/>
  <c r="K22" i="6"/>
  <c r="I7" i="8"/>
  <c r="H21" i="8"/>
  <c r="H23" i="8" s="1"/>
  <c r="I14" i="8"/>
  <c r="J24" i="6"/>
  <c r="J32" i="6" s="1"/>
  <c r="I4" i="8"/>
  <c r="J4" i="8"/>
  <c r="W24" i="1"/>
  <c r="M17" i="6"/>
  <c r="H25" i="5"/>
  <c r="G24" i="6" s="1"/>
  <c r="M11" i="6"/>
  <c r="K17" i="8"/>
  <c r="H32" i="6"/>
  <c r="H31" i="7" s="1"/>
  <c r="R8" i="3"/>
  <c r="L8" i="3"/>
  <c r="U24" i="1"/>
  <c r="V4" i="3"/>
  <c r="X4" i="3"/>
  <c r="W4" i="3"/>
  <c r="N8" i="3"/>
  <c r="H8" i="3"/>
  <c r="T8" i="3" s="1"/>
  <c r="V24" i="1"/>
  <c r="J8" i="3"/>
  <c r="P8" i="3"/>
  <c r="X24" i="1"/>
  <c r="I8" i="3"/>
  <c r="O8" i="3"/>
  <c r="K8" i="3"/>
  <c r="Q8" i="3"/>
  <c r="S4" i="16" l="1"/>
  <c r="S7" i="16" s="1"/>
  <c r="W31" i="16"/>
  <c r="K24" i="6"/>
  <c r="H24" i="16"/>
  <c r="W8" i="3"/>
  <c r="K14" i="8"/>
  <c r="K7" i="8"/>
  <c r="M22" i="6"/>
  <c r="L24" i="6"/>
  <c r="I21" i="8"/>
  <c r="I23" i="8" s="1"/>
  <c r="L4" i="8"/>
  <c r="K4" i="8"/>
  <c r="X8" i="3"/>
  <c r="I31" i="7"/>
  <c r="G63" i="16" s="1"/>
  <c r="H35" i="7"/>
  <c r="V8" i="3"/>
  <c r="U8" i="3"/>
  <c r="M24" i="6" l="1"/>
  <c r="I24" i="16"/>
  <c r="L32" i="6"/>
  <c r="G6" i="8"/>
  <c r="G13" i="8"/>
  <c r="H36" i="7"/>
  <c r="I38" i="7" s="1"/>
  <c r="I25" i="7" s="1"/>
  <c r="G57" i="16" s="1"/>
  <c r="Q8" i="16" s="1"/>
  <c r="G5" i="8"/>
  <c r="G15" i="8" s="1"/>
  <c r="K31" i="7"/>
  <c r="I35" i="7"/>
  <c r="G67" i="16" s="1"/>
  <c r="S16" i="16" s="1"/>
  <c r="S17" i="16" l="1"/>
  <c r="S18" i="16"/>
  <c r="Q9" i="16"/>
  <c r="Q11" i="16" s="1"/>
  <c r="I30" i="7"/>
  <c r="G62" i="16" s="1"/>
  <c r="H11" i="8"/>
  <c r="H12" i="8"/>
  <c r="H5" i="8"/>
  <c r="H15" i="8" s="1"/>
  <c r="H13" i="8"/>
  <c r="K35" i="7"/>
  <c r="N31" i="7"/>
  <c r="L31" i="7"/>
  <c r="I36" i="7" l="1"/>
  <c r="G68" i="16" s="1"/>
  <c r="U33" i="16"/>
  <c r="S19" i="16"/>
  <c r="L35" i="7"/>
  <c r="H67" i="16" s="1"/>
  <c r="T16" i="16" s="1"/>
  <c r="H63" i="16"/>
  <c r="E9" i="8"/>
  <c r="E10" i="8" s="1"/>
  <c r="I13" i="8"/>
  <c r="K36" i="7"/>
  <c r="L38" i="7" s="1"/>
  <c r="L25" i="7" s="1"/>
  <c r="H57" i="16" s="1"/>
  <c r="R8" i="16" s="1"/>
  <c r="R9" i="16" s="1"/>
  <c r="R11" i="16" s="1"/>
  <c r="I6" i="8"/>
  <c r="I5" i="8"/>
  <c r="I15" i="8" s="1"/>
  <c r="N35" i="7"/>
  <c r="O31" i="7"/>
  <c r="G24" i="8"/>
  <c r="G25" i="8" s="1"/>
  <c r="H6" i="8"/>
  <c r="J13" i="8" l="1"/>
  <c r="J5" i="8"/>
  <c r="J15" i="8" s="1"/>
  <c r="T17" i="16"/>
  <c r="T18" i="16"/>
  <c r="O35" i="7"/>
  <c r="I67" i="16" s="1"/>
  <c r="U16" i="16" s="1"/>
  <c r="I63" i="16"/>
  <c r="L30" i="7"/>
  <c r="H62" i="16" s="1"/>
  <c r="J11" i="8"/>
  <c r="J12" i="8"/>
  <c r="K6" i="8"/>
  <c r="N36" i="7"/>
  <c r="O38" i="7" s="1"/>
  <c r="O25" i="7" s="1"/>
  <c r="I57" i="16" s="1"/>
  <c r="S8" i="16" s="1"/>
  <c r="S9" i="16" s="1"/>
  <c r="S11" i="16" s="1"/>
  <c r="K13" i="8"/>
  <c r="K5" i="8"/>
  <c r="K15" i="8" s="1"/>
  <c r="L5" i="8" l="1"/>
  <c r="L15" i="8" s="1"/>
  <c r="L13" i="8"/>
  <c r="U17" i="16"/>
  <c r="U18" i="16"/>
  <c r="T19" i="16"/>
  <c r="V33" i="16"/>
  <c r="L11" i="8"/>
  <c r="L12" i="8"/>
  <c r="O30" i="7"/>
  <c r="I62" i="16" s="1"/>
  <c r="H24" i="8"/>
  <c r="H25" i="8" s="1"/>
  <c r="J6" i="8"/>
  <c r="L36" i="7"/>
  <c r="H68" i="16" s="1"/>
  <c r="W33" i="16" l="1"/>
  <c r="M30" i="16" s="1"/>
  <c r="U19" i="16"/>
  <c r="O36" i="7"/>
  <c r="I68" i="16" s="1"/>
  <c r="I24" i="8"/>
  <c r="I25" i="8" s="1"/>
  <c r="B26" i="8" s="1"/>
  <c r="L6" i="8"/>
  <c r="V5" i="16" l="1"/>
  <c r="L9" i="5" s="1"/>
  <c r="K8" i="5"/>
  <c r="N9" i="5" l="1"/>
  <c r="M9" i="5"/>
  <c r="X6" i="16"/>
  <c r="X7" i="16" s="1"/>
  <c r="W6" i="16"/>
  <c r="L10" i="5" s="1"/>
  <c r="L11" i="5" s="1"/>
  <c r="L12" i="5" s="1"/>
  <c r="Y6" i="16"/>
  <c r="Y7" i="16" s="1"/>
  <c r="Y8" i="16" s="1"/>
  <c r="Y9" i="16" s="1"/>
  <c r="K9" i="5"/>
  <c r="V6" i="16"/>
  <c r="K10" i="5" s="1"/>
  <c r="K11" i="5" s="1"/>
  <c r="K12" i="5" s="1"/>
  <c r="X8" i="16"/>
  <c r="X9" i="16" s="1"/>
  <c r="W7" i="16" l="1"/>
  <c r="W8" i="16" s="1"/>
  <c r="W9" i="16" s="1"/>
  <c r="N10" i="5"/>
  <c r="N11" i="5" s="1"/>
  <c r="N12" i="5" s="1"/>
  <c r="V7" i="16"/>
  <c r="V8" i="16" s="1"/>
  <c r="V9" i="16" s="1"/>
  <c r="M10" i="5"/>
  <c r="M11" i="5" s="1"/>
  <c r="M12" i="5" s="1"/>
</calcChain>
</file>

<file path=xl/sharedStrings.xml><?xml version="1.0" encoding="utf-8"?>
<sst xmlns="http://purl.oclc.org/ooxml/spreadsheetml/main" count="508" uniqueCount="279">
  <si>
    <t>Alphabet Inc (NMS: GOOG L)</t>
  </si>
  <si>
    <t xml:space="preserve">Standardized Annual Income Statement </t>
  </si>
  <si>
    <t>-</t>
  </si>
  <si>
    <t>Total Revenue</t>
  </si>
  <si>
    <t>Direct Costs</t>
  </si>
  <si>
    <t>Gross Profit</t>
  </si>
  <si>
    <t>Selling General &amp; Admin</t>
  </si>
  <si>
    <t>Research &amp; Development</t>
  </si>
  <si>
    <t>Other Operating Expense</t>
  </si>
  <si>
    <t>Total Indirect Operating Costs</t>
  </si>
  <si>
    <t>Operating Income</t>
  </si>
  <si>
    <t>Interest Income</t>
  </si>
  <si>
    <t>Gains on Sale of Assets</t>
  </si>
  <si>
    <t>Foreign Exchange Gains</t>
  </si>
  <si>
    <t>Other Non-Operating Income</t>
  </si>
  <si>
    <t>Total Non-Operating Income</t>
  </si>
  <si>
    <t>Earnings Before Tax</t>
  </si>
  <si>
    <t>Taxation</t>
  </si>
  <si>
    <t>Discontinued Operations</t>
  </si>
  <si>
    <t>Extraordinary Items</t>
  </si>
  <si>
    <t>Accounting Changes</t>
  </si>
  <si>
    <t>Net Income</t>
  </si>
  <si>
    <t>Preference Dividends &amp; Similar</t>
  </si>
  <si>
    <t>Net Income to Common</t>
  </si>
  <si>
    <t>Average Shares Basic</t>
  </si>
  <si>
    <t>EPS Net Basic</t>
  </si>
  <si>
    <t>EPS Continuing Basic</t>
  </si>
  <si>
    <t>Average Shares Diluted</t>
  </si>
  <si>
    <t>EPS Net Diluted</t>
  </si>
  <si>
    <t>EPS Continuing Diluted</t>
  </si>
  <si>
    <t>Shares Outstanding</t>
  </si>
  <si>
    <t xml:space="preserve">Standardized Annual Balance Sheet </t>
  </si>
  <si>
    <t>Cash &amp; Equivalents</t>
  </si>
  <si>
    <t>Short Term Investments</t>
  </si>
  <si>
    <t>Cash &amp; Equivs &amp; ST Investments</t>
  </si>
  <si>
    <t>Receivables (ST)</t>
  </si>
  <si>
    <t>Inventories</t>
  </si>
  <si>
    <t>Current Tax Assets</t>
  </si>
  <si>
    <t>Other Current Assets</t>
  </si>
  <si>
    <t>Total Current Assets</t>
  </si>
  <si>
    <t>Gross Property Plant &amp; Equip</t>
  </si>
  <si>
    <t>Accumulated Depreciation</t>
  </si>
  <si>
    <t>Net Property Plant &amp; Equip</t>
  </si>
  <si>
    <t>Long Term Investments</t>
  </si>
  <si>
    <t>Intangible Assets</t>
  </si>
  <si>
    <t>Deferred LT Assets</t>
  </si>
  <si>
    <t>Other Assets</t>
  </si>
  <si>
    <t>Total Assets</t>
  </si>
  <si>
    <t>Accounts Payable &amp; Accrued Exps</t>
  </si>
  <si>
    <t>Accounts Payable</t>
  </si>
  <si>
    <t>Accrued Expenses</t>
  </si>
  <si>
    <t>Current Debt</t>
  </si>
  <si>
    <t>Other Current Liabilities</t>
  </si>
  <si>
    <t>Total Current Liabilities</t>
  </si>
  <si>
    <t>LT Debt &amp; Leases</t>
  </si>
  <si>
    <t>Deferred LT Liabilities</t>
  </si>
  <si>
    <t>Minority Interests</t>
  </si>
  <si>
    <t>Other Liabilities</t>
  </si>
  <si>
    <t>Total Liabilities</t>
  </si>
  <si>
    <t>Retained Earnings</t>
  </si>
  <si>
    <t>Accum Other Comprehensive Income</t>
  </si>
  <si>
    <t>For Curr Trans (BS)</t>
  </si>
  <si>
    <t>Other Equity</t>
  </si>
  <si>
    <t>Total Equity</t>
  </si>
  <si>
    <t>Total Liabilities &amp; Equity</t>
  </si>
  <si>
    <t xml:space="preserve">Standardized Annual Cash Flows </t>
  </si>
  <si>
    <t>Adjustments from Inc to Cash</t>
  </si>
  <si>
    <t>Change in Working Capital</t>
  </si>
  <si>
    <t>Other Operating Cash Flows</t>
  </si>
  <si>
    <t>Cash Flow from Operations</t>
  </si>
  <si>
    <t>Purchase of Pty Plant &amp; Equip</t>
  </si>
  <si>
    <t>Purchase of Investments</t>
  </si>
  <si>
    <t>Proceeds from Pty Plant &amp; Equip</t>
  </si>
  <si>
    <t>Disposal of Investments</t>
  </si>
  <si>
    <t>Other Investing Cash Flows</t>
  </si>
  <si>
    <t>Cash Flow from Investing</t>
  </si>
  <si>
    <t>Change in LT Debt</t>
  </si>
  <si>
    <t>Change in Equity</t>
  </si>
  <si>
    <t>Other Financing Cash Flows</t>
  </si>
  <si>
    <t>Cash Flow from Financing</t>
  </si>
  <si>
    <t>Effect of Exchange Rate</t>
  </si>
  <si>
    <t>Change in Cash</t>
  </si>
  <si>
    <t>Opening Cash</t>
  </si>
  <si>
    <t>Closing Cash</t>
  </si>
  <si>
    <t>Depn &amp; Amortn (CF)</t>
  </si>
  <si>
    <t>Net Purch of Pty Plant &amp; Equip</t>
  </si>
  <si>
    <t xml:space="preserve">Table of Contents </t>
  </si>
  <si>
    <t xml:space="preserve">Assumptions </t>
  </si>
  <si>
    <t xml:space="preserve">Income Statement </t>
  </si>
  <si>
    <t xml:space="preserve">Balance Sheet </t>
  </si>
  <si>
    <t xml:space="preserve">Statement of Cash Flows </t>
  </si>
  <si>
    <t xml:space="preserve">Sales Growth </t>
  </si>
  <si>
    <t xml:space="preserve">Trend </t>
  </si>
  <si>
    <t xml:space="preserve">Average </t>
  </si>
  <si>
    <t>Trend</t>
  </si>
  <si>
    <t xml:space="preserve">Percentage of Sales: Income Statement </t>
  </si>
  <si>
    <t xml:space="preserve">Percentage of Sales: Balance Sheet </t>
  </si>
  <si>
    <t xml:space="preserve">Growth: </t>
  </si>
  <si>
    <t>Avg % of Sales</t>
  </si>
  <si>
    <t>2018E</t>
  </si>
  <si>
    <t>2019E</t>
  </si>
  <si>
    <t>2020E</t>
  </si>
  <si>
    <t>Pro-Forma IS</t>
  </si>
  <si>
    <t>Pro-Forma BS</t>
  </si>
  <si>
    <t xml:space="preserve">Addition to Retained Earnings </t>
  </si>
  <si>
    <t>% of Sales 2018</t>
  </si>
  <si>
    <t>% of Sales 2019</t>
  </si>
  <si>
    <t>% of Sales 2020</t>
  </si>
  <si>
    <t>Adjusted 2018E</t>
  </si>
  <si>
    <t>EFN:</t>
  </si>
  <si>
    <t>Adjusted 2019E</t>
  </si>
  <si>
    <t>Adjusted 2020E</t>
  </si>
  <si>
    <t xml:space="preserve">Ratio Analysis </t>
  </si>
  <si>
    <t>Current Ratio</t>
  </si>
  <si>
    <t>Return on Assets (ROA)</t>
  </si>
  <si>
    <t>Return on Equuity (ROE)</t>
  </si>
  <si>
    <t>Debt-to-Equity Ratio</t>
  </si>
  <si>
    <t>Earnings Per Share (EPS)</t>
  </si>
  <si>
    <t xml:space="preserve">Price-to-Earnings (PE) Ratio </t>
  </si>
  <si>
    <t>Market-to-Book Ratio</t>
  </si>
  <si>
    <t xml:space="preserve">Book-to-Market Ratio </t>
  </si>
  <si>
    <t xml:space="preserve">NWC to Total Assets </t>
  </si>
  <si>
    <t xml:space="preserve">Total Debt Ratio </t>
  </si>
  <si>
    <t>Profit Margin (PM)</t>
  </si>
  <si>
    <t xml:space="preserve">Equity Multiplier </t>
  </si>
  <si>
    <t>Total Asset Turnover (TAT)</t>
  </si>
  <si>
    <t xml:space="preserve">Operating Cash Flow (OCF) </t>
  </si>
  <si>
    <t xml:space="preserve">Average Shares Oustanding </t>
  </si>
  <si>
    <t>2019 Adj.</t>
  </si>
  <si>
    <t xml:space="preserve">2020 Adj. </t>
  </si>
  <si>
    <t>2018 Adj.</t>
  </si>
  <si>
    <t xml:space="preserve">Stock Price </t>
  </si>
  <si>
    <t xml:space="preserve">DuPont Identity </t>
  </si>
  <si>
    <t>Net Income/Sales = Profit Margin</t>
  </si>
  <si>
    <t xml:space="preserve">Sales/Assets = Asset Turnover </t>
  </si>
  <si>
    <t xml:space="preserve">Total Debt/Assets = Financing Plan </t>
  </si>
  <si>
    <t>ROA/(1-Financing Plan) = ROE</t>
  </si>
  <si>
    <t>Profit Margin(Asset Turnover) = ROA</t>
  </si>
  <si>
    <t xml:space="preserve">Individual Research </t>
  </si>
  <si>
    <t>3 Direct Competitors</t>
  </si>
  <si>
    <t>GOOGL</t>
  </si>
  <si>
    <t>AMZN</t>
  </si>
  <si>
    <t>FB</t>
  </si>
  <si>
    <t>Market Cap</t>
  </si>
  <si>
    <t xml:space="preserve">Total Assets </t>
  </si>
  <si>
    <t>Revenues</t>
  </si>
  <si>
    <t>Gross Margin</t>
  </si>
  <si>
    <t>EBITDA</t>
  </si>
  <si>
    <t xml:space="preserve">PE Ratio </t>
  </si>
  <si>
    <t>338,693 M</t>
  </si>
  <si>
    <t>887,669 M</t>
  </si>
  <si>
    <t>382,927 M</t>
  </si>
  <si>
    <t xml:space="preserve">Source: </t>
  </si>
  <si>
    <t>Mergent Online</t>
  </si>
  <si>
    <t xml:space="preserve">Common Size </t>
  </si>
  <si>
    <t>Common Base-Year</t>
  </si>
  <si>
    <t>Combined</t>
  </si>
  <si>
    <t>VLOOKUP</t>
  </si>
  <si>
    <t>DTB3</t>
  </si>
  <si>
    <t xml:space="preserve">DATE </t>
  </si>
  <si>
    <t xml:space="preserve">S&amp;P 500 </t>
  </si>
  <si>
    <t>Date</t>
  </si>
  <si>
    <t xml:space="preserve">GOOGL Ret </t>
  </si>
  <si>
    <t>S&amp;P 500 Ret</t>
  </si>
  <si>
    <t>GOOGL ExRet</t>
  </si>
  <si>
    <t>S&amp;P 500 ExRet</t>
  </si>
  <si>
    <t>Rf</t>
  </si>
  <si>
    <t>Y</t>
  </si>
  <si>
    <t xml:space="preserve">X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</si>
  <si>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</si>
  <si>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</si>
  <si>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</si>
  <si>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</si>
  <si>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</si>
  <si>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</si>
  <si>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</si>
  <si>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</si>
  <si>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</si>
  <si>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</si>
  <si>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</si>
  <si>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</si>
  <si>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</si>
  <si>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</si>
  <si>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</si>
  <si>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</si>
  <si>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</si>
  <si>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</si>
  <si>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</si>
  <si>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</si>
  <si>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</si>
  <si>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</si>
  <si>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</si>
  <si>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</si>
  <si>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</si>
  <si>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AVG PRICE</t>
  </si>
  <si>
    <t>DEVIATION</t>
  </si>
  <si>
    <t>DEVIATION SQUARED</t>
  </si>
  <si>
    <t>Sum of Squared Deviations</t>
  </si>
  <si>
    <t>Divided by # of Observations</t>
  </si>
  <si>
    <t>STANDARD DEVIATION</t>
  </si>
  <si>
    <t>Open</t>
  </si>
  <si>
    <t>High</t>
  </si>
  <si>
    <t>Low</t>
  </si>
  <si>
    <t>Adj Close</t>
  </si>
  <si>
    <t>Volume</t>
  </si>
  <si>
    <t xml:space="preserve">SBUX </t>
  </si>
  <si>
    <t>SBUX Ret</t>
  </si>
  <si>
    <t>P&amp;G</t>
  </si>
  <si>
    <t>P&amp;G Ret</t>
  </si>
  <si>
    <t>JPM CHASE</t>
  </si>
  <si>
    <t>JPM CHASE Ret</t>
  </si>
  <si>
    <t>AVG JPM Ret</t>
  </si>
  <si>
    <t>AVG SBUX Ret</t>
  </si>
  <si>
    <t>AVG P&amp;G Ret</t>
  </si>
  <si>
    <t>AVG GOOGL Ret</t>
  </si>
  <si>
    <t xml:space="preserve"> </t>
  </si>
  <si>
    <t>Shares Outstanding Class A</t>
  </si>
  <si>
    <t>GOOGL Ret</t>
  </si>
  <si>
    <t>EBIT</t>
  </si>
  <si>
    <t>DEPRECIATION</t>
  </si>
  <si>
    <t>TAXES</t>
  </si>
  <si>
    <t>OCF</t>
  </si>
  <si>
    <t>NWC</t>
  </si>
  <si>
    <t>Chg IN NWC</t>
  </si>
  <si>
    <t>Net Capital Spending (NCS)</t>
  </si>
  <si>
    <t>CFFA/FCF</t>
  </si>
  <si>
    <t>WACC:</t>
  </si>
  <si>
    <t>Weights</t>
  </si>
  <si>
    <t xml:space="preserve">Equity: </t>
  </si>
  <si>
    <t>Debt:</t>
  </si>
  <si>
    <t>Total:</t>
  </si>
  <si>
    <t xml:space="preserve">rf: </t>
  </si>
  <si>
    <t>rm-rf:</t>
  </si>
  <si>
    <r>
      <rPr>
        <sz val="12"/>
        <rFont val="Calibri"/>
        <family val="2"/>
      </rPr>
      <t>β</t>
    </r>
    <r>
      <rPr>
        <sz val="12"/>
        <rFont val="Arial"/>
        <family val="2"/>
      </rPr>
      <t>:</t>
    </r>
  </si>
  <si>
    <t xml:space="preserve">Cost of Equity (re): </t>
  </si>
  <si>
    <t xml:space="preserve">Cost of Debt (rd): </t>
  </si>
  <si>
    <t xml:space="preserve">Total Debt </t>
  </si>
  <si>
    <t>Cost of Debt:</t>
  </si>
  <si>
    <t>(1-T):</t>
  </si>
  <si>
    <t>Retention Rate</t>
  </si>
  <si>
    <t>Sustainable Growth Rate</t>
  </si>
  <si>
    <t>Terminal Vlaue</t>
  </si>
  <si>
    <t>Company Value</t>
  </si>
  <si>
    <t xml:space="preserve">Value of Equity </t>
  </si>
  <si>
    <t>Prive per Share</t>
  </si>
  <si>
    <t>Average RoE</t>
  </si>
  <si>
    <t xml:space="preserve">Pessimistic Outlook </t>
  </si>
  <si>
    <t>Created by Zavala Castillo, Jose R on 12/15/2018</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</si>
  <si>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</si>
  <si>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</si>
  <si>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</si>
  <si>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</si>
  <si>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</si>
  <si>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</si>
  <si>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</si>
  <si>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Price per Share</t>
  </si>
  <si>
    <t>Year</t>
  </si>
  <si>
    <t xml:space="preserve"> Price per Share </t>
  </si>
  <si>
    <t>Optimistic Outlook</t>
  </si>
  <si>
    <t>GOOD</t>
  </si>
  <si>
    <t>Created by Zavala Castillo, Jose R on 12/15/2018
Modified by Zavala Castillo, Jose R on 12/15/2018</t>
  </si>
  <si>
    <t>BAD</t>
  </si>
  <si>
    <t>Costs</t>
  </si>
  <si>
    <t>Tax</t>
  </si>
  <si>
    <t xml:space="preserve">Sales </t>
  </si>
  <si>
    <t>FIN 3250-02</t>
  </si>
  <si>
    <r>
      <rPr>
        <b/>
        <sz val="28"/>
        <rFont val="Bodoni MT"/>
        <family val="1"/>
      </rPr>
      <t xml:space="preserve">Alphabet Inc. (NMS </t>
    </r>
    <r>
      <rPr>
        <b/>
        <sz val="28"/>
        <color rgb="FF00B0F0"/>
        <rFont val="Bodoni MT"/>
        <family val="1"/>
      </rPr>
      <t>G</t>
    </r>
    <r>
      <rPr>
        <b/>
        <sz val="28"/>
        <color rgb="FFFF0000"/>
        <rFont val="Bodoni MT"/>
        <family val="1"/>
      </rPr>
      <t>O</t>
    </r>
    <r>
      <rPr>
        <b/>
        <sz val="28"/>
        <color rgb="FFFFC000"/>
        <rFont val="Bodoni MT"/>
        <family val="1"/>
      </rPr>
      <t>O</t>
    </r>
    <r>
      <rPr>
        <b/>
        <sz val="28"/>
        <color rgb="FF00B0F0"/>
        <rFont val="Bodoni MT"/>
        <family val="1"/>
      </rPr>
      <t>G</t>
    </r>
    <r>
      <rPr>
        <b/>
        <sz val="28"/>
        <color rgb="FF00B050"/>
        <rFont val="Bodoni MT"/>
        <family val="1"/>
      </rPr>
      <t>L</t>
    </r>
    <r>
      <rPr>
        <b/>
        <sz val="28"/>
        <rFont val="Bodoni MT"/>
        <family val="1"/>
      </rPr>
      <t>)</t>
    </r>
  </si>
  <si>
    <r>
      <rPr>
        <b/>
        <sz val="22"/>
        <rFont val="Bodoni MT"/>
        <family val="1"/>
      </rPr>
      <t>Zavala, Jose</t>
    </r>
    <r>
      <rPr>
        <sz val="10"/>
        <rFont val="Arial"/>
        <family val="2"/>
      </rPr>
      <t xml:space="preserve"> </t>
    </r>
  </si>
  <si>
    <t xml:space="preserve">California State University, Los Angeles </t>
  </si>
  <si>
    <t>Business Administration: Opt Finance, Minor Accounting</t>
  </si>
  <si>
    <t>https://www.linkedin.com/in/josezavala1/</t>
  </si>
  <si>
    <t>Individual Research</t>
  </si>
  <si>
    <t>Company Research Analysis</t>
  </si>
  <si>
    <t>Financial &amp; Capital Structure</t>
  </si>
  <si>
    <t>Equity Research &amp; Stock Risks</t>
  </si>
  <si>
    <t>Regression &amp; Candlestick</t>
  </si>
  <si>
    <t>Correlation Table</t>
  </si>
  <si>
    <t>Cash Flow Analysis &amp; WACC</t>
  </si>
  <si>
    <t xml:space="preserve">Scenario Summary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</si>
</sst>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44" formatCode="_(&quot;$&quot;* #,##0.00_);_(&quot;$&quot;* \(#,##0.00\);_(&quot;$&quot;* &quot;-&quot;??_);_(@_)"/>
    <numFmt numFmtId="43" formatCode="_(* #,##0.00_);_(* \(#,##0.00\);_(* &quot;-&quot;??_);_(@_)"/>
    <numFmt numFmtId="164" formatCode="_(* #,##0.0_);_(* \(#,##0.0\);_(* &quot;-&quot;??_);_(@_)"/>
    <numFmt numFmtId="165" formatCode="0.0%"/>
    <numFmt numFmtId="166" formatCode="_(&quot;$&quot;* #,##0.0_);_(&quot;$&quot;* \(#,##0.0\);_(&quot;$&quot;* &quot;-&quot;??_);_(@_)"/>
    <numFmt numFmtId="167" formatCode="yyyy\-mm\-dd"/>
    <numFmt numFmtId="168" formatCode="_(* #,##0.0_);_(* \(#,##0.0\);_(* &quot;-&quot;?_);_(@_)"/>
    <numFmt numFmtId="169" formatCode="0.0000"/>
    <numFmt numFmtId="170" formatCode="0.000"/>
    <numFmt numFmtId="171" formatCode="_(* #,##0.0000_);_(* \(#,##0.0000\);_(* &quot;-&quot;??_);_(@_)"/>
    <numFmt numFmtId="172" formatCode="_(* #,##0.00000_);_(* \(#,##0.00000\);_(* &quot;-&quot;??_);_(@_)"/>
  </numFmts>
  <fonts count="33">
    <font>
      <sz val="10"/>
      <name val="Arial"/>
    </font>
    <font>
      <sz val="12"/>
      <color theme="1"/>
      <name val="ArialNarrow"/>
      <family val="2"/>
    </font>
    <font>
      <b/>
      <sz val="10"/>
      <name val="Arial"/>
    </font>
    <font>
      <b/>
      <sz val="16"/>
      <name val="Arial"/>
    </font>
    <font>
      <sz val="11"/>
      <color theme="1"/>
      <name val="Calibri"/>
      <family val="2"/>
      <scheme val="minor"/>
    </font>
    <font>
      <sz val="11"/>
      <color rgb="FF0432FF"/>
      <name val="Calibri"/>
      <family val="2"/>
      <scheme val="minor"/>
    </font>
    <font>
      <u/>
      <sz val="10"/>
      <color theme="10"/>
      <name val="Arial"/>
    </font>
    <font>
      <b/>
      <sz val="10"/>
      <name val="Arial"/>
      <family val="2"/>
    </font>
    <font>
      <sz val="10"/>
      <name val="Arial"/>
      <family val="2"/>
    </font>
    <font>
      <sz val="10"/>
      <color rgb="FFFF0000"/>
      <name val="Arial"/>
      <family val="2"/>
    </font>
    <font>
      <sz val="11"/>
      <name val="Calibri"/>
      <family val="2"/>
      <scheme val="minor"/>
    </font>
    <font>
      <sz val="10"/>
      <name val="Arial"/>
    </font>
    <font>
      <i/>
      <sz val="10"/>
      <name val="Arial"/>
      <family val="2"/>
    </font>
    <font>
      <sz val="12"/>
      <name val="Arial Narrow"/>
      <family val="2"/>
    </font>
    <font>
      <sz val="10"/>
      <name val="Arial Narrow"/>
      <family val="2"/>
    </font>
    <font>
      <sz val="11"/>
      <color rgb="FF0432FF"/>
      <name val="Arial Narrow"/>
      <family val="2"/>
    </font>
    <font>
      <sz val="11"/>
      <name val="Arial Narrow"/>
      <family val="2"/>
    </font>
    <font>
      <sz val="12"/>
      <name val="Arial"/>
      <family val="2"/>
    </font>
    <font>
      <sz val="12"/>
      <name val="Calibri"/>
      <family val="2"/>
    </font>
    <font>
      <b/>
      <sz val="11"/>
      <color indexed="9"/>
      <name val="Arial"/>
      <family val="2"/>
    </font>
    <font>
      <b/>
      <sz val="10"/>
      <color indexed="8"/>
      <name val="Arial"/>
      <family val="2"/>
    </font>
    <font>
      <b/>
      <sz val="10"/>
      <color indexed="18"/>
      <name val="Arial"/>
      <family val="2"/>
    </font>
    <font>
      <sz val="9"/>
      <color indexed="9"/>
      <name val="Arial"/>
      <family val="2"/>
    </font>
    <font>
      <sz val="8"/>
      <name val="Arial"/>
      <family val="2"/>
    </font>
    <font>
      <b/>
      <sz val="28"/>
      <name val="Bodoni MT"/>
      <family val="1"/>
    </font>
    <font>
      <b/>
      <sz val="28"/>
      <color rgb="FF00B0F0"/>
      <name val="Bodoni MT"/>
      <family val="1"/>
    </font>
    <font>
      <b/>
      <sz val="28"/>
      <color rgb="FFFFC000"/>
      <name val="Bodoni MT"/>
      <family val="1"/>
    </font>
    <font>
      <b/>
      <sz val="28"/>
      <color rgb="FFFF0000"/>
      <name val="Bodoni MT"/>
      <family val="1"/>
    </font>
    <font>
      <b/>
      <sz val="28"/>
      <color rgb="FF00B050"/>
      <name val="Bodoni MT"/>
      <family val="1"/>
    </font>
    <font>
      <b/>
      <sz val="22"/>
      <name val="Bodoni MT"/>
      <family val="1"/>
    </font>
    <font>
      <u/>
      <sz val="6"/>
      <color theme="10"/>
      <name val="Arial"/>
      <family val="2"/>
    </font>
    <font>
      <u/>
      <sz val="10"/>
      <color theme="10"/>
      <name val="Arial"/>
      <family val="2"/>
    </font>
    <font>
      <b/>
      <sz val="10"/>
      <name val="Bodoni MT"/>
      <family val="1"/>
    </font>
  </fonts>
  <fills count="18">
    <fill>
      <patternFill patternType="none"/>
    </fill>
    <fill>
      <patternFill patternType="gray125"/>
    </fill>
    <fill>
      <patternFill patternType="solid">
        <fgColor theme="8" tint="0.59999389629810485"/>
        <bgColor indexed="64"/>
      </patternFill>
    </fill>
    <fill>
      <patternFill patternType="solid">
        <fgColor rgb="FFE3ABA5"/>
        <bgColor indexed="64"/>
      </patternFill>
    </fill>
    <fill>
      <patternFill patternType="solid">
        <fgColor rgb="FFFFFF00"/>
        <bgColor indexed="64"/>
      </patternFill>
    </fill>
    <fill>
      <patternFill patternType="solid">
        <fgColor rgb="FFE8BBB6"/>
        <bgColor indexed="64"/>
      </patternFill>
    </fill>
    <fill>
      <patternFill patternType="solid">
        <fgColor theme="9" tint="0.59999389629810485"/>
        <bgColor indexed="64"/>
      </patternFill>
    </fill>
    <fill>
      <patternFill patternType="solid">
        <fgColor rgb="FFB1C4D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2">
    <border>
      <start/>
      <end/>
      <top/>
      <bottom/>
      <diagonal/>
    </border>
    <border>
      <start/>
      <end/>
      <top style="thin">
        <color indexed="64"/>
      </top>
      <bottom/>
      <diagonal/>
    </border>
    <border>
      <start/>
      <end/>
      <top style="thin">
        <color indexed="64"/>
      </top>
      <bottom style="thin">
        <color indexed="64"/>
      </bottom>
      <diagonal/>
    </border>
    <border>
      <start/>
      <end/>
      <top style="thin">
        <color indexed="64"/>
      </top>
      <bottom style="double">
        <color indexed="64"/>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end style="medium">
        <color indexed="64"/>
      </end>
      <top style="medium">
        <color indexed="64"/>
      </top>
      <bottom style="medium">
        <color indexed="64"/>
      </bottom>
      <diagonal/>
    </border>
    <border>
      <start style="medium">
        <color indexed="64"/>
      </start>
      <end/>
      <top/>
      <bottom style="medium">
        <color indexed="64"/>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end/>
      <top style="double">
        <color indexed="64"/>
      </top>
      <bottom style="thin">
        <color indexed="64"/>
      </bottom>
      <diagonal/>
    </border>
    <border>
      <start style="medium">
        <color indexed="64"/>
      </start>
      <end/>
      <top/>
      <bottom/>
      <diagonal/>
    </border>
    <border>
      <start/>
      <end/>
      <top/>
      <bottom style="medium">
        <color indexed="64"/>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end style="medium">
        <color indexed="64"/>
      </end>
      <top/>
      <bottom style="medium">
        <color indexed="64"/>
      </bottom>
      <diagonal/>
    </border>
    <border>
      <start/>
      <end/>
      <top/>
      <bottom style="thin">
        <color indexed="64"/>
      </bottom>
      <diagonal/>
    </border>
    <border>
      <start style="thin">
        <color indexed="64"/>
      </start>
      <end/>
      <top style="medium">
        <color indexed="64"/>
      </top>
      <bottom style="medium">
        <color indexed="64"/>
      </bottom>
      <diagonal/>
    </border>
    <border>
      <start style="thin">
        <color indexed="64"/>
      </start>
      <end style="thin">
        <color indexed="64"/>
      </end>
      <top style="thin">
        <color indexed="64"/>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thin">
        <color indexed="64"/>
      </start>
      <end style="thin">
        <color indexed="64"/>
      </end>
      <top/>
      <bottom style="thin">
        <color indexed="64"/>
      </bottom>
      <diagonal/>
    </border>
    <border>
      <start style="medium">
        <color indexed="64"/>
      </start>
      <end style="medium">
        <color indexed="64"/>
      </end>
      <top style="medium">
        <color indexed="64"/>
      </top>
      <bottom style="medium">
        <color indexed="64"/>
      </bottom>
      <diagonal/>
    </border>
    <border>
      <start/>
      <end style="medium">
        <color indexed="64"/>
      </end>
      <top/>
      <bottom/>
      <diagonal/>
    </border>
    <border>
      <start style="medium">
        <color indexed="64"/>
      </start>
      <end/>
      <top/>
      <bottom style="thin">
        <color indexed="64"/>
      </bottom>
      <diagonal/>
    </border>
    <border>
      <start style="thin">
        <color indexed="64"/>
      </start>
      <end/>
      <top/>
      <bottom style="thin">
        <color indexed="64"/>
      </bottom>
      <diagonal/>
    </border>
    <border>
      <start/>
      <end style="medium">
        <color indexed="64"/>
      </end>
      <top style="thin">
        <color indexed="64"/>
      </top>
      <bottom style="thin">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thin">
        <color indexed="64"/>
      </start>
      <end style="thin">
        <color indexed="64"/>
      </end>
      <top style="medium">
        <color indexed="64"/>
      </top>
      <bottom/>
      <diagonal/>
    </border>
    <border>
      <start style="thin">
        <color indexed="64"/>
      </start>
      <end style="medium">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bottom style="medium">
        <color indexed="64"/>
      </bottom>
      <diagonal/>
    </border>
    <border>
      <start style="thin">
        <color indexed="64"/>
      </start>
      <end style="medium">
        <color indexed="64"/>
      </end>
      <top/>
      <bottom style="medium">
        <color indexed="64"/>
      </bottom>
      <diagonal/>
    </border>
    <border>
      <start/>
      <end/>
      <top style="medium">
        <color indexed="64"/>
      </top>
      <bottom style="thin">
        <color indexed="64"/>
      </bottom>
      <diagonal/>
    </border>
    <border>
      <start style="medium">
        <color indexed="64"/>
      </start>
      <end style="medium">
        <color indexed="64"/>
      </end>
      <top/>
      <bottom/>
      <diagonal/>
    </border>
    <border>
      <start style="medium">
        <color indexed="64"/>
      </start>
      <end style="medium">
        <color indexed="64"/>
      </end>
      <top/>
      <bottom style="medium">
        <color indexed="64"/>
      </bottom>
      <diagonal/>
    </border>
    <border>
      <start/>
      <end style="thin">
        <color indexed="64"/>
      </end>
      <top style="medium">
        <color indexed="64"/>
      </top>
      <bottom style="medium">
        <color indexed="64"/>
      </bottom>
      <diagonal/>
    </border>
    <border>
      <start style="medium">
        <color indexed="64"/>
      </start>
      <end style="medium">
        <color indexed="64"/>
      </end>
      <top style="thin">
        <color indexed="64"/>
      </top>
      <bottom/>
      <diagonal/>
    </border>
    <border>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medium">
        <color indexed="64"/>
      </start>
      <end style="medium">
        <color indexed="64"/>
      </end>
      <top/>
      <bottom style="thin">
        <color indexed="64"/>
      </bottom>
      <diagonal/>
    </border>
    <border>
      <start/>
      <end style="medium">
        <color indexed="64"/>
      </end>
      <top/>
      <bottom style="thin">
        <color indexed="64"/>
      </bottom>
      <diagonal/>
    </border>
    <border>
      <start/>
      <end/>
      <top/>
      <bottom style="double">
        <color indexed="64"/>
      </bottom>
      <diagonal/>
    </border>
    <border>
      <start style="medium">
        <color indexed="64"/>
      </start>
      <end style="thin">
        <color indexed="64"/>
      </end>
      <top/>
      <bottom/>
      <diagonal/>
    </border>
  </borders>
  <cellStyleXfs count="6">
    <xf numFmtId="0" fontId="0" fillId="0" borderId="0" applyFill="0"/>
    <xf numFmtId="43" fontId="4" fillId="0" borderId="0" applyFont="0" applyFill="0" applyBorder="0" applyAlignment="0" applyProtection="0"/>
    <xf numFmtId="0" fontId="6" fillId="0" borderId="0" applyNumberFormat="0" applyFill="0" applyBorder="0" applyAlignment="0" applyProtection="0"/>
    <xf numFmtId="9" fontId="4" fillId="0" borderId="0" applyFont="0" applyFill="0" applyBorder="0" applyAlignment="0" applyProtection="0"/>
    <xf numFmtId="44" fontId="11" fillId="0" borderId="0" applyFont="0" applyFill="0" applyBorder="0" applyAlignment="0" applyProtection="0"/>
    <xf numFmtId="0" fontId="1" fillId="0" borderId="0"/>
  </cellStyleXfs>
  <cellXfs count="320">
    <xf numFmtId="0" fontId="0" fillId="0" borderId="0" xfId="0" applyFill="1"/>
    <xf numFmtId="0" fontId="2" fillId="0" borderId="0" xfId="0" applyFont="1" applyFill="1" applyAlignment="1">
      <alignment horizontal="left" vertical="top"/>
    </xf>
    <xf numFmtId="0" fontId="0" fillId="0" borderId="0" xfId="0" applyFill="1" applyAlignment="1">
      <alignment horizontal="left"/>
    </xf>
    <xf numFmtId="164" fontId="5" fillId="0" borderId="0" xfId="1" applyNumberFormat="1" applyFont="1" applyAlignment="1">
      <alignment horizontal="right"/>
    </xf>
    <xf numFmtId="164" fontId="0" fillId="0" borderId="0" xfId="1" applyNumberFormat="1" applyFont="1" applyFill="1" applyAlignment="1">
      <alignment horizontal="right"/>
    </xf>
    <xf numFmtId="164" fontId="0" fillId="0" borderId="1" xfId="1" applyNumberFormat="1" applyFont="1" applyFill="1" applyBorder="1" applyAlignment="1">
      <alignment horizontal="right"/>
    </xf>
    <xf numFmtId="164" fontId="0" fillId="0" borderId="2" xfId="1" applyNumberFormat="1" applyFont="1" applyFill="1" applyBorder="1" applyAlignment="1">
      <alignment horizontal="right"/>
    </xf>
    <xf numFmtId="164" fontId="0" fillId="0" borderId="3" xfId="1" applyNumberFormat="1" applyFont="1" applyFill="1" applyBorder="1" applyAlignment="1">
      <alignment horizontal="right"/>
    </xf>
    <xf numFmtId="0" fontId="2" fillId="2" borderId="7" xfId="0" applyFont="1" applyFill="1" applyBorder="1" applyAlignment="1">
      <alignment horizontal="left" vertical="top"/>
    </xf>
    <xf numFmtId="0" fontId="2" fillId="2" borderId="8" xfId="0" applyFont="1" applyFill="1" applyBorder="1" applyAlignment="1">
      <alignment horizontal="right" vertical="top" wrapText="1"/>
    </xf>
    <xf numFmtId="0" fontId="2" fillId="2" borderId="9" xfId="0" applyFont="1" applyFill="1" applyBorder="1" applyAlignment="1">
      <alignment horizontal="right" vertical="top" wrapText="1"/>
    </xf>
    <xf numFmtId="0" fontId="2" fillId="2" borderId="10" xfId="0" applyFont="1" applyFill="1" applyBorder="1" applyAlignment="1">
      <alignment horizontal="right" vertical="top" wrapText="1"/>
    </xf>
    <xf numFmtId="0" fontId="0" fillId="0" borderId="1" xfId="0" applyFill="1" applyBorder="1" applyAlignment="1">
      <alignment horizontal="left"/>
    </xf>
    <xf numFmtId="0" fontId="0" fillId="0" borderId="3" xfId="0" applyFill="1" applyBorder="1" applyAlignment="1">
      <alignment horizontal="left"/>
    </xf>
    <xf numFmtId="0" fontId="0" fillId="0" borderId="11" xfId="0" applyFill="1" applyBorder="1" applyAlignment="1">
      <alignment horizontal="left"/>
    </xf>
    <xf numFmtId="0" fontId="0" fillId="0" borderId="2" xfId="0" applyFill="1" applyBorder="1" applyAlignment="1">
      <alignment horizontal="left"/>
    </xf>
    <xf numFmtId="0" fontId="6" fillId="0" borderId="0" xfId="2" applyFill="1"/>
    <xf numFmtId="0" fontId="8" fillId="0" borderId="0" xfId="0" applyFont="1" applyFill="1"/>
    <xf numFmtId="164" fontId="5" fillId="0" borderId="0" xfId="1" applyNumberFormat="1" applyFont="1" applyFill="1" applyAlignment="1">
      <alignment horizontal="right"/>
    </xf>
    <xf numFmtId="0" fontId="2" fillId="2" borderId="4" xfId="0" applyFont="1" applyFill="1" applyBorder="1" applyAlignment="1">
      <alignment horizontal="left" vertical="top"/>
    </xf>
    <xf numFmtId="0" fontId="8" fillId="0" borderId="0" xfId="0" applyFont="1" applyFill="1" applyAlignment="1">
      <alignment horizontal="left"/>
    </xf>
    <xf numFmtId="0" fontId="0" fillId="0" borderId="2" xfId="0" applyFill="1" applyBorder="1"/>
    <xf numFmtId="10" fontId="0" fillId="0" borderId="0" xfId="3" applyNumberFormat="1" applyFont="1"/>
    <xf numFmtId="9" fontId="0" fillId="0" borderId="0" xfId="3" applyFont="1" applyFill="1"/>
    <xf numFmtId="10" fontId="0" fillId="3" borderId="0" xfId="0" applyNumberFormat="1" applyFill="1"/>
    <xf numFmtId="0" fontId="0" fillId="0" borderId="18" xfId="0" applyFill="1" applyBorder="1"/>
    <xf numFmtId="0" fontId="8" fillId="0" borderId="18" xfId="0" applyFont="1" applyFill="1" applyBorder="1"/>
    <xf numFmtId="0" fontId="8" fillId="3" borderId="18" xfId="0" applyFont="1" applyFill="1" applyBorder="1"/>
    <xf numFmtId="0" fontId="8" fillId="0" borderId="2" xfId="0" applyFont="1" applyFill="1" applyBorder="1"/>
    <xf numFmtId="0" fontId="8" fillId="3" borderId="2" xfId="0" applyFont="1" applyFill="1" applyBorder="1"/>
    <xf numFmtId="9" fontId="0" fillId="3" borderId="0" xfId="0" applyNumberFormat="1" applyFill="1"/>
    <xf numFmtId="0" fontId="0" fillId="0" borderId="0" xfId="0" applyFill="1" applyBorder="1"/>
    <xf numFmtId="165" fontId="0" fillId="0" borderId="0" xfId="3" applyNumberFormat="1" applyFont="1" applyFill="1"/>
    <xf numFmtId="0" fontId="0" fillId="2" borderId="7" xfId="0" applyFill="1" applyBorder="1"/>
    <xf numFmtId="0" fontId="0" fillId="2" borderId="17" xfId="0" applyFill="1" applyBorder="1"/>
    <xf numFmtId="9" fontId="0" fillId="4" borderId="0" xfId="0" applyNumberFormat="1" applyFill="1"/>
    <xf numFmtId="0" fontId="2" fillId="2" borderId="19" xfId="0" applyFont="1" applyFill="1" applyBorder="1" applyAlignment="1">
      <alignment horizontal="right" vertical="top" wrapText="1"/>
    </xf>
    <xf numFmtId="0" fontId="7" fillId="2" borderId="8" xfId="0" applyFont="1" applyFill="1" applyBorder="1"/>
    <xf numFmtId="0" fontId="7" fillId="2" borderId="9" xfId="0" applyFont="1" applyFill="1" applyBorder="1"/>
    <xf numFmtId="0" fontId="7" fillId="2" borderId="10" xfId="0" applyFont="1" applyFill="1" applyBorder="1"/>
    <xf numFmtId="0" fontId="0" fillId="0" borderId="3" xfId="0" applyFont="1" applyFill="1" applyBorder="1" applyAlignment="1">
      <alignment horizontal="left"/>
    </xf>
    <xf numFmtId="0" fontId="0" fillId="0" borderId="3" xfId="0" applyFill="1" applyBorder="1"/>
    <xf numFmtId="43" fontId="0" fillId="0" borderId="3" xfId="0" applyNumberFormat="1" applyFill="1" applyBorder="1"/>
    <xf numFmtId="0" fontId="7" fillId="2" borderId="15" xfId="0" applyFont="1" applyFill="1" applyBorder="1" applyAlignment="1">
      <alignment horizontal="center"/>
    </xf>
    <xf numFmtId="10" fontId="0" fillId="2" borderId="15" xfId="0" applyNumberFormat="1" applyFill="1" applyBorder="1"/>
    <xf numFmtId="0" fontId="0" fillId="2" borderId="15" xfId="0" applyFill="1" applyBorder="1"/>
    <xf numFmtId="0" fontId="0" fillId="2" borderId="16" xfId="0" applyFill="1" applyBorder="1"/>
    <xf numFmtId="0" fontId="0" fillId="2" borderId="13" xfId="0" applyFill="1" applyBorder="1"/>
    <xf numFmtId="9" fontId="0" fillId="4" borderId="0" xfId="3" applyFont="1" applyFill="1"/>
    <xf numFmtId="9" fontId="0" fillId="4" borderId="0" xfId="3" applyNumberFormat="1" applyFont="1" applyFill="1"/>
    <xf numFmtId="0" fontId="7" fillId="2" borderId="9" xfId="0" applyFont="1" applyFill="1" applyBorder="1" applyAlignment="1">
      <alignment horizontal="right" vertical="top"/>
    </xf>
    <xf numFmtId="164" fontId="0" fillId="0" borderId="0" xfId="0" applyNumberFormat="1" applyFill="1"/>
    <xf numFmtId="164" fontId="9" fillId="0" borderId="1" xfId="1" applyNumberFormat="1" applyFont="1" applyFill="1" applyBorder="1" applyAlignment="1">
      <alignment horizontal="right"/>
    </xf>
    <xf numFmtId="164" fontId="9" fillId="0" borderId="2" xfId="1" applyNumberFormat="1" applyFont="1" applyFill="1" applyBorder="1" applyAlignment="1">
      <alignment horizontal="right"/>
    </xf>
    <xf numFmtId="164" fontId="9" fillId="4" borderId="3" xfId="1" applyNumberFormat="1" applyFont="1" applyFill="1" applyBorder="1" applyAlignment="1">
      <alignment horizontal="right"/>
    </xf>
    <xf numFmtId="0" fontId="8" fillId="4" borderId="20" xfId="0" applyFont="1" applyFill="1" applyBorder="1"/>
    <xf numFmtId="43" fontId="0" fillId="4" borderId="20" xfId="0" applyNumberFormat="1" applyFill="1" applyBorder="1"/>
    <xf numFmtId="164" fontId="10" fillId="0" borderId="0" xfId="1" applyNumberFormat="1" applyFont="1" applyFill="1" applyAlignment="1">
      <alignment horizontal="right"/>
    </xf>
    <xf numFmtId="164" fontId="8" fillId="0" borderId="1" xfId="1" applyNumberFormat="1" applyFont="1" applyFill="1" applyBorder="1" applyAlignment="1">
      <alignment horizontal="right"/>
    </xf>
    <xf numFmtId="164" fontId="8" fillId="0" borderId="3" xfId="1" applyNumberFormat="1" applyFont="1" applyFill="1" applyBorder="1" applyAlignment="1">
      <alignment horizontal="right"/>
    </xf>
    <xf numFmtId="164" fontId="8" fillId="0" borderId="2" xfId="1" applyNumberFormat="1" applyFont="1" applyFill="1" applyBorder="1" applyAlignment="1">
      <alignment horizontal="right"/>
    </xf>
    <xf numFmtId="0" fontId="0" fillId="0" borderId="21" xfId="0" applyFill="1" applyBorder="1"/>
    <xf numFmtId="0" fontId="0" fillId="0" borderId="23" xfId="0" applyFill="1" applyBorder="1"/>
    <xf numFmtId="165" fontId="0" fillId="0" borderId="20" xfId="3" applyNumberFormat="1" applyFont="1" applyFill="1" applyBorder="1"/>
    <xf numFmtId="165" fontId="0" fillId="0" borderId="28" xfId="3" applyNumberFormat="1" applyFont="1" applyFill="1" applyBorder="1"/>
    <xf numFmtId="165" fontId="0" fillId="0" borderId="26" xfId="3" applyNumberFormat="1" applyFont="1" applyFill="1" applyBorder="1"/>
    <xf numFmtId="2" fontId="0" fillId="0" borderId="20" xfId="0" applyNumberFormat="1" applyFill="1" applyBorder="1"/>
    <xf numFmtId="2" fontId="0" fillId="0" borderId="22" xfId="0" applyNumberFormat="1" applyFill="1" applyBorder="1"/>
    <xf numFmtId="0" fontId="0" fillId="0" borderId="29" xfId="0" applyFill="1" applyBorder="1"/>
    <xf numFmtId="0" fontId="7" fillId="2" borderId="10" xfId="0" applyFont="1" applyFill="1" applyBorder="1" applyAlignment="1">
      <alignment horizontal="right" vertical="top"/>
    </xf>
    <xf numFmtId="0" fontId="7" fillId="2" borderId="19" xfId="0" applyFont="1" applyFill="1" applyBorder="1" applyAlignment="1">
      <alignment horizontal="right" vertical="top"/>
    </xf>
    <xf numFmtId="165" fontId="0" fillId="0" borderId="30" xfId="3" applyNumberFormat="1" applyFont="1" applyFill="1" applyBorder="1"/>
    <xf numFmtId="0" fontId="7" fillId="2" borderId="6" xfId="0" applyFont="1" applyFill="1" applyBorder="1" applyAlignment="1">
      <alignment horizontal="right" vertical="top"/>
    </xf>
    <xf numFmtId="0" fontId="7" fillId="2" borderId="27" xfId="0" applyFont="1" applyFill="1" applyBorder="1" applyAlignment="1">
      <alignment horizontal="right" vertical="top"/>
    </xf>
    <xf numFmtId="2" fontId="0" fillId="0" borderId="31" xfId="0" applyNumberFormat="1" applyFill="1" applyBorder="1"/>
    <xf numFmtId="43" fontId="0" fillId="0" borderId="20" xfId="0" applyNumberFormat="1" applyFill="1" applyBorder="1"/>
    <xf numFmtId="166" fontId="0" fillId="0" borderId="24" xfId="4" applyNumberFormat="1" applyFont="1" applyFill="1" applyBorder="1"/>
    <xf numFmtId="164" fontId="10" fillId="0" borderId="0" xfId="1" applyNumberFormat="1" applyFont="1" applyAlignment="1">
      <alignment horizontal="right"/>
    </xf>
    <xf numFmtId="164" fontId="11" fillId="0" borderId="1" xfId="1" applyNumberFormat="1" applyFont="1" applyFill="1" applyBorder="1" applyAlignment="1">
      <alignment horizontal="right"/>
    </xf>
    <xf numFmtId="164" fontId="11" fillId="0" borderId="2" xfId="1" applyNumberFormat="1" applyFont="1" applyFill="1" applyBorder="1" applyAlignment="1">
      <alignment horizontal="right"/>
    </xf>
    <xf numFmtId="164" fontId="11" fillId="0" borderId="3" xfId="1" applyNumberFormat="1" applyFont="1" applyFill="1" applyBorder="1" applyAlignment="1">
      <alignment horizontal="right"/>
    </xf>
    <xf numFmtId="2" fontId="8" fillId="0" borderId="20" xfId="0" applyNumberFormat="1" applyFont="1" applyFill="1" applyBorder="1" applyAlignment="1">
      <alignment horizontal="center"/>
    </xf>
    <xf numFmtId="2" fontId="8" fillId="0" borderId="22" xfId="0" applyNumberFormat="1" applyFont="1" applyFill="1" applyBorder="1" applyAlignment="1">
      <alignment horizontal="center"/>
    </xf>
    <xf numFmtId="2" fontId="8" fillId="0" borderId="24" xfId="0" applyNumberFormat="1" applyFont="1" applyFill="1" applyBorder="1" applyAlignment="1">
      <alignment horizontal="center"/>
    </xf>
    <xf numFmtId="2" fontId="8" fillId="0" borderId="25" xfId="0" applyNumberFormat="1" applyFont="1" applyFill="1" applyBorder="1" applyAlignment="1">
      <alignment horizontal="center"/>
    </xf>
    <xf numFmtId="0" fontId="0" fillId="0" borderId="0" xfId="0" applyFont="1" applyFill="1" applyBorder="1" applyAlignment="1">
      <alignment horizontal="left"/>
    </xf>
    <xf numFmtId="8" fontId="0" fillId="0" borderId="0" xfId="0" applyNumberFormat="1" applyFill="1"/>
    <xf numFmtId="11" fontId="0" fillId="0" borderId="20" xfId="0" applyNumberFormat="1" applyFill="1" applyBorder="1"/>
    <xf numFmtId="0" fontId="0" fillId="2" borderId="4" xfId="0" applyFill="1" applyBorder="1"/>
    <xf numFmtId="0" fontId="0" fillId="0" borderId="20" xfId="0" applyFill="1" applyBorder="1"/>
    <xf numFmtId="0" fontId="0" fillId="0" borderId="22" xfId="0" applyFill="1" applyBorder="1"/>
    <xf numFmtId="0" fontId="0" fillId="2" borderId="14" xfId="0" applyFill="1" applyBorder="1"/>
    <xf numFmtId="0" fontId="8" fillId="0" borderId="20" xfId="0" applyFont="1" applyFill="1" applyBorder="1"/>
    <xf numFmtId="0" fontId="8" fillId="0" borderId="21" xfId="0" applyFont="1" applyFill="1" applyBorder="1"/>
    <xf numFmtId="0" fontId="8" fillId="0" borderId="23" xfId="0" applyFont="1" applyFill="1" applyBorder="1"/>
    <xf numFmtId="0" fontId="8" fillId="0" borderId="32" xfId="0" applyFont="1" applyFill="1" applyBorder="1"/>
    <xf numFmtId="0" fontId="7" fillId="0" borderId="0" xfId="0" applyFont="1" applyFill="1" applyBorder="1" applyAlignment="1">
      <alignment horizontal="center"/>
    </xf>
    <xf numFmtId="165" fontId="0" fillId="0" borderId="33" xfId="3" applyNumberFormat="1" applyFont="1" applyFill="1" applyBorder="1"/>
    <xf numFmtId="165" fontId="0" fillId="0" borderId="22" xfId="3" applyNumberFormat="1" applyFont="1" applyFill="1" applyBorder="1"/>
    <xf numFmtId="165" fontId="9" fillId="0" borderId="20" xfId="3" applyNumberFormat="1" applyFont="1" applyFill="1" applyBorder="1"/>
    <xf numFmtId="165" fontId="9" fillId="0" borderId="31" xfId="3" applyNumberFormat="1" applyFont="1" applyFill="1" applyBorder="1"/>
    <xf numFmtId="165" fontId="9" fillId="0" borderId="24" xfId="3" applyNumberFormat="1" applyFont="1" applyFill="1" applyBorder="1"/>
    <xf numFmtId="165" fontId="9" fillId="0" borderId="25" xfId="3" applyNumberFormat="1" applyFont="1" applyFill="1" applyBorder="1"/>
    <xf numFmtId="0" fontId="9" fillId="4" borderId="21" xfId="0" applyFont="1" applyFill="1" applyBorder="1"/>
    <xf numFmtId="0" fontId="9" fillId="4" borderId="23" xfId="0" applyFont="1" applyFill="1" applyBorder="1"/>
    <xf numFmtId="0" fontId="0" fillId="0" borderId="0" xfId="0" applyFill="1" applyAlignment="1">
      <alignment horizontal="center"/>
    </xf>
    <xf numFmtId="0" fontId="8" fillId="2" borderId="34" xfId="0" applyFont="1" applyFill="1" applyBorder="1"/>
    <xf numFmtId="0" fontId="8" fillId="2" borderId="35" xfId="0" applyFont="1" applyFill="1" applyBorder="1"/>
    <xf numFmtId="0" fontId="8" fillId="0" borderId="22" xfId="0" applyFont="1" applyFill="1" applyBorder="1"/>
    <xf numFmtId="3" fontId="0" fillId="0" borderId="20" xfId="0" applyNumberFormat="1" applyFill="1" applyBorder="1"/>
    <xf numFmtId="3" fontId="0" fillId="0" borderId="22" xfId="0" applyNumberFormat="1" applyFill="1" applyBorder="1"/>
    <xf numFmtId="3" fontId="0" fillId="0" borderId="24" xfId="0" applyNumberFormat="1" applyFill="1" applyBorder="1"/>
    <xf numFmtId="3" fontId="0" fillId="0" borderId="25" xfId="0" applyNumberFormat="1" applyFill="1" applyBorder="1"/>
    <xf numFmtId="0" fontId="0" fillId="0" borderId="0" xfId="0" applyFill="1" applyAlignment="1">
      <alignment horizontal="right"/>
    </xf>
    <xf numFmtId="0" fontId="0" fillId="2" borderId="27" xfId="0" applyFill="1" applyBorder="1"/>
    <xf numFmtId="0" fontId="2" fillId="2" borderId="36" xfId="0" applyFont="1" applyFill="1" applyBorder="1" applyAlignment="1">
      <alignment horizontal="right" vertical="top" wrapText="1"/>
    </xf>
    <xf numFmtId="0" fontId="2" fillId="2" borderId="37" xfId="0" applyFont="1" applyFill="1" applyBorder="1" applyAlignment="1">
      <alignment horizontal="right" vertical="top" wrapText="1"/>
    </xf>
    <xf numFmtId="0" fontId="2" fillId="2" borderId="38" xfId="0" applyFont="1" applyFill="1" applyBorder="1" applyAlignment="1">
      <alignment horizontal="right" vertical="top" wrapText="1"/>
    </xf>
    <xf numFmtId="9" fontId="0" fillId="5" borderId="0" xfId="3" applyFont="1" applyFill="1"/>
    <xf numFmtId="9" fontId="0" fillId="6" borderId="0" xfId="3" applyFont="1" applyFill="1"/>
    <xf numFmtId="9" fontId="0" fillId="7" borderId="0" xfId="0" applyNumberFormat="1" applyFill="1"/>
    <xf numFmtId="165" fontId="0" fillId="5" borderId="0" xfId="3" applyNumberFormat="1" applyFont="1" applyFill="1"/>
    <xf numFmtId="165" fontId="0" fillId="6" borderId="0" xfId="3" applyNumberFormat="1" applyFont="1" applyFill="1"/>
    <xf numFmtId="165" fontId="0" fillId="7" borderId="0" xfId="0" applyNumberFormat="1" applyFill="1"/>
    <xf numFmtId="0" fontId="7" fillId="2" borderId="27" xfId="0" applyFont="1" applyFill="1" applyBorder="1"/>
    <xf numFmtId="10" fontId="7" fillId="2" borderId="15" xfId="0" applyNumberFormat="1" applyFont="1" applyFill="1" applyBorder="1"/>
    <xf numFmtId="0" fontId="1" fillId="0" borderId="0" xfId="5"/>
    <xf numFmtId="0" fontId="1" fillId="0" borderId="0" xfId="5" applyAlignment="1">
      <alignment horizontal="left"/>
    </xf>
    <xf numFmtId="0" fontId="1" fillId="0" borderId="0" xfId="5" applyAlignment="1">
      <alignment horizontal="center"/>
    </xf>
    <xf numFmtId="2" fontId="1" fillId="0" borderId="0" xfId="5" applyNumberFormat="1" applyFont="1" applyFill="1" applyBorder="1" applyAlignment="1" applyProtection="1">
      <alignment horizontal="left"/>
    </xf>
    <xf numFmtId="167" fontId="1" fillId="0" borderId="0" xfId="5" applyNumberFormat="1" applyFont="1" applyFill="1" applyBorder="1" applyAlignment="1" applyProtection="1">
      <alignment horizontal="center"/>
    </xf>
    <xf numFmtId="14" fontId="1" fillId="0" borderId="0" xfId="5" applyNumberFormat="1" applyAlignment="1">
      <alignment horizontal="center"/>
    </xf>
    <xf numFmtId="0" fontId="1" fillId="8" borderId="0" xfId="5" applyFill="1" applyAlignment="1">
      <alignment horizontal="center"/>
    </xf>
    <xf numFmtId="0" fontId="1" fillId="8" borderId="0" xfId="5" applyFill="1" applyAlignment="1">
      <alignment horizontal="left"/>
    </xf>
    <xf numFmtId="0" fontId="1" fillId="9" borderId="0" xfId="5" applyFill="1" applyAlignment="1">
      <alignment horizontal="left"/>
    </xf>
    <xf numFmtId="0" fontId="1" fillId="10" borderId="0" xfId="5" applyFill="1" applyAlignment="1">
      <alignment horizontal="center"/>
    </xf>
    <xf numFmtId="0" fontId="1" fillId="10" borderId="0" xfId="5" applyFill="1" applyAlignment="1">
      <alignment horizontal="left"/>
    </xf>
    <xf numFmtId="0" fontId="1" fillId="11" borderId="0" xfId="5" applyFill="1" applyAlignment="1">
      <alignment horizontal="left"/>
    </xf>
    <xf numFmtId="10" fontId="1" fillId="0" borderId="0" xfId="3" applyNumberFormat="1" applyFont="1"/>
    <xf numFmtId="10" fontId="1" fillId="0" borderId="0" xfId="5" applyNumberFormat="1"/>
    <xf numFmtId="0" fontId="0" fillId="0" borderId="0" xfId="0" applyFill="1" applyBorder="1" applyAlignment="1"/>
    <xf numFmtId="0" fontId="0" fillId="0" borderId="13" xfId="0" applyFill="1" applyBorder="1" applyAlignment="1"/>
    <xf numFmtId="0" fontId="12" fillId="0" borderId="39" xfId="0" applyFont="1" applyFill="1" applyBorder="1" applyAlignment="1">
      <alignment horizontal="center"/>
    </xf>
    <xf numFmtId="0" fontId="12" fillId="0" borderId="39" xfId="0" applyFont="1" applyFill="1" applyBorder="1" applyAlignment="1">
      <alignment horizontal="centerContinuous"/>
    </xf>
    <xf numFmtId="0" fontId="0" fillId="4" borderId="0" xfId="0" applyFill="1" applyBorder="1" applyAlignment="1"/>
    <xf numFmtId="0" fontId="0" fillId="4" borderId="13" xfId="0" applyFill="1" applyBorder="1" applyAlignment="1"/>
    <xf numFmtId="0" fontId="1" fillId="4" borderId="0" xfId="5" applyFill="1"/>
    <xf numFmtId="0" fontId="1" fillId="11" borderId="0" xfId="5" applyFill="1"/>
    <xf numFmtId="0" fontId="1" fillId="11" borderId="0" xfId="5" applyFill="1" applyAlignment="1">
      <alignment horizontal="center"/>
    </xf>
    <xf numFmtId="0" fontId="1" fillId="0" borderId="0" xfId="5" applyFill="1"/>
    <xf numFmtId="43" fontId="1" fillId="0" borderId="0" xfId="5" applyNumberFormat="1" applyFill="1"/>
    <xf numFmtId="0" fontId="1" fillId="4" borderId="0" xfId="5" applyFill="1" applyAlignment="1">
      <alignment horizontal="center"/>
    </xf>
    <xf numFmtId="43" fontId="1" fillId="0" borderId="0" xfId="1" applyFont="1" applyAlignment="1">
      <alignment horizontal="center"/>
    </xf>
    <xf numFmtId="43" fontId="1" fillId="0" borderId="0" xfId="5" applyNumberFormat="1" applyAlignment="1">
      <alignment horizontal="center"/>
    </xf>
    <xf numFmtId="0" fontId="13" fillId="0" borderId="0" xfId="0" applyFont="1" applyFill="1"/>
    <xf numFmtId="14" fontId="13" fillId="0" borderId="0" xfId="0" applyNumberFormat="1" applyFont="1" applyFill="1"/>
    <xf numFmtId="0" fontId="13" fillId="0" borderId="0" xfId="0" applyFont="1" applyFill="1" applyAlignment="1">
      <alignment horizontal="center"/>
    </xf>
    <xf numFmtId="0" fontId="13" fillId="12" borderId="20" xfId="0" applyFont="1" applyFill="1" applyBorder="1" applyAlignment="1">
      <alignment horizontal="center"/>
    </xf>
    <xf numFmtId="0" fontId="13" fillId="0" borderId="20" xfId="0" applyFont="1" applyFill="1" applyBorder="1" applyAlignment="1">
      <alignment horizontal="center"/>
    </xf>
    <xf numFmtId="0" fontId="13" fillId="0" borderId="12" xfId="0" applyFont="1" applyBorder="1" applyAlignment="1">
      <alignment horizontal="center"/>
    </xf>
    <xf numFmtId="0" fontId="13" fillId="0" borderId="28" xfId="0" applyFont="1" applyFill="1" applyBorder="1" applyAlignment="1">
      <alignment horizontal="center"/>
    </xf>
    <xf numFmtId="10" fontId="13" fillId="0" borderId="28" xfId="3" applyNumberFormat="1" applyFont="1" applyFill="1" applyBorder="1" applyAlignment="1">
      <alignment horizontal="center"/>
    </xf>
    <xf numFmtId="0" fontId="13" fillId="0" borderId="7" xfId="0" applyFont="1" applyBorder="1" applyAlignment="1">
      <alignment horizontal="center"/>
    </xf>
    <xf numFmtId="10" fontId="13" fillId="0" borderId="17" xfId="3" applyNumberFormat="1" applyFont="1" applyFill="1" applyBorder="1" applyAlignment="1">
      <alignment horizontal="center"/>
    </xf>
    <xf numFmtId="0" fontId="1" fillId="0" borderId="12" xfId="5" applyBorder="1" applyAlignment="1">
      <alignment horizontal="left"/>
    </xf>
    <xf numFmtId="0" fontId="0" fillId="0" borderId="7" xfId="0" applyFill="1" applyBorder="1"/>
    <xf numFmtId="0" fontId="13" fillId="13" borderId="4" xfId="0" applyFont="1" applyFill="1" applyBorder="1" applyAlignment="1">
      <alignment horizontal="center"/>
    </xf>
    <xf numFmtId="0" fontId="13" fillId="13" borderId="6" xfId="0" applyFont="1" applyFill="1" applyBorder="1" applyAlignment="1">
      <alignment horizontal="center"/>
    </xf>
    <xf numFmtId="0" fontId="13" fillId="6" borderId="4" xfId="0" applyFont="1" applyFill="1" applyBorder="1" applyAlignment="1">
      <alignment horizontal="center"/>
    </xf>
    <xf numFmtId="0" fontId="13" fillId="6" borderId="6" xfId="0" applyFont="1" applyFill="1" applyBorder="1" applyAlignment="1">
      <alignment horizontal="center"/>
    </xf>
    <xf numFmtId="0" fontId="13" fillId="14" borderId="4" xfId="0" applyFont="1" applyFill="1" applyBorder="1" applyAlignment="1">
      <alignment horizontal="center"/>
    </xf>
    <xf numFmtId="0" fontId="13" fillId="14" borderId="6" xfId="0" applyFont="1" applyFill="1" applyBorder="1" applyAlignment="1">
      <alignment horizontal="center"/>
    </xf>
    <xf numFmtId="0" fontId="1" fillId="8" borderId="4" xfId="5" applyFill="1" applyBorder="1" applyAlignment="1">
      <alignment horizontal="left"/>
    </xf>
    <xf numFmtId="0" fontId="13" fillId="13" borderId="5" xfId="0" applyFont="1" applyFill="1" applyBorder="1" applyAlignment="1">
      <alignment horizontal="center"/>
    </xf>
    <xf numFmtId="10" fontId="13" fillId="0" borderId="0" xfId="3" applyNumberFormat="1" applyFont="1" applyFill="1" applyBorder="1" applyAlignment="1">
      <alignment horizontal="center"/>
    </xf>
    <xf numFmtId="10" fontId="13" fillId="0" borderId="13" xfId="3" applyNumberFormat="1" applyFont="1" applyFill="1" applyBorder="1" applyAlignment="1">
      <alignment horizontal="center"/>
    </xf>
    <xf numFmtId="10" fontId="13" fillId="0" borderId="0" xfId="0" applyNumberFormat="1" applyFont="1" applyFill="1" applyBorder="1" applyAlignment="1">
      <alignment horizontal="center"/>
    </xf>
    <xf numFmtId="0" fontId="13" fillId="6" borderId="5" xfId="0" applyFont="1" applyFill="1" applyBorder="1" applyAlignment="1">
      <alignment horizontal="center"/>
    </xf>
    <xf numFmtId="0" fontId="13" fillId="14" borderId="5" xfId="0" applyFont="1" applyFill="1" applyBorder="1" applyAlignment="1">
      <alignment horizontal="center"/>
    </xf>
    <xf numFmtId="0" fontId="1" fillId="0" borderId="0" xfId="5" applyBorder="1"/>
    <xf numFmtId="10" fontId="1" fillId="0" borderId="0" xfId="3" applyNumberFormat="1" applyFont="1" applyBorder="1"/>
    <xf numFmtId="0" fontId="1" fillId="8" borderId="5" xfId="5" applyFill="1" applyBorder="1" applyAlignment="1">
      <alignment horizontal="left"/>
    </xf>
    <xf numFmtId="0" fontId="0" fillId="0" borderId="13" xfId="0" applyFill="1" applyBorder="1"/>
    <xf numFmtId="10" fontId="1" fillId="0" borderId="40" xfId="3" applyNumberFormat="1" applyFont="1" applyBorder="1"/>
    <xf numFmtId="0" fontId="1" fillId="8" borderId="27" xfId="5" applyFill="1" applyBorder="1" applyAlignment="1">
      <alignment horizontal="left"/>
    </xf>
    <xf numFmtId="0" fontId="0" fillId="0" borderId="41" xfId="0" applyFill="1" applyBorder="1"/>
    <xf numFmtId="10" fontId="1" fillId="0" borderId="40" xfId="5" applyNumberFormat="1" applyBorder="1"/>
    <xf numFmtId="0" fontId="0" fillId="2" borderId="0" xfId="0" applyFill="1"/>
    <xf numFmtId="0" fontId="7" fillId="2" borderId="0" xfId="0" applyFont="1" applyFill="1" applyAlignment="1">
      <alignment horizontal="left"/>
    </xf>
    <xf numFmtId="0" fontId="7" fillId="0" borderId="0" xfId="0" applyFont="1" applyFill="1" applyAlignment="1">
      <alignment horizontal="left"/>
    </xf>
    <xf numFmtId="4" fontId="0" fillId="0" borderId="0" xfId="0" applyNumberFormat="1" applyFill="1"/>
    <xf numFmtId="10" fontId="0" fillId="0" borderId="0" xfId="3" applyNumberFormat="1" applyFont="1" applyFill="1"/>
    <xf numFmtId="0" fontId="10" fillId="0" borderId="0" xfId="1" applyNumberFormat="1" applyFont="1" applyFill="1" applyAlignment="1">
      <alignment horizontal="right"/>
    </xf>
    <xf numFmtId="0" fontId="8" fillId="0" borderId="0" xfId="0" applyFont="1" applyFill="1" applyBorder="1" applyAlignment="1">
      <alignment horizontal="right" vertical="top" wrapText="1"/>
    </xf>
    <xf numFmtId="4" fontId="8" fillId="0" borderId="0" xfId="0" applyNumberFormat="1" applyFont="1" applyFill="1"/>
    <xf numFmtId="10" fontId="8" fillId="4" borderId="0" xfId="3" applyNumberFormat="1" applyFont="1" applyFill="1"/>
    <xf numFmtId="0" fontId="14" fillId="0" borderId="0" xfId="0" applyFont="1" applyFill="1" applyAlignment="1">
      <alignment horizontal="left"/>
    </xf>
    <xf numFmtId="164" fontId="15" fillId="0" borderId="0" xfId="1" applyNumberFormat="1" applyFont="1" applyAlignment="1">
      <alignment horizontal="right"/>
    </xf>
    <xf numFmtId="0" fontId="14" fillId="0" borderId="1" xfId="0" applyFont="1" applyFill="1" applyBorder="1" applyAlignment="1">
      <alignment horizontal="left"/>
    </xf>
    <xf numFmtId="164" fontId="16" fillId="0" borderId="1" xfId="1" applyNumberFormat="1" applyFont="1" applyBorder="1" applyAlignment="1">
      <alignment horizontal="right"/>
    </xf>
    <xf numFmtId="0" fontId="14" fillId="0" borderId="1" xfId="0" applyFont="1" applyFill="1" applyBorder="1"/>
    <xf numFmtId="0" fontId="14" fillId="0" borderId="2" xfId="0" applyFont="1" applyFill="1" applyBorder="1" applyAlignment="1">
      <alignment horizontal="left"/>
    </xf>
    <xf numFmtId="164" fontId="16" fillId="0" borderId="2" xfId="1" applyNumberFormat="1" applyFont="1" applyBorder="1" applyAlignment="1">
      <alignment horizontal="right"/>
    </xf>
    <xf numFmtId="0" fontId="14" fillId="0" borderId="2" xfId="0" applyFont="1" applyFill="1" applyBorder="1"/>
    <xf numFmtId="164" fontId="16" fillId="0" borderId="0" xfId="1" applyNumberFormat="1" applyFont="1" applyAlignment="1">
      <alignment horizontal="right"/>
    </xf>
    <xf numFmtId="0" fontId="14" fillId="0" borderId="0" xfId="0" applyFont="1" applyFill="1"/>
    <xf numFmtId="0" fontId="14" fillId="0" borderId="3" xfId="0" applyFont="1" applyFill="1" applyBorder="1" applyAlignment="1">
      <alignment horizontal="left"/>
    </xf>
    <xf numFmtId="164" fontId="15" fillId="0" borderId="3" xfId="1" applyNumberFormat="1" applyFont="1" applyBorder="1" applyAlignment="1">
      <alignment horizontal="right"/>
    </xf>
    <xf numFmtId="0" fontId="14" fillId="0" borderId="3" xfId="0" applyFont="1" applyFill="1" applyBorder="1"/>
    <xf numFmtId="0" fontId="14" fillId="0" borderId="11" xfId="0" applyFont="1" applyFill="1" applyBorder="1" applyAlignment="1">
      <alignment horizontal="left"/>
    </xf>
    <xf numFmtId="164" fontId="15" fillId="0" borderId="11" xfId="1" applyNumberFormat="1" applyFont="1" applyBorder="1" applyAlignment="1">
      <alignment horizontal="right"/>
    </xf>
    <xf numFmtId="164" fontId="15" fillId="0" borderId="0" xfId="1" applyNumberFormat="1" applyFont="1" applyFill="1" applyAlignment="1">
      <alignment horizontal="right"/>
    </xf>
    <xf numFmtId="164" fontId="16" fillId="0" borderId="1" xfId="1" applyNumberFormat="1" applyFont="1" applyFill="1" applyBorder="1" applyAlignment="1">
      <alignment horizontal="right"/>
    </xf>
    <xf numFmtId="164" fontId="16" fillId="0" borderId="3" xfId="1" applyNumberFormat="1" applyFont="1" applyFill="1" applyBorder="1" applyAlignment="1">
      <alignment horizontal="right"/>
    </xf>
    <xf numFmtId="0" fontId="7" fillId="2" borderId="19" xfId="0" applyFont="1" applyFill="1" applyBorder="1" applyAlignment="1">
      <alignment horizontal="right" vertical="top" wrapText="1"/>
    </xf>
    <xf numFmtId="0" fontId="7" fillId="2" borderId="10" xfId="0" applyFont="1" applyFill="1" applyBorder="1" applyAlignment="1">
      <alignment horizontal="right" vertical="top" wrapText="1"/>
    </xf>
    <xf numFmtId="0" fontId="2" fillId="2" borderId="42" xfId="0" applyFont="1" applyFill="1" applyBorder="1" applyAlignment="1">
      <alignment horizontal="right" vertical="top" wrapText="1"/>
    </xf>
    <xf numFmtId="0" fontId="16" fillId="2" borderId="43" xfId="0" applyFont="1" applyFill="1" applyBorder="1" applyAlignment="1">
      <alignment horizontal="center"/>
    </xf>
    <xf numFmtId="0" fontId="8" fillId="0" borderId="1" xfId="0" applyFont="1" applyFill="1" applyBorder="1"/>
    <xf numFmtId="0" fontId="16" fillId="2" borderId="45" xfId="0" applyFont="1" applyFill="1" applyBorder="1" applyAlignment="1">
      <alignment horizontal="center"/>
    </xf>
    <xf numFmtId="0" fontId="8" fillId="0" borderId="46" xfId="0" applyFont="1" applyFill="1" applyBorder="1"/>
    <xf numFmtId="164" fontId="8" fillId="0" borderId="1" xfId="0" applyNumberFormat="1" applyFont="1" applyFill="1" applyBorder="1"/>
    <xf numFmtId="168" fontId="8" fillId="0" borderId="1" xfId="0" applyNumberFormat="1" applyFont="1" applyFill="1" applyBorder="1"/>
    <xf numFmtId="168" fontId="0" fillId="0" borderId="0" xfId="0" applyNumberFormat="1" applyFill="1"/>
    <xf numFmtId="164" fontId="8" fillId="0" borderId="44" xfId="0" applyNumberFormat="1" applyFont="1" applyFill="1" applyBorder="1"/>
    <xf numFmtId="0" fontId="16" fillId="2" borderId="48" xfId="0" applyFont="1" applyFill="1" applyBorder="1" applyAlignment="1">
      <alignment horizontal="center"/>
    </xf>
    <xf numFmtId="164" fontId="8" fillId="0" borderId="18" xfId="0" applyNumberFormat="1" applyFont="1" applyFill="1" applyBorder="1"/>
    <xf numFmtId="164" fontId="8" fillId="0" borderId="49" xfId="0" applyNumberFormat="1" applyFont="1" applyFill="1" applyBorder="1"/>
    <xf numFmtId="43" fontId="8" fillId="0" borderId="1" xfId="0" applyNumberFormat="1" applyFont="1" applyFill="1" applyBorder="1"/>
    <xf numFmtId="168" fontId="8" fillId="0" borderId="44" xfId="0" applyNumberFormat="1" applyFont="1" applyFill="1" applyBorder="1"/>
    <xf numFmtId="43" fontId="8" fillId="0" borderId="44" xfId="0" applyNumberFormat="1" applyFont="1" applyFill="1" applyBorder="1"/>
    <xf numFmtId="168" fontId="8" fillId="0" borderId="46" xfId="0" applyNumberFormat="1" applyFont="1" applyFill="1" applyBorder="1"/>
    <xf numFmtId="168" fontId="8" fillId="0" borderId="47" xfId="0" applyNumberFormat="1" applyFont="1" applyFill="1" applyBorder="1"/>
    <xf numFmtId="43" fontId="1" fillId="0" borderId="0" xfId="5" applyNumberFormat="1"/>
    <xf numFmtId="169" fontId="1" fillId="4" borderId="0" xfId="5" applyNumberFormat="1" applyFill="1" applyAlignment="1">
      <alignment horizontal="center"/>
    </xf>
    <xf numFmtId="10" fontId="1" fillId="0" borderId="0" xfId="3" applyNumberFormat="1" applyFont="1" applyAlignment="1">
      <alignment horizontal="left"/>
    </xf>
    <xf numFmtId="170" fontId="1" fillId="0" borderId="0" xfId="5" applyNumberFormat="1" applyAlignment="1">
      <alignment horizontal="left"/>
    </xf>
    <xf numFmtId="9" fontId="1" fillId="0" borderId="0" xfId="3" applyFont="1"/>
    <xf numFmtId="9" fontId="1" fillId="0" borderId="0" xfId="5" applyNumberFormat="1"/>
    <xf numFmtId="43" fontId="0" fillId="0" borderId="0" xfId="0" applyNumberFormat="1" applyFill="1"/>
    <xf numFmtId="10" fontId="0" fillId="0" borderId="3" xfId="3" applyNumberFormat="1" applyFont="1" applyFill="1" applyBorder="1"/>
    <xf numFmtId="0" fontId="0" fillId="0" borderId="50" xfId="0" applyFill="1" applyBorder="1"/>
    <xf numFmtId="43" fontId="0" fillId="0" borderId="50" xfId="0" applyNumberFormat="1" applyFill="1" applyBorder="1"/>
    <xf numFmtId="0" fontId="17" fillId="0" borderId="1" xfId="0" applyFont="1" applyFill="1" applyBorder="1"/>
    <xf numFmtId="0" fontId="17" fillId="0" borderId="0" xfId="0" applyFont="1" applyFill="1" applyBorder="1"/>
    <xf numFmtId="0" fontId="17" fillId="0" borderId="50" xfId="0" applyFont="1" applyFill="1" applyBorder="1"/>
    <xf numFmtId="0" fontId="17" fillId="0" borderId="3" xfId="0" applyFont="1" applyFill="1" applyBorder="1"/>
    <xf numFmtId="0" fontId="17" fillId="0" borderId="0" xfId="0" applyFont="1" applyFill="1"/>
    <xf numFmtId="10" fontId="17" fillId="0" borderId="3" xfId="3" applyNumberFormat="1" applyFont="1" applyFill="1" applyBorder="1"/>
    <xf numFmtId="10" fontId="17" fillId="0" borderId="1" xfId="3" applyNumberFormat="1" applyFont="1" applyFill="1" applyBorder="1"/>
    <xf numFmtId="2" fontId="17" fillId="0" borderId="1" xfId="0" applyNumberFormat="1" applyFont="1" applyFill="1" applyBorder="1"/>
    <xf numFmtId="0" fontId="17" fillId="0" borderId="2" xfId="0" applyFont="1" applyFill="1" applyBorder="1"/>
    <xf numFmtId="10" fontId="17" fillId="0" borderId="2" xfId="3" applyNumberFormat="1" applyFont="1" applyFill="1" applyBorder="1"/>
    <xf numFmtId="0" fontId="8" fillId="0" borderId="3" xfId="0" applyFont="1" applyFill="1" applyBorder="1"/>
    <xf numFmtId="164" fontId="16" fillId="0" borderId="3" xfId="1" applyNumberFormat="1" applyFont="1" applyBorder="1" applyAlignment="1">
      <alignment horizontal="right"/>
    </xf>
    <xf numFmtId="10" fontId="17" fillId="0" borderId="3" xfId="0" applyNumberFormat="1" applyFont="1" applyFill="1" applyBorder="1"/>
    <xf numFmtId="43" fontId="0" fillId="0" borderId="18" xfId="0" applyNumberFormat="1" applyFill="1" applyBorder="1"/>
    <xf numFmtId="0" fontId="17" fillId="0" borderId="18" xfId="0" applyFont="1" applyFill="1" applyBorder="1"/>
    <xf numFmtId="171" fontId="0" fillId="0" borderId="0" xfId="0" applyNumberFormat="1" applyFill="1"/>
    <xf numFmtId="172" fontId="0" fillId="0" borderId="0" xfId="0" applyNumberFormat="1" applyFill="1"/>
    <xf numFmtId="10" fontId="1" fillId="0" borderId="0" xfId="5" applyNumberFormat="1" applyAlignment="1">
      <alignment horizontal="left"/>
    </xf>
    <xf numFmtId="10" fontId="0" fillId="0" borderId="3" xfId="0" applyNumberFormat="1" applyFill="1" applyBorder="1"/>
    <xf numFmtId="168" fontId="8" fillId="0" borderId="0" xfId="0" applyNumberFormat="1" applyFont="1" applyFill="1" applyBorder="1"/>
    <xf numFmtId="8" fontId="8" fillId="0" borderId="0" xfId="0" applyNumberFormat="1" applyFont="1" applyFill="1"/>
    <xf numFmtId="44" fontId="0" fillId="0" borderId="0" xfId="4" applyFont="1" applyFill="1"/>
    <xf numFmtId="165" fontId="0" fillId="0" borderId="0" xfId="0" applyNumberFormat="1" applyFill="1"/>
    <xf numFmtId="0" fontId="8" fillId="0" borderId="1" xfId="0" applyFont="1" applyFill="1" applyBorder="1" applyAlignment="1">
      <alignment horizontal="center"/>
    </xf>
    <xf numFmtId="0" fontId="8" fillId="0" borderId="51" xfId="0" applyFont="1" applyFill="1" applyBorder="1"/>
    <xf numFmtId="168" fontId="0" fillId="0" borderId="0" xfId="0" applyNumberFormat="1" applyFill="1" applyBorder="1" applyAlignment="1"/>
    <xf numFmtId="44" fontId="0" fillId="0" borderId="0" xfId="0" applyNumberFormat="1" applyFill="1" applyBorder="1" applyAlignment="1"/>
    <xf numFmtId="44" fontId="0" fillId="0" borderId="13" xfId="0" applyNumberFormat="1" applyFill="1" applyBorder="1" applyAlignment="1"/>
    <xf numFmtId="0" fontId="19" fillId="15" borderId="18" xfId="0" applyFont="1" applyFill="1" applyBorder="1" applyAlignment="1">
      <alignment horizontal="left"/>
    </xf>
    <xf numFmtId="0" fontId="19" fillId="15" borderId="15" xfId="0" applyFont="1" applyFill="1" applyBorder="1" applyAlignment="1">
      <alignment horizontal="left"/>
    </xf>
    <xf numFmtId="0" fontId="0" fillId="0" borderId="2" xfId="0" applyFill="1" applyBorder="1" applyAlignment="1"/>
    <xf numFmtId="0" fontId="20" fillId="16" borderId="0" xfId="0" applyFont="1" applyFill="1" applyBorder="1" applyAlignment="1">
      <alignment horizontal="left"/>
    </xf>
    <xf numFmtId="0" fontId="21" fillId="16" borderId="2" xfId="0" applyFont="1" applyFill="1" applyBorder="1" applyAlignment="1">
      <alignment horizontal="left"/>
    </xf>
    <xf numFmtId="0" fontId="20" fillId="16" borderId="13" xfId="0" applyFont="1" applyFill="1" applyBorder="1" applyAlignment="1">
      <alignment horizontal="left"/>
    </xf>
    <xf numFmtId="0" fontId="22" fillId="15" borderId="15" xfId="0" applyFont="1" applyFill="1" applyBorder="1" applyAlignment="1">
      <alignment horizontal="right"/>
    </xf>
    <xf numFmtId="0" fontId="22" fillId="15" borderId="18" xfId="0" applyFont="1" applyFill="1" applyBorder="1" applyAlignment="1">
      <alignment horizontal="right"/>
    </xf>
    <xf numFmtId="0" fontId="23" fillId="0" borderId="0" xfId="0" applyFont="1" applyFill="1" applyBorder="1" applyAlignment="1">
      <alignment vertical="top" wrapText="1"/>
    </xf>
    <xf numFmtId="10" fontId="0" fillId="0" borderId="0" xfId="0" applyNumberFormat="1" applyFill="1" applyBorder="1" applyAlignment="1"/>
    <xf numFmtId="10" fontId="0" fillId="17" borderId="0" xfId="0" applyNumberFormat="1" applyFill="1" applyBorder="1" applyAlignment="1"/>
    <xf numFmtId="9" fontId="0" fillId="0" borderId="0" xfId="0" applyNumberFormat="1" applyFill="1" applyBorder="1" applyAlignment="1"/>
    <xf numFmtId="9" fontId="0" fillId="17" borderId="0" xfId="0" applyNumberFormat="1" applyFill="1" applyBorder="1" applyAlignment="1"/>
    <xf numFmtId="0" fontId="23" fillId="0" borderId="0" xfId="0" applyFont="1" applyFill="1" applyAlignment="1"/>
    <xf numFmtId="0" fontId="23" fillId="0" borderId="0" xfId="0" applyFont="1" applyFill="1"/>
    <xf numFmtId="0" fontId="30" fillId="0" borderId="0" xfId="2" applyFont="1" applyFill="1" applyAlignment="1">
      <alignment vertical="center"/>
    </xf>
    <xf numFmtId="0" fontId="31" fillId="0" borderId="0" xfId="2" quotePrefix="1" applyFont="1" applyFill="1"/>
    <xf numFmtId="0" fontId="32" fillId="0" borderId="3" xfId="0" applyFont="1" applyFill="1" applyBorder="1"/>
    <xf numFmtId="10" fontId="0" fillId="0" borderId="0" xfId="0" applyNumberFormat="1" applyFill="1"/>
    <xf numFmtId="0" fontId="8" fillId="0" borderId="0" xfId="0" applyFont="1" applyFill="1" applyAlignment="1">
      <alignment horizontal="center"/>
    </xf>
    <xf numFmtId="0" fontId="23" fillId="0" borderId="0" xfId="0" applyFont="1" applyFill="1" applyAlignment="1">
      <alignment horizontal="left"/>
    </xf>
    <xf numFmtId="0" fontId="24" fillId="0" borderId="0" xfId="0" applyFont="1" applyFill="1" applyAlignment="1">
      <alignment horizontal="center" vertical="center"/>
    </xf>
    <xf numFmtId="0" fontId="0" fillId="0" borderId="0" xfId="0" applyFill="1" applyAlignment="1">
      <alignment horizontal="center" vertical="center"/>
    </xf>
    <xf numFmtId="0" fontId="8" fillId="0" borderId="2" xfId="0" applyFont="1" applyFill="1" applyBorder="1" applyAlignment="1">
      <alignment horizontal="center"/>
    </xf>
    <xf numFmtId="0" fontId="0" fillId="0" borderId="2" xfId="0"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3" fillId="2" borderId="7" xfId="0" applyFont="1" applyFill="1" applyBorder="1" applyAlignment="1">
      <alignment horizontal="center"/>
    </xf>
    <xf numFmtId="0" fontId="3" fillId="2" borderId="13" xfId="0" applyFont="1" applyFill="1" applyBorder="1" applyAlignment="1">
      <alignment horizontal="center"/>
    </xf>
    <xf numFmtId="0" fontId="2" fillId="2" borderId="7" xfId="0" applyFont="1" applyFill="1" applyBorder="1" applyAlignment="1">
      <alignment horizontal="center" vertical="top" wrapText="1"/>
    </xf>
    <xf numFmtId="0" fontId="2" fillId="2" borderId="13" xfId="0" applyFont="1" applyFill="1" applyBorder="1" applyAlignment="1">
      <alignment horizontal="center" vertical="top" wrapText="1"/>
    </xf>
    <xf numFmtId="0" fontId="3" fillId="2" borderId="12" xfId="0" applyFont="1" applyFill="1" applyBorder="1" applyAlignment="1">
      <alignment horizontal="center"/>
    </xf>
    <xf numFmtId="0" fontId="3" fillId="2" borderId="0" xfId="0" applyFont="1" applyFill="1" applyBorder="1" applyAlignment="1">
      <alignment horizontal="center"/>
    </xf>
    <xf numFmtId="0" fontId="7" fillId="2" borderId="14" xfId="0" applyFont="1" applyFill="1" applyBorder="1" applyAlignment="1">
      <alignment horizontal="center"/>
    </xf>
    <xf numFmtId="0" fontId="7" fillId="2" borderId="15" xfId="0" applyFont="1" applyFill="1" applyBorder="1" applyAlignment="1">
      <alignment horizontal="center"/>
    </xf>
    <xf numFmtId="0" fontId="2" fillId="2" borderId="4"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6" xfId="0" applyFont="1" applyFill="1" applyBorder="1" applyAlignment="1">
      <alignment horizontal="center" vertical="top" wrapText="1"/>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3" fillId="2" borderId="16" xfId="0" applyFont="1" applyFill="1" applyBorder="1" applyAlignment="1">
      <alignment horizontal="center"/>
    </xf>
    <xf numFmtId="0" fontId="2" fillId="2" borderId="12"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28" xfId="0" applyFont="1" applyFill="1" applyBorder="1" applyAlignment="1">
      <alignment horizontal="center" vertical="top" wrapText="1"/>
    </xf>
    <xf numFmtId="0" fontId="3" fillId="2" borderId="28" xfId="0" applyFont="1" applyFill="1" applyBorder="1" applyAlignment="1">
      <alignment horizontal="center"/>
    </xf>
  </cellXfs>
  <cellStyles count="6">
    <cellStyle name="Comma" xfId="1" builtinId="3"/>
    <cellStyle name="Currency" xfId="4" builtinId="4"/>
    <cellStyle name="Hyperlink" xfId="2" builtinId="8"/>
    <cellStyle name="Normal" xfId="0" builtinId="0"/>
    <cellStyle name="Normal 2" xfId="5" xr:uid="{00000000-0005-0000-0000-000004000000}"/>
    <cellStyle name="Percent" xfId="3"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1C4D3"/>
      <color rgb="FFE8BBB6"/>
      <color rgb="FFE3ABA5"/>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styles" Target="style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normalizeH="0" baseline="0%">
                <a:solidFill>
                  <a:schemeClr val="tx1">
                    <a:lumMod val="65%"/>
                    <a:lumOff val="35%"/>
                  </a:schemeClr>
                </a:solidFill>
                <a:latin typeface="+mj-lt"/>
                <a:ea typeface="+mj-ea"/>
                <a:cs typeface="+mj-cs"/>
              </a:defRPr>
            </a:pPr>
            <a:r>
              <a:rPr lang="en-US"/>
              <a:t>GOOGL &amp; S&amp;P 500</a:t>
            </a:r>
          </a:p>
        </c:rich>
      </c:tx>
      <c:layout>
        <c:manualLayout>
          <c:xMode val="edge"/>
          <c:yMode val="edge"/>
          <c:x val="0.32548538842845498"/>
          <c:y val="2.8690218164192358E-2"/>
        </c:manualLayout>
      </c:layout>
      <c:overlay val="0"/>
      <c:spPr>
        <a:noFill/>
        <a:ln>
          <a:noFill/>
        </a:ln>
        <a:effectLst/>
      </c:spPr>
      <c:txPr>
        <a:bodyPr rot="0" spcFirstLastPara="1" vertOverflow="ellipsis" vert="horz" wrap="square" anchor="ctr" anchorCtr="1"/>
        <a:lstStyle/>
        <a:p>
          <a:pPr>
            <a:defRPr sz="2000" b="0" i="0" u="none" strike="noStrike" kern="1200" spc="0" normalizeH="0" baseline="0%">
              <a:solidFill>
                <a:schemeClr val="tx1">
                  <a:lumMod val="65%"/>
                  <a:lumOff val="35%"/>
                </a:schemeClr>
              </a:solidFill>
              <a:latin typeface="+mj-lt"/>
              <a:ea typeface="+mj-ea"/>
              <a:cs typeface="+mj-cs"/>
            </a:defRPr>
          </a:pPr>
          <a:endParaRPr lang="en-US"/>
        </a:p>
      </c:txPr>
    </c:title>
    <c:autoTitleDeleted val="0"/>
    <c:plotArea>
      <c:layout/>
      <c:scatterChart>
        <c:scatterStyle val="lineMarker"/>
        <c:varyColors val="0"/>
        <c:ser>
          <c:idx val="0"/>
          <c:order val="0"/>
          <c:spPr>
            <a:ln w="25400" cap="flat" cmpd="dbl" algn="ctr">
              <a:noFill/>
              <a:round/>
            </a:ln>
            <a:effectLst/>
          </c:spPr>
          <c:marker>
            <c:symbol val="circle"/>
            <c:size val="6"/>
            <c:spPr>
              <a:noFill/>
              <a:ln w="34925" cap="flat" cmpd="dbl" algn="ctr">
                <a:solidFill>
                  <a:schemeClr val="accent1">
                    <a:lumMod val="75%"/>
                    <a:alpha val="70%"/>
                  </a:schemeClr>
                </a:solidFill>
                <a:round/>
              </a:ln>
              <a:effectLst/>
            </c:spPr>
          </c:marker>
          <c:xVal>
            <c:numRef>
              <c:f>'Equity Research &amp; Stock Risks'!$K$3:$K$251</c:f>
              <c:numCache>
                <c:formatCode>0.00%</c:formatCode>
                <c:ptCount val="249"/>
                <c:pt idx="0">
                  <c:v>5.2227384420557976E-4</c:v>
                </c:pt>
                <c:pt idx="1">
                  <c:v>-5.8706704833204892E-3</c:v>
                </c:pt>
                <c:pt idx="2">
                  <c:v>-1.6830409872190086E-3</c:v>
                </c:pt>
                <c:pt idx="3">
                  <c:v>-8.5485942217199285E-3</c:v>
                </c:pt>
                <c:pt idx="4">
                  <c:v>-5.1000000000000004E-3</c:v>
                </c:pt>
                <c:pt idx="5">
                  <c:v>-2.2703617271345451E-3</c:v>
                </c:pt>
                <c:pt idx="6">
                  <c:v>-7.2448090176998794E-3</c:v>
                </c:pt>
                <c:pt idx="7">
                  <c:v>-3.3501593923906661E-3</c:v>
                </c:pt>
                <c:pt idx="8">
                  <c:v>-8.367502689446589E-3</c:v>
                </c:pt>
                <c:pt idx="9">
                  <c:v>-3.4362459428271723E-3</c:v>
                </c:pt>
                <c:pt idx="10">
                  <c:v>-8.7093087192584035E-3</c:v>
                </c:pt>
                <c:pt idx="11">
                  <c:v>-1.5337624857609329E-3</c:v>
                </c:pt>
                <c:pt idx="12">
                  <c:v>-7.7901250121218506E-3</c:v>
                </c:pt>
                <c:pt idx="13">
                  <c:v>1.5645935553880537E-3</c:v>
                </c:pt>
                <c:pt idx="14">
                  <c:v>3.1260906262640109E-3</c:v>
                </c:pt>
                <c:pt idx="15">
                  <c:v>-5.7353841696332532E-3</c:v>
                </c:pt>
                <c:pt idx="16">
                  <c:v>-5.9664642261523099E-3</c:v>
                </c:pt>
                <c:pt idx="17">
                  <c:v>-1.1109543491523058E-2</c:v>
                </c:pt>
                <c:pt idx="18">
                  <c:v>-6.0899053387745618E-3</c:v>
                </c:pt>
                <c:pt idx="19">
                  <c:v>-4.7016363526258802E-3</c:v>
                </c:pt>
                <c:pt idx="20">
                  <c:v>-4.5296905213508022E-3</c:v>
                </c:pt>
                <c:pt idx="21">
                  <c:v>2.2647580016458202E-3</c:v>
                </c:pt>
                <c:pt idx="22">
                  <c:v>-7.4153568633501792E-3</c:v>
                </c:pt>
                <c:pt idx="23">
                  <c:v>-5.0731710460720156E-3</c:v>
                </c:pt>
                <c:pt idx="24">
                  <c:v>-4.606677505398447E-3</c:v>
                </c:pt>
                <c:pt idx="25">
                  <c:v>4.5254631328186905E-4</c:v>
                </c:pt>
                <c:pt idx="26">
                  <c:v>-1.8339496666744388E-3</c:v>
                </c:pt>
                <c:pt idx="27">
                  <c:v>4.5844948796384954E-5</c:v>
                </c:pt>
                <c:pt idx="28">
                  <c:v>-1.3926648770535991E-3</c:v>
                </c:pt>
                <c:pt idx="29">
                  <c:v>-3.0769102636061998E-4</c:v>
                </c:pt>
                <c:pt idx="30">
                  <c:v>-6.0641179099712728E-3</c:v>
                </c:pt>
                <c:pt idx="31">
                  <c:v>-3.5214436445334374E-3</c:v>
                </c:pt>
                <c:pt idx="32">
                  <c:v>7.4806628737721786E-4</c:v>
                </c:pt>
                <c:pt idx="33">
                  <c:v>-6.2822003765219602E-3</c:v>
                </c:pt>
                <c:pt idx="34">
                  <c:v>-4.6810129542204666E-3</c:v>
                </c:pt>
                <c:pt idx="35">
                  <c:v>-3.6066359344060933E-3</c:v>
                </c:pt>
                <c:pt idx="36">
                  <c:v>-3.9820169851320173E-3</c:v>
                </c:pt>
                <c:pt idx="37">
                  <c:v>-7.8783762000210859E-3</c:v>
                </c:pt>
                <c:pt idx="38">
                  <c:v>7.4738545053825564E-3</c:v>
                </c:pt>
                <c:pt idx="39">
                  <c:v>-1.2459880477359939E-2</c:v>
                </c:pt>
                <c:pt idx="40">
                  <c:v>-6.4961228591630645E-3</c:v>
                </c:pt>
                <c:pt idx="41">
                  <c:v>-1.0577240599114975E-2</c:v>
                </c:pt>
                <c:pt idx="42">
                  <c:v>-1.0413373760945236E-2</c:v>
                </c:pt>
                <c:pt idx="43">
                  <c:v>-9.4842155406884097E-3</c:v>
                </c:pt>
                <c:pt idx="44">
                  <c:v>-6.4001045222567363E-3</c:v>
                </c:pt>
                <c:pt idx="45">
                  <c:v>-4.0313295793994964E-3</c:v>
                </c:pt>
                <c:pt idx="46">
                  <c:v>-7.4333672072536107E-3</c:v>
                </c:pt>
                <c:pt idx="47">
                  <c:v>-1.1079027372577587E-2</c:v>
                </c:pt>
                <c:pt idx="48">
                  <c:v>1.1747529689331015E-3</c:v>
                </c:pt>
                <c:pt idx="49">
                  <c:v>-8.8267102889130738E-3</c:v>
                </c:pt>
                <c:pt idx="50">
                  <c:v>-8.5143148736341549E-3</c:v>
                </c:pt>
                <c:pt idx="51">
                  <c:v>-9.5098934090192423E-3</c:v>
                </c:pt>
                <c:pt idx="52">
                  <c:v>-2.0007972866659899E-2</c:v>
                </c:pt>
                <c:pt idx="53">
                  <c:v>-5.7101138376795414E-3</c:v>
                </c:pt>
                <c:pt idx="54">
                  <c:v>-8.560269561605844E-3</c:v>
                </c:pt>
                <c:pt idx="55">
                  <c:v>-8.5439960753447633E-3</c:v>
                </c:pt>
                <c:pt idx="56">
                  <c:v>-8.719587206542671E-3</c:v>
                </c:pt>
                <c:pt idx="57">
                  <c:v>-4.4852584702260306E-4</c:v>
                </c:pt>
                <c:pt idx="58">
                  <c:v>-6.6146750250372166E-3</c:v>
                </c:pt>
                <c:pt idx="59">
                  <c:v>-4.7648899707310819E-3</c:v>
                </c:pt>
                <c:pt idx="60">
                  <c:v>-9.7550475355151975E-3</c:v>
                </c:pt>
                <c:pt idx="61">
                  <c:v>-9.4421256211576939E-3</c:v>
                </c:pt>
                <c:pt idx="62">
                  <c:v>-7.2404775437239595E-3</c:v>
                </c:pt>
                <c:pt idx="63">
                  <c:v>-1.0954861225013478E-2</c:v>
                </c:pt>
                <c:pt idx="64">
                  <c:v>-5.8704906204781497E-3</c:v>
                </c:pt>
                <c:pt idx="65">
                  <c:v>-8.9271301291930661E-3</c:v>
                </c:pt>
                <c:pt idx="66">
                  <c:v>-7.4123135360977428E-3</c:v>
                </c:pt>
                <c:pt idx="67">
                  <c:v>-9.5338793828935887E-3</c:v>
                </c:pt>
                <c:pt idx="68">
                  <c:v>-1.1759950756214018E-2</c:v>
                </c:pt>
                <c:pt idx="69">
                  <c:v>-1.4814694452883102E-2</c:v>
                </c:pt>
                <c:pt idx="70">
                  <c:v>4.1334911528973124E-4</c:v>
                </c:pt>
                <c:pt idx="71">
                  <c:v>-1.100338013502117E-2</c:v>
                </c:pt>
                <c:pt idx="72">
                  <c:v>-9.7163505528008957E-3</c:v>
                </c:pt>
                <c:pt idx="73">
                  <c:v>-2.4273658909898521E-4</c:v>
                </c:pt>
                <c:pt idx="74">
                  <c:v>-1.0835073151365712E-2</c:v>
                </c:pt>
                <c:pt idx="75">
                  <c:v>2.8400689914650674E-3</c:v>
                </c:pt>
                <c:pt idx="76">
                  <c:v>-2.0093125552777934E-3</c:v>
                </c:pt>
                <c:pt idx="77">
                  <c:v>-8.6857033789650255E-3</c:v>
                </c:pt>
                <c:pt idx="78">
                  <c:v>-7.4470799274988127E-3</c:v>
                </c:pt>
                <c:pt idx="79">
                  <c:v>-9.8131473359665978E-3</c:v>
                </c:pt>
                <c:pt idx="80">
                  <c:v>-6.4677094686342836E-3</c:v>
                </c:pt>
                <c:pt idx="81">
                  <c:v>-6.9109499494399108E-3</c:v>
                </c:pt>
                <c:pt idx="82">
                  <c:v>-9.6713605051778409E-3</c:v>
                </c:pt>
                <c:pt idx="83">
                  <c:v>-7.8178972383807031E-3</c:v>
                </c:pt>
                <c:pt idx="84">
                  <c:v>-4.7113048150983702E-3</c:v>
                </c:pt>
                <c:pt idx="85">
                  <c:v>-8.9625539228106298E-3</c:v>
                </c:pt>
                <c:pt idx="86">
                  <c:v>-1.0025248655883652E-2</c:v>
                </c:pt>
                <c:pt idx="87">
                  <c:v>-7.7693986081358874E-3</c:v>
                </c:pt>
                <c:pt idx="88">
                  <c:v>-1.0862809371881776E-2</c:v>
                </c:pt>
                <c:pt idx="89">
                  <c:v>-1.0078441342120921E-2</c:v>
                </c:pt>
                <c:pt idx="90">
                  <c:v>-4.1234863573975412E-3</c:v>
                </c:pt>
                <c:pt idx="91">
                  <c:v>-9.5868968136180715E-3</c:v>
                </c:pt>
                <c:pt idx="92">
                  <c:v>-2.7078214589219163E-2</c:v>
                </c:pt>
                <c:pt idx="93">
                  <c:v>-5.4131814643503754E-3</c:v>
                </c:pt>
                <c:pt idx="94">
                  <c:v>-2.2325003820158054E-3</c:v>
                </c:pt>
                <c:pt idx="95">
                  <c:v>-4.0398684556173479E-3</c:v>
                </c:pt>
                <c:pt idx="96">
                  <c:v>-7.2621281512925233E-3</c:v>
                </c:pt>
                <c:pt idx="97">
                  <c:v>-6.7108733273772451E-3</c:v>
                </c:pt>
                <c:pt idx="98">
                  <c:v>-4.7580519486071704E-3</c:v>
                </c:pt>
                <c:pt idx="99">
                  <c:v>-8.8894500039822452E-3</c:v>
                </c:pt>
                <c:pt idx="100">
                  <c:v>-1.0404624482819685E-2</c:v>
                </c:pt>
                <c:pt idx="101">
                  <c:v>-1.0059968685312497E-2</c:v>
                </c:pt>
                <c:pt idx="102">
                  <c:v>-2.0288872920576143E-3</c:v>
                </c:pt>
                <c:pt idx="103">
                  <c:v>-5.8922690051916599E-3</c:v>
                </c:pt>
                <c:pt idx="104">
                  <c:v>-1.0717664895717995E-2</c:v>
                </c:pt>
                <c:pt idx="105">
                  <c:v>-1.2379040157486965E-2</c:v>
                </c:pt>
                <c:pt idx="106">
                  <c:v>-8.23174254725542E-3</c:v>
                </c:pt>
                <c:pt idx="107">
                  <c:v>-9.6327954706301993E-3</c:v>
                </c:pt>
                <c:pt idx="108">
                  <c:v>-1.0729989016156067E-2</c:v>
                </c:pt>
                <c:pt idx="109">
                  <c:v>-1.0678763197351986E-2</c:v>
                </c:pt>
                <c:pt idx="110">
                  <c:v>-5.3884948556094684E-3</c:v>
                </c:pt>
                <c:pt idx="111">
                  <c:v>-1.0895830885900964E-2</c:v>
                </c:pt>
                <c:pt idx="112">
                  <c:v>-1.2239598171674493E-2</c:v>
                </c:pt>
                <c:pt idx="113">
                  <c:v>-9.8163607989187815E-3</c:v>
                </c:pt>
                <c:pt idx="114">
                  <c:v>-1.7527711739809149E-3</c:v>
                </c:pt>
                <c:pt idx="115">
                  <c:v>-1.6696637508322482E-2</c:v>
                </c:pt>
                <c:pt idx="116">
                  <c:v>-1.0282644441432134E-2</c:v>
                </c:pt>
                <c:pt idx="117">
                  <c:v>-9.8557818990853644E-3</c:v>
                </c:pt>
                <c:pt idx="118">
                  <c:v>-7.9390844115835094E-3</c:v>
                </c:pt>
                <c:pt idx="119">
                  <c:v>-9.484198423276146E-3</c:v>
                </c:pt>
                <c:pt idx="120">
                  <c:v>-1.7972824663108417E-2</c:v>
                </c:pt>
                <c:pt idx="121">
                  <c:v>-1.1919338712629846E-3</c:v>
                </c:pt>
                <c:pt idx="122">
                  <c:v>-1.880002315222392E-2</c:v>
                </c:pt>
                <c:pt idx="123">
                  <c:v>-8.56676816335563E-3</c:v>
                </c:pt>
                <c:pt idx="124">
                  <c:v>-8.0891660084949392E-3</c:v>
                </c:pt>
                <c:pt idx="125">
                  <c:v>-8.8467210981151897E-3</c:v>
                </c:pt>
                <c:pt idx="126">
                  <c:v>-1.9568823795134242E-2</c:v>
                </c:pt>
                <c:pt idx="127">
                  <c:v>-3.8968743645606358E-3</c:v>
                </c:pt>
                <c:pt idx="128">
                  <c:v>-9.3722337875588192E-3</c:v>
                </c:pt>
                <c:pt idx="129">
                  <c:v>-1.108268088192957E-2</c:v>
                </c:pt>
                <c:pt idx="130">
                  <c:v>-2.9943922408144355E-3</c:v>
                </c:pt>
                <c:pt idx="131">
                  <c:v>-8.4254157372352576E-3</c:v>
                </c:pt>
                <c:pt idx="132">
                  <c:v>-5.5264966785002582E-3</c:v>
                </c:pt>
                <c:pt idx="133">
                  <c:v>-1.0552912855823739E-2</c:v>
                </c:pt>
                <c:pt idx="134">
                  <c:v>-9.9021429995971612E-3</c:v>
                </c:pt>
                <c:pt idx="135">
                  <c:v>-5.5273605223389475E-3</c:v>
                </c:pt>
                <c:pt idx="136">
                  <c:v>-1.145365930076621E-2</c:v>
                </c:pt>
                <c:pt idx="137">
                  <c:v>-1.176787160364098E-2</c:v>
                </c:pt>
                <c:pt idx="138">
                  <c:v>-1.2563734846964759E-2</c:v>
                </c:pt>
                <c:pt idx="139">
                  <c:v>-8.6768282013356332E-3</c:v>
                </c:pt>
                <c:pt idx="140">
                  <c:v>-1.0817336178128899E-2</c:v>
                </c:pt>
                <c:pt idx="141">
                  <c:v>-1.1872688168328836E-2</c:v>
                </c:pt>
                <c:pt idx="142">
                  <c:v>-1.1941115489333996E-2</c:v>
                </c:pt>
                <c:pt idx="143">
                  <c:v>-1.122814567721438E-2</c:v>
                </c:pt>
                <c:pt idx="144">
                  <c:v>-8.150884961343436E-3</c:v>
                </c:pt>
                <c:pt idx="145">
                  <c:v>-1.0107351565117792E-2</c:v>
                </c:pt>
                <c:pt idx="146">
                  <c:v>-1.2783654085055695E-2</c:v>
                </c:pt>
                <c:pt idx="147">
                  <c:v>-8.7108964766677757E-3</c:v>
                </c:pt>
                <c:pt idx="148">
                  <c:v>-8.4528002036802947E-3</c:v>
                </c:pt>
                <c:pt idx="149">
                  <c:v>-1.2814432693032037E-2</c:v>
                </c:pt>
                <c:pt idx="150">
                  <c:v>-1.0763608532139049E-2</c:v>
                </c:pt>
                <c:pt idx="151">
                  <c:v>-2.4774441884265717E-2</c:v>
                </c:pt>
                <c:pt idx="152">
                  <c:v>-8.8244301968463772E-3</c:v>
                </c:pt>
                <c:pt idx="153">
                  <c:v>-5.6245261979335701E-5</c:v>
                </c:pt>
                <c:pt idx="154">
                  <c:v>-1.0698808096269361E-2</c:v>
                </c:pt>
                <c:pt idx="155">
                  <c:v>-8.5798970839000947E-3</c:v>
                </c:pt>
                <c:pt idx="156">
                  <c:v>-2.5236951897705591E-2</c:v>
                </c:pt>
                <c:pt idx="157">
                  <c:v>-1.1835367336614395E-2</c:v>
                </c:pt>
                <c:pt idx="158">
                  <c:v>-8.7373490783409537E-3</c:v>
                </c:pt>
                <c:pt idx="159">
                  <c:v>4.0779962249893817E-5</c:v>
                </c:pt>
                <c:pt idx="160">
                  <c:v>-1.3253592835692437E-2</c:v>
                </c:pt>
                <c:pt idx="161">
                  <c:v>-1.2074461923330214E-2</c:v>
                </c:pt>
                <c:pt idx="162">
                  <c:v>-8.4271306951241021E-3</c:v>
                </c:pt>
                <c:pt idx="163">
                  <c:v>-9.2129281119364866E-3</c:v>
                </c:pt>
                <c:pt idx="164">
                  <c:v>-9.2571780969020519E-3</c:v>
                </c:pt>
                <c:pt idx="165">
                  <c:v>-5.484851091911179E-3</c:v>
                </c:pt>
                <c:pt idx="166">
                  <c:v>-4.1790239639019127E-3</c:v>
                </c:pt>
                <c:pt idx="167">
                  <c:v>-8.017459108575712E-3</c:v>
                </c:pt>
                <c:pt idx="168">
                  <c:v>-1.7650806819975579E-2</c:v>
                </c:pt>
                <c:pt idx="169">
                  <c:v>-7.3712733920357713E-3</c:v>
                </c:pt>
                <c:pt idx="170">
                  <c:v>-1.0478435958467957E-2</c:v>
                </c:pt>
                <c:pt idx="171">
                  <c:v>-1.1688850697372324E-2</c:v>
                </c:pt>
                <c:pt idx="172">
                  <c:v>4.3929899979779953E-4</c:v>
                </c:pt>
                <c:pt idx="173">
                  <c:v>-6.836052007323767E-3</c:v>
                </c:pt>
                <c:pt idx="174">
                  <c:v>-9.442879167811365E-3</c:v>
                </c:pt>
                <c:pt idx="175">
                  <c:v>-1.1400717616372291E-2</c:v>
                </c:pt>
                <c:pt idx="176">
                  <c:v>-8.452818624678473E-3</c:v>
                </c:pt>
                <c:pt idx="177">
                  <c:v>-8.9440791330724426E-3</c:v>
                </c:pt>
                <c:pt idx="178">
                  <c:v>-9.1898046343830489E-3</c:v>
                </c:pt>
                <c:pt idx="179">
                  <c:v>-9.5656521404400251E-3</c:v>
                </c:pt>
                <c:pt idx="180">
                  <c:v>-1.3245917468208513E-2</c:v>
                </c:pt>
                <c:pt idx="181">
                  <c:v>-9.4522062958824621E-3</c:v>
                </c:pt>
                <c:pt idx="182">
                  <c:v>-1.2622050444980605E-2</c:v>
                </c:pt>
                <c:pt idx="183">
                  <c:v>-1.0427833182591733E-2</c:v>
                </c:pt>
                <c:pt idx="184">
                  <c:v>-6.4148561219351686E-3</c:v>
                </c:pt>
                <c:pt idx="185">
                  <c:v>-9.1953842168374187E-3</c:v>
                </c:pt>
                <c:pt idx="186">
                  <c:v>-6.6948902490782738E-3</c:v>
                </c:pt>
                <c:pt idx="187">
                  <c:v>-6.1259964493039559E-3</c:v>
                </c:pt>
                <c:pt idx="188">
                  <c:v>-8.3411618478300923E-3</c:v>
                </c:pt>
                <c:pt idx="189">
                  <c:v>-9.3532798717121148E-3</c:v>
                </c:pt>
                <c:pt idx="190">
                  <c:v>-4.8532126788135002E-3</c:v>
                </c:pt>
                <c:pt idx="191">
                  <c:v>-1.1573634315278539E-2</c:v>
                </c:pt>
                <c:pt idx="192">
                  <c:v>-1.0086212079281768E-2</c:v>
                </c:pt>
                <c:pt idx="193">
                  <c:v>-8.9964929613841008E-3</c:v>
                </c:pt>
                <c:pt idx="194">
                  <c:v>-1.2386752718675176E-2</c:v>
                </c:pt>
                <c:pt idx="195">
                  <c:v>-9.8218927764731605E-3</c:v>
                </c:pt>
                <c:pt idx="196">
                  <c:v>-9.1492465693397799E-3</c:v>
                </c:pt>
                <c:pt idx="197">
                  <c:v>-1.0027421344690474E-2</c:v>
                </c:pt>
                <c:pt idx="198">
                  <c:v>-9.9576648378617589E-3</c:v>
                </c:pt>
                <c:pt idx="199">
                  <c:v>-1.0472002062766005E-2</c:v>
                </c:pt>
                <c:pt idx="200">
                  <c:v>-5.7831573714727941E-3</c:v>
                </c:pt>
                <c:pt idx="201">
                  <c:v>-1.4772484245916581E-2</c:v>
                </c:pt>
                <c:pt idx="202">
                  <c:v>-9.38209146568076E-3</c:v>
                </c:pt>
                <c:pt idx="203">
                  <c:v>-1.5663049960716977E-2</c:v>
                </c:pt>
                <c:pt idx="204">
                  <c:v>-9.6290537807509416E-3</c:v>
                </c:pt>
                <c:pt idx="205">
                  <c:v>-2.7269775069691908E-3</c:v>
                </c:pt>
                <c:pt idx="206">
                  <c:v>-1.4192470480425576E-2</c:v>
                </c:pt>
                <c:pt idx="207">
                  <c:v>-1.0355541203137314E-2</c:v>
                </c:pt>
                <c:pt idx="208">
                  <c:v>-1.000789008330075E-2</c:v>
                </c:pt>
                <c:pt idx="209">
                  <c:v>-1.1310033892254844E-2</c:v>
                </c:pt>
                <c:pt idx="210">
                  <c:v>-8.5029247062865451E-3</c:v>
                </c:pt>
                <c:pt idx="211">
                  <c:v>-1.0428748729392067E-2</c:v>
                </c:pt>
                <c:pt idx="212">
                  <c:v>-1.2189102832403263E-2</c:v>
                </c:pt>
                <c:pt idx="213">
                  <c:v>-1.0656345090606525E-2</c:v>
                </c:pt>
                <c:pt idx="214">
                  <c:v>-1.5961887788273496E-2</c:v>
                </c:pt>
                <c:pt idx="215">
                  <c:v>-1.2997643713573244E-2</c:v>
                </c:pt>
                <c:pt idx="216">
                  <c:v>-1.1216365661696202E-2</c:v>
                </c:pt>
                <c:pt idx="217">
                  <c:v>-1.4709609413640442E-2</c:v>
                </c:pt>
                <c:pt idx="218">
                  <c:v>-1.7825675723668097E-2</c:v>
                </c:pt>
                <c:pt idx="219">
                  <c:v>-4.3039416985513369E-3</c:v>
                </c:pt>
                <c:pt idx="220">
                  <c:v>-1.5225963119760754E-2</c:v>
                </c:pt>
                <c:pt idx="221">
                  <c:v>-1.1524317089019053E-2</c:v>
                </c:pt>
                <c:pt idx="222">
                  <c:v>-6.2588609835633018E-3</c:v>
                </c:pt>
                <c:pt idx="223">
                  <c:v>-1.3450261050562127E-2</c:v>
                </c:pt>
                <c:pt idx="224">
                  <c:v>-1.0543904754715044E-2</c:v>
                </c:pt>
                <c:pt idx="225">
                  <c:v>-1.2884257740861238E-2</c:v>
                </c:pt>
                <c:pt idx="226">
                  <c:v>-2.9514873537591305E-3</c:v>
                </c:pt>
                <c:pt idx="227">
                  <c:v>-1.306922581521415E-2</c:v>
                </c:pt>
                <c:pt idx="228">
                  <c:v>-4.3090494758268715E-3</c:v>
                </c:pt>
                <c:pt idx="229">
                  <c:v>-1.4524530643865939E-2</c:v>
                </c:pt>
                <c:pt idx="230">
                  <c:v>-1.3852156909913803E-2</c:v>
                </c:pt>
                <c:pt idx="231">
                  <c:v>-1.6539381543290852E-2</c:v>
                </c:pt>
                <c:pt idx="232">
                  <c:v>-1.291410534507197E-2</c:v>
                </c:pt>
                <c:pt idx="233">
                  <c:v>-9.767642371702797E-3</c:v>
                </c:pt>
                <c:pt idx="234">
                  <c:v>-7.0936935016093937E-3</c:v>
                </c:pt>
                <c:pt idx="235">
                  <c:v>-9.8980426173863722E-3</c:v>
                </c:pt>
                <c:pt idx="236">
                  <c:v>-1.1651078005748459E-2</c:v>
                </c:pt>
                <c:pt idx="237">
                  <c:v>-1.3272956803357858E-2</c:v>
                </c:pt>
                <c:pt idx="238">
                  <c:v>-1.7070859267722824E-2</c:v>
                </c:pt>
                <c:pt idx="239">
                  <c:v>-3.9256564227674439E-3</c:v>
                </c:pt>
                <c:pt idx="240">
                  <c:v>-8.2371929682621154E-3</c:v>
                </c:pt>
                <c:pt idx="241">
                  <c:v>-1.6730269308986748E-2</c:v>
                </c:pt>
                <c:pt idx="242">
                  <c:v>-1.442789329136962E-2</c:v>
                </c:pt>
                <c:pt idx="243">
                  <c:v>-1.1314344312774102E-2</c:v>
                </c:pt>
                <c:pt idx="244">
                  <c:v>-1.3558166473157619E-2</c:v>
                </c:pt>
                <c:pt idx="245">
                  <c:v>-1.5558415223884927E-2</c:v>
                </c:pt>
                <c:pt idx="246">
                  <c:v>-1.340905913075921E-2</c:v>
                </c:pt>
                <c:pt idx="247">
                  <c:v>-1.1866001228119457E-2</c:v>
                </c:pt>
                <c:pt idx="248">
                  <c:v>-1.8883153291804785E-2</c:v>
                </c:pt>
              </c:numCache>
            </c:numRef>
          </c:xVal>
          <c:yVal>
            <c:numRef>
              <c:f>'Equity Research &amp; Stock Risks'!$J$3:$J$251</c:f>
              <c:numCache>
                <c:formatCode>0.00%</c:formatCode>
                <c:ptCount val="249"/>
                <c:pt idx="0">
                  <c:v>-5.4970136471451884E-3</c:v>
                </c:pt>
                <c:pt idx="1">
                  <c:v>1.3993746611195091E-3</c:v>
                </c:pt>
                <c:pt idx="2">
                  <c:v>9.7934831863057143E-3</c:v>
                </c:pt>
                <c:pt idx="3">
                  <c:v>-2.6127640873464977E-3</c:v>
                </c:pt>
                <c:pt idx="4">
                  <c:v>-6.51442371660457E-3</c:v>
                </c:pt>
                <c:pt idx="5">
                  <c:v>-4.3906980134528206E-4</c:v>
                </c:pt>
                <c:pt idx="6">
                  <c:v>-5.4976044223894452E-3</c:v>
                </c:pt>
                <c:pt idx="7">
                  <c:v>-3.5002749138572336E-3</c:v>
                </c:pt>
                <c:pt idx="8">
                  <c:v>-9.5880039372566745E-3</c:v>
                </c:pt>
                <c:pt idx="9">
                  <c:v>-3.3147149608152736E-3</c:v>
                </c:pt>
                <c:pt idx="10">
                  <c:v>-1.0709062372221153E-2</c:v>
                </c:pt>
                <c:pt idx="11">
                  <c:v>-2.9043387914672383E-4</c:v>
                </c:pt>
                <c:pt idx="12">
                  <c:v>1.453366257383415E-2</c:v>
                </c:pt>
                <c:pt idx="13">
                  <c:v>1.0396196751387126E-3</c:v>
                </c:pt>
                <c:pt idx="14">
                  <c:v>5.5999031176095157E-3</c:v>
                </c:pt>
                <c:pt idx="15">
                  <c:v>-6.7124258599230591E-3</c:v>
                </c:pt>
                <c:pt idx="16">
                  <c:v>-1.904425923462056E-2</c:v>
                </c:pt>
                <c:pt idx="17">
                  <c:v>-3.0187880042662974E-2</c:v>
                </c:pt>
                <c:pt idx="18">
                  <c:v>-9.6184054051042765E-3</c:v>
                </c:pt>
                <c:pt idx="19">
                  <c:v>-1.1035201584912779E-2</c:v>
                </c:pt>
                <c:pt idx="20">
                  <c:v>-1.395544824782294E-3</c:v>
                </c:pt>
                <c:pt idx="21">
                  <c:v>-2.7146689595645554E-3</c:v>
                </c:pt>
                <c:pt idx="22">
                  <c:v>-3.4832270604463079E-3</c:v>
                </c:pt>
                <c:pt idx="23">
                  <c:v>3.9621711330186616E-3</c:v>
                </c:pt>
                <c:pt idx="24">
                  <c:v>-4.5161101073552265E-3</c:v>
                </c:pt>
                <c:pt idx="25">
                  <c:v>-5.0831096075149226E-3</c:v>
                </c:pt>
                <c:pt idx="26">
                  <c:v>3.7064069048177353E-4</c:v>
                </c:pt>
                <c:pt idx="27">
                  <c:v>-2.7690469167599135E-4</c:v>
                </c:pt>
                <c:pt idx="28">
                  <c:v>-4.1246031134484357E-3</c:v>
                </c:pt>
                <c:pt idx="29">
                  <c:v>-8.5261013373844289E-3</c:v>
                </c:pt>
                <c:pt idx="30">
                  <c:v>5.9226097484133076E-4</c:v>
                </c:pt>
                <c:pt idx="31">
                  <c:v>8.5622666983961593E-7</c:v>
                </c:pt>
                <c:pt idx="32">
                  <c:v>-2.0869209868796782E-3</c:v>
                </c:pt>
                <c:pt idx="33">
                  <c:v>-2.7391042297713435E-3</c:v>
                </c:pt>
                <c:pt idx="34">
                  <c:v>-5.5228352357904768E-3</c:v>
                </c:pt>
                <c:pt idx="35">
                  <c:v>-8.8485334900118093E-3</c:v>
                </c:pt>
                <c:pt idx="36">
                  <c:v>-2.8061299060074879E-3</c:v>
                </c:pt>
                <c:pt idx="37">
                  <c:v>-1.0878624754124136E-2</c:v>
                </c:pt>
                <c:pt idx="38">
                  <c:v>7.7893329600385404E-3</c:v>
                </c:pt>
                <c:pt idx="39">
                  <c:v>-1.4653719288007039E-2</c:v>
                </c:pt>
                <c:pt idx="40">
                  <c:v>-7.9059940245264776E-3</c:v>
                </c:pt>
                <c:pt idx="41">
                  <c:v>-9.4317154611588891E-3</c:v>
                </c:pt>
                <c:pt idx="42">
                  <c:v>-2.9205815048194608E-3</c:v>
                </c:pt>
                <c:pt idx="43">
                  <c:v>-4.2745568586156583E-3</c:v>
                </c:pt>
                <c:pt idx="44">
                  <c:v>-2.2798791924017112E-3</c:v>
                </c:pt>
                <c:pt idx="45">
                  <c:v>-3.1384478601625418E-3</c:v>
                </c:pt>
                <c:pt idx="46">
                  <c:v>-4.1199358036687591E-3</c:v>
                </c:pt>
                <c:pt idx="47">
                  <c:v>-6.1617317381277873E-3</c:v>
                </c:pt>
                <c:pt idx="48">
                  <c:v>-4.3359124189231244E-3</c:v>
                </c:pt>
                <c:pt idx="49">
                  <c:v>-5.3460116166811848E-3</c:v>
                </c:pt>
                <c:pt idx="50">
                  <c:v>-4.4758678160919342E-3</c:v>
                </c:pt>
                <c:pt idx="51">
                  <c:v>-1.2612534848244043E-2</c:v>
                </c:pt>
                <c:pt idx="52">
                  <c:v>-2.8074425404488453E-2</c:v>
                </c:pt>
                <c:pt idx="53">
                  <c:v>-7.9999658809142907E-3</c:v>
                </c:pt>
                <c:pt idx="54">
                  <c:v>-1.9443944626179443E-2</c:v>
                </c:pt>
                <c:pt idx="55">
                  <c:v>-1.3071296219959474E-2</c:v>
                </c:pt>
                <c:pt idx="56">
                  <c:v>-3.6647544849111114E-3</c:v>
                </c:pt>
                <c:pt idx="57">
                  <c:v>-5.1717117569055407E-3</c:v>
                </c:pt>
                <c:pt idx="58">
                  <c:v>3.2917442216448527E-3</c:v>
                </c:pt>
                <c:pt idx="59">
                  <c:v>-8.1589113656142936E-3</c:v>
                </c:pt>
                <c:pt idx="60">
                  <c:v>-9.4776710923781503E-3</c:v>
                </c:pt>
                <c:pt idx="61">
                  <c:v>2.7567493827329653E-3</c:v>
                </c:pt>
                <c:pt idx="62">
                  <c:v>-1.2678894660052488E-2</c:v>
                </c:pt>
                <c:pt idx="63">
                  <c:v>-1.219294247973703E-2</c:v>
                </c:pt>
                <c:pt idx="64">
                  <c:v>-1.228810488883262E-2</c:v>
                </c:pt>
                <c:pt idx="65">
                  <c:v>-1.1649875855161545E-2</c:v>
                </c:pt>
                <c:pt idx="66">
                  <c:v>-8.5749602320377635E-3</c:v>
                </c:pt>
                <c:pt idx="67">
                  <c:v>-1.0262298888027144E-2</c:v>
                </c:pt>
                <c:pt idx="68">
                  <c:v>-6.1187586433850182E-3</c:v>
                </c:pt>
                <c:pt idx="69">
                  <c:v>-9.5212000172718997E-3</c:v>
                </c:pt>
                <c:pt idx="70">
                  <c:v>9.5938205200751733E-3</c:v>
                </c:pt>
                <c:pt idx="71">
                  <c:v>-9.433148168505618E-3</c:v>
                </c:pt>
                <c:pt idx="72">
                  <c:v>-5.0491223205087789E-3</c:v>
                </c:pt>
                <c:pt idx="73">
                  <c:v>-3.6319144454598582E-3</c:v>
                </c:pt>
                <c:pt idx="74">
                  <c:v>-9.1138370589535309E-3</c:v>
                </c:pt>
                <c:pt idx="75">
                  <c:v>1.5260935701576023E-2</c:v>
                </c:pt>
                <c:pt idx="76">
                  <c:v>3.1751118734435948E-3</c:v>
                </c:pt>
                <c:pt idx="77">
                  <c:v>-7.8624949474738436E-3</c:v>
                </c:pt>
                <c:pt idx="78">
                  <c:v>-5.4132454268182931E-3</c:v>
                </c:pt>
                <c:pt idx="79">
                  <c:v>2.9208518717785781E-2</c:v>
                </c:pt>
                <c:pt idx="80">
                  <c:v>7.776173803137193E-4</c:v>
                </c:pt>
                <c:pt idx="81">
                  <c:v>-3.5224609592877975E-3</c:v>
                </c:pt>
                <c:pt idx="82">
                  <c:v>3.7226186094071537E-3</c:v>
                </c:pt>
                <c:pt idx="83">
                  <c:v>-1.789257292771301E-3</c:v>
                </c:pt>
                <c:pt idx="84">
                  <c:v>-1.3450517570455196E-2</c:v>
                </c:pt>
                <c:pt idx="85">
                  <c:v>-1.5000553168519233E-4</c:v>
                </c:pt>
                <c:pt idx="86">
                  <c:v>-1.1065297432819237E-2</c:v>
                </c:pt>
                <c:pt idx="87">
                  <c:v>-1.0854610024979981E-2</c:v>
                </c:pt>
                <c:pt idx="88">
                  <c:v>-7.6003519225111144E-3</c:v>
                </c:pt>
                <c:pt idx="89">
                  <c:v>-9.3846090954302942E-3</c:v>
                </c:pt>
                <c:pt idx="90">
                  <c:v>-4.6284210315489308E-3</c:v>
                </c:pt>
                <c:pt idx="91">
                  <c:v>-3.2808363431164793E-3</c:v>
                </c:pt>
                <c:pt idx="92">
                  <c:v>-3.2163290188728502E-2</c:v>
                </c:pt>
                <c:pt idx="93">
                  <c:v>-2.5868988579314835E-4</c:v>
                </c:pt>
                <c:pt idx="94">
                  <c:v>-4.6338516570225887E-3</c:v>
                </c:pt>
                <c:pt idx="95">
                  <c:v>6.6747264775641156E-4</c:v>
                </c:pt>
                <c:pt idx="96">
                  <c:v>-2.3785161316610152E-3</c:v>
                </c:pt>
                <c:pt idx="97">
                  <c:v>-1.9257770467356215E-3</c:v>
                </c:pt>
                <c:pt idx="98">
                  <c:v>5.3763650317053581E-3</c:v>
                </c:pt>
                <c:pt idx="99">
                  <c:v>-7.7783930984976742E-3</c:v>
                </c:pt>
                <c:pt idx="100">
                  <c:v>-6.2803880701040819E-3</c:v>
                </c:pt>
                <c:pt idx="101">
                  <c:v>-1.8714866092085447E-2</c:v>
                </c:pt>
                <c:pt idx="102">
                  <c:v>-8.3843550566031037E-3</c:v>
                </c:pt>
                <c:pt idx="103">
                  <c:v>-1.6772069187167265E-3</c:v>
                </c:pt>
                <c:pt idx="104">
                  <c:v>-1.7097638447665479E-3</c:v>
                </c:pt>
                <c:pt idx="105">
                  <c:v>-1.6772183890643399E-2</c:v>
                </c:pt>
                <c:pt idx="106">
                  <c:v>-4.9639372377769473E-3</c:v>
                </c:pt>
                <c:pt idx="107">
                  <c:v>-7.1241347978032808E-3</c:v>
                </c:pt>
                <c:pt idx="108">
                  <c:v>-4.3914451162604964E-2</c:v>
                </c:pt>
                <c:pt idx="109">
                  <c:v>-1.8265947555797017E-2</c:v>
                </c:pt>
                <c:pt idx="110">
                  <c:v>-8.6494939949662356E-4</c:v>
                </c:pt>
                <c:pt idx="111">
                  <c:v>-1.2548126738794468E-2</c:v>
                </c:pt>
                <c:pt idx="112">
                  <c:v>-1.8006777407506166E-2</c:v>
                </c:pt>
                <c:pt idx="113">
                  <c:v>-1.1724693298519865E-2</c:v>
                </c:pt>
                <c:pt idx="114">
                  <c:v>7.2165342748770536E-3</c:v>
                </c:pt>
                <c:pt idx="115">
                  <c:v>-1.6388282833883796E-2</c:v>
                </c:pt>
                <c:pt idx="116">
                  <c:v>2.0726127108901087E-4</c:v>
                </c:pt>
                <c:pt idx="117">
                  <c:v>-1.1413133125870233E-2</c:v>
                </c:pt>
                <c:pt idx="118">
                  <c:v>1.9674187348575276E-4</c:v>
                </c:pt>
                <c:pt idx="119">
                  <c:v>-2.3997486656053564E-2</c:v>
                </c:pt>
                <c:pt idx="120">
                  <c:v>-3.4589071313762182E-2</c:v>
                </c:pt>
                <c:pt idx="121">
                  <c:v>3.6273799239109616E-3</c:v>
                </c:pt>
                <c:pt idx="122">
                  <c:v>-3.4330865192548757E-2</c:v>
                </c:pt>
                <c:pt idx="123">
                  <c:v>-1.8779718857821363E-2</c:v>
                </c:pt>
                <c:pt idx="124">
                  <c:v>-2.1392998748979195E-2</c:v>
                </c:pt>
                <c:pt idx="125">
                  <c:v>3.6212012417435862E-3</c:v>
                </c:pt>
                <c:pt idx="126">
                  <c:v>-1.5102074475982207E-2</c:v>
                </c:pt>
                <c:pt idx="127">
                  <c:v>3.8426510706319975E-3</c:v>
                </c:pt>
                <c:pt idx="128">
                  <c:v>5.3109450543918461E-4</c:v>
                </c:pt>
                <c:pt idx="129">
                  <c:v>-7.6396119873816896E-3</c:v>
                </c:pt>
                <c:pt idx="130">
                  <c:v>4.5185621535365639E-3</c:v>
                </c:pt>
                <c:pt idx="131">
                  <c:v>-9.0702260781639951E-3</c:v>
                </c:pt>
                <c:pt idx="132">
                  <c:v>-1.8808616404403285E-3</c:v>
                </c:pt>
                <c:pt idx="133">
                  <c:v>-1.147240383070596E-2</c:v>
                </c:pt>
                <c:pt idx="134">
                  <c:v>7.6069690588210712E-4</c:v>
                </c:pt>
                <c:pt idx="135">
                  <c:v>-5.0030366996945434E-3</c:v>
                </c:pt>
                <c:pt idx="136">
                  <c:v>-1.1884242058397367E-2</c:v>
                </c:pt>
                <c:pt idx="137">
                  <c:v>-9.7369868707869577E-3</c:v>
                </c:pt>
                <c:pt idx="138">
                  <c:v>-7.0023234337894232E-3</c:v>
                </c:pt>
                <c:pt idx="139">
                  <c:v>-4.0929535974455838E-2</c:v>
                </c:pt>
                <c:pt idx="140">
                  <c:v>-1.4938922312695495E-2</c:v>
                </c:pt>
                <c:pt idx="141">
                  <c:v>-2.4159976615304862E-2</c:v>
                </c:pt>
                <c:pt idx="142">
                  <c:v>-4.48982064345966E-3</c:v>
                </c:pt>
                <c:pt idx="143">
                  <c:v>-2.3887890155171877E-2</c:v>
                </c:pt>
                <c:pt idx="144">
                  <c:v>-9.4789021681650452E-3</c:v>
                </c:pt>
                <c:pt idx="145">
                  <c:v>-9.4590084069874278E-3</c:v>
                </c:pt>
                <c:pt idx="146">
                  <c:v>-1.8345585753889851E-2</c:v>
                </c:pt>
                <c:pt idx="147">
                  <c:v>-4.7614483993803532E-3</c:v>
                </c:pt>
                <c:pt idx="148">
                  <c:v>-1.0142269426542833E-2</c:v>
                </c:pt>
                <c:pt idx="149">
                  <c:v>-1.2049482421358657E-2</c:v>
                </c:pt>
                <c:pt idx="150">
                  <c:v>-1.4752921542585928E-2</c:v>
                </c:pt>
                <c:pt idx="151">
                  <c:v>-2.7841049380693341E-2</c:v>
                </c:pt>
                <c:pt idx="152">
                  <c:v>-3.0622453578096065E-3</c:v>
                </c:pt>
                <c:pt idx="153">
                  <c:v>-5.9558027354269724E-4</c:v>
                </c:pt>
                <c:pt idx="154">
                  <c:v>-1.1105260249791563E-2</c:v>
                </c:pt>
                <c:pt idx="155">
                  <c:v>-3.4014125790720823E-3</c:v>
                </c:pt>
                <c:pt idx="156">
                  <c:v>-2.7390357258191896E-2</c:v>
                </c:pt>
                <c:pt idx="157">
                  <c:v>-1.1595390599007842E-2</c:v>
                </c:pt>
                <c:pt idx="158">
                  <c:v>-1.5633224686489151E-2</c:v>
                </c:pt>
                <c:pt idx="159">
                  <c:v>1.1308236891245452E-2</c:v>
                </c:pt>
                <c:pt idx="160">
                  <c:v>-7.481845018753458E-3</c:v>
                </c:pt>
                <c:pt idx="161">
                  <c:v>-1.6036624899082759E-2</c:v>
                </c:pt>
                <c:pt idx="162">
                  <c:v>-1.692045373276814E-2</c:v>
                </c:pt>
                <c:pt idx="163">
                  <c:v>-1.2247012358946822E-2</c:v>
                </c:pt>
                <c:pt idx="164">
                  <c:v>-1.8899486505664503E-3</c:v>
                </c:pt>
                <c:pt idx="165">
                  <c:v>-1.6789420251135632E-3</c:v>
                </c:pt>
                <c:pt idx="166">
                  <c:v>2.4035352187641093E-3</c:v>
                </c:pt>
                <c:pt idx="167">
                  <c:v>-1.3402286372035157E-2</c:v>
                </c:pt>
                <c:pt idx="168">
                  <c:v>-2.1140042553388694E-2</c:v>
                </c:pt>
                <c:pt idx="169">
                  <c:v>-9.9263924762371582E-3</c:v>
                </c:pt>
                <c:pt idx="170">
                  <c:v>-1.9456181048042882E-3</c:v>
                </c:pt>
                <c:pt idx="171">
                  <c:v>-1.9127393557242429E-2</c:v>
                </c:pt>
                <c:pt idx="172">
                  <c:v>-8.402990138282735E-3</c:v>
                </c:pt>
                <c:pt idx="173">
                  <c:v>-6.637950070110879E-3</c:v>
                </c:pt>
                <c:pt idx="174">
                  <c:v>-6.1964317288180637E-3</c:v>
                </c:pt>
                <c:pt idx="175">
                  <c:v>-2.1147604244670739E-2</c:v>
                </c:pt>
                <c:pt idx="176">
                  <c:v>-1.544825287381394E-2</c:v>
                </c:pt>
                <c:pt idx="177">
                  <c:v>-1.6323273134869427E-2</c:v>
                </c:pt>
                <c:pt idx="178">
                  <c:v>-2.6527991395535883E-3</c:v>
                </c:pt>
                <c:pt idx="179">
                  <c:v>1.1997749621038261E-3</c:v>
                </c:pt>
                <c:pt idx="180">
                  <c:v>-1.0189435801937251E-2</c:v>
                </c:pt>
                <c:pt idx="181">
                  <c:v>-1.4627442408663741E-2</c:v>
                </c:pt>
                <c:pt idx="182">
                  <c:v>-1.9920154469391695E-2</c:v>
                </c:pt>
                <c:pt idx="183">
                  <c:v>-7.1284583826847978E-3</c:v>
                </c:pt>
                <c:pt idx="184">
                  <c:v>1.3469822992424845E-2</c:v>
                </c:pt>
                <c:pt idx="185">
                  <c:v>-5.2849110561123186E-3</c:v>
                </c:pt>
                <c:pt idx="186">
                  <c:v>-1.1650490578767429E-3</c:v>
                </c:pt>
                <c:pt idx="187">
                  <c:v>-1.6418683180115242E-2</c:v>
                </c:pt>
                <c:pt idx="188">
                  <c:v>-5.7349466772235241E-3</c:v>
                </c:pt>
                <c:pt idx="189">
                  <c:v>-1.6052213714213184E-2</c:v>
                </c:pt>
                <c:pt idx="190">
                  <c:v>8.5425665071325509E-3</c:v>
                </c:pt>
                <c:pt idx="191">
                  <c:v>-1.9229610706099128E-3</c:v>
                </c:pt>
                <c:pt idx="192">
                  <c:v>-1.6477407221769307E-2</c:v>
                </c:pt>
                <c:pt idx="193">
                  <c:v>7.2704962713565496E-3</c:v>
                </c:pt>
                <c:pt idx="194">
                  <c:v>-1.0700000000000001E-2</c:v>
                </c:pt>
                <c:pt idx="195">
                  <c:v>-8.4925014199572213E-3</c:v>
                </c:pt>
                <c:pt idx="196">
                  <c:v>-9.4315754935238912E-3</c:v>
                </c:pt>
                <c:pt idx="197">
                  <c:v>-9.0652607725429518E-3</c:v>
                </c:pt>
                <c:pt idx="198">
                  <c:v>-8.9789416419386418E-3</c:v>
                </c:pt>
                <c:pt idx="199">
                  <c:v>-2.156284446909228E-2</c:v>
                </c:pt>
                <c:pt idx="200">
                  <c:v>-7.6759523347532718E-3</c:v>
                </c:pt>
                <c:pt idx="201">
                  <c:v>-3.0231511102688804E-2</c:v>
                </c:pt>
                <c:pt idx="202">
                  <c:v>-8.0067048868107775E-3</c:v>
                </c:pt>
                <c:pt idx="203">
                  <c:v>-7.995384849572483E-3</c:v>
                </c:pt>
                <c:pt idx="204">
                  <c:v>-1.094038387742474E-2</c:v>
                </c:pt>
                <c:pt idx="205">
                  <c:v>3.1815704468809325E-2</c:v>
                </c:pt>
                <c:pt idx="206">
                  <c:v>-1.1522448147873366E-2</c:v>
                </c:pt>
                <c:pt idx="207">
                  <c:v>-1.1387081005841083E-2</c:v>
                </c:pt>
                <c:pt idx="208">
                  <c:v>-2.3458214211579155E-3</c:v>
                </c:pt>
                <c:pt idx="209">
                  <c:v>-1.1145122761829013E-2</c:v>
                </c:pt>
                <c:pt idx="210">
                  <c:v>-4.8692031456387458E-3</c:v>
                </c:pt>
                <c:pt idx="211">
                  <c:v>-1.866191017973429E-2</c:v>
                </c:pt>
                <c:pt idx="212">
                  <c:v>-2.687497125556387E-3</c:v>
                </c:pt>
                <c:pt idx="213">
                  <c:v>-6.4936906318898979E-3</c:v>
                </c:pt>
                <c:pt idx="214">
                  <c:v>-2.2187874411052633E-2</c:v>
                </c:pt>
                <c:pt idx="215">
                  <c:v>-1.5507348431654508E-2</c:v>
                </c:pt>
                <c:pt idx="216">
                  <c:v>-1.5025334417652586E-2</c:v>
                </c:pt>
                <c:pt idx="217">
                  <c:v>-1.1977349192556873E-2</c:v>
                </c:pt>
                <c:pt idx="218">
                  <c:v>-1.7320910223000557E-2</c:v>
                </c:pt>
                <c:pt idx="219">
                  <c:v>-8.6373963550415676E-4</c:v>
                </c:pt>
                <c:pt idx="220">
                  <c:v>-2.4598394181954152E-2</c:v>
                </c:pt>
                <c:pt idx="221">
                  <c:v>-1.3987366402020926E-2</c:v>
                </c:pt>
                <c:pt idx="222">
                  <c:v>2.3160907796308562E-3</c:v>
                </c:pt>
                <c:pt idx="223">
                  <c:v>-1.1157588380061079E-2</c:v>
                </c:pt>
                <c:pt idx="224">
                  <c:v>-8.2270668799995124E-3</c:v>
                </c:pt>
                <c:pt idx="225">
                  <c:v>2.1613312637464594E-3</c:v>
                </c:pt>
                <c:pt idx="226">
                  <c:v>-2.0934225351123343E-2</c:v>
                </c:pt>
                <c:pt idx="227">
                  <c:v>-3.7067795286004741E-2</c:v>
                </c:pt>
                <c:pt idx="228">
                  <c:v>-1.3666362368821657E-2</c:v>
                </c:pt>
                <c:pt idx="229">
                  <c:v>-2.3212621991222024E-2</c:v>
                </c:pt>
                <c:pt idx="230">
                  <c:v>-2.5677122240788098E-2</c:v>
                </c:pt>
                <c:pt idx="231">
                  <c:v>-5.1606974826840755E-3</c:v>
                </c:pt>
                <c:pt idx="232">
                  <c:v>6.7786689708608169E-5</c:v>
                </c:pt>
                <c:pt idx="233">
                  <c:v>-1.2254712480038923E-3</c:v>
                </c:pt>
                <c:pt idx="234">
                  <c:v>-7.9951776820506859E-3</c:v>
                </c:pt>
                <c:pt idx="235">
                  <c:v>-1.0631908376699056E-2</c:v>
                </c:pt>
                <c:pt idx="236">
                  <c:v>-1.6241865346173515E-2</c:v>
                </c:pt>
                <c:pt idx="237">
                  <c:v>-1.0301840298600434E-2</c:v>
                </c:pt>
                <c:pt idx="238">
                  <c:v>-7.2172210946857456E-3</c:v>
                </c:pt>
                <c:pt idx="239">
                  <c:v>8.4037031638793842E-4</c:v>
                </c:pt>
                <c:pt idx="240">
                  <c:v>-1.3892108208955201E-3</c:v>
                </c:pt>
                <c:pt idx="241">
                  <c:v>-1.8393545389212448E-2</c:v>
                </c:pt>
                <c:pt idx="242">
                  <c:v>-1.9360404742584939E-2</c:v>
                </c:pt>
                <c:pt idx="243">
                  <c:v>-1.5824388810183877E-2</c:v>
                </c:pt>
                <c:pt idx="244">
                  <c:v>-1.4958328472334876E-2</c:v>
                </c:pt>
                <c:pt idx="245">
                  <c:v>-1.731609288610433E-2</c:v>
                </c:pt>
                <c:pt idx="246">
                  <c:v>-1.9500957102052713E-2</c:v>
                </c:pt>
                <c:pt idx="247">
                  <c:v>-1.7708677793270337E-2</c:v>
                </c:pt>
                <c:pt idx="248">
                  <c:v>-1.6114818048511871E-2</c:v>
                </c:pt>
              </c:numCache>
            </c:numRef>
          </c:yVal>
          <c:smooth val="0"/>
          <c:extLst>
            <c:ext xmlns:c16="http://schemas.microsoft.com/office/drawing/2014/chart" uri="{C3380CC4-5D6E-409C-BE32-E72D297353CC}">
              <c16:uniqueId val="{00000000-33D1-1D4F-9DE9-6E076DD93ADA}"/>
            </c:ext>
          </c:extLst>
        </c:ser>
        <c:dLbls>
          <c:showLegendKey val="0"/>
          <c:showVal val="0"/>
          <c:showCatName val="0"/>
          <c:showSerName val="0"/>
          <c:showPercent val="0"/>
          <c:showBubbleSize val="0"/>
        </c:dLbls>
        <c:axId val="853957695"/>
        <c:axId val="875847503"/>
      </c:scatterChart>
      <c:valAx>
        <c:axId val="853957695"/>
        <c:scaling>
          <c:orientation val="minMax"/>
        </c:scaling>
        <c:delete val="0"/>
        <c:axPos val="b"/>
        <c:majorGridlines>
          <c:spPr>
            <a:ln w="9525" cap="flat" cmpd="sng" algn="ctr">
              <a:solidFill>
                <a:schemeClr val="tx1">
                  <a:lumMod val="15%"/>
                  <a:lumOff val="85%"/>
                </a:schemeClr>
              </a:solidFill>
              <a:round/>
            </a:ln>
            <a:effectLst/>
          </c:spPr>
        </c:majorGridlines>
        <c:minorGridlines>
          <c:spPr>
            <a:ln w="9525" cap="flat" cmpd="sng" algn="ctr">
              <a:solidFill>
                <a:schemeClr val="tx1">
                  <a:lumMod val="5%"/>
                  <a:lumOff val="95%"/>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75847503"/>
        <c:crosses val="autoZero"/>
        <c:crossBetween val="midCat"/>
      </c:valAx>
      <c:valAx>
        <c:axId val="875847503"/>
        <c:scaling>
          <c:orientation val="minMax"/>
        </c:scaling>
        <c:delete val="0"/>
        <c:axPos val="l"/>
        <c:majorGridlines>
          <c:spPr>
            <a:ln w="9525" cap="flat" cmpd="sng" algn="ctr">
              <a:solidFill>
                <a:schemeClr val="tx1">
                  <a:lumMod val="15%"/>
                  <a:lumOff val="85%"/>
                </a:schemeClr>
              </a:solidFill>
              <a:round/>
            </a:ln>
            <a:effectLst/>
          </c:spPr>
        </c:majorGridlines>
        <c:minorGridlines>
          <c:spPr>
            <a:ln w="9525" cap="flat" cmpd="sng" algn="ctr">
              <a:solidFill>
                <a:schemeClr val="tx1">
                  <a:lumMod val="5%"/>
                  <a:lumOff val="95%"/>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539576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
                    <a:lumOff val="35%"/>
                  </a:schemeClr>
                </a:solidFill>
                <a:latin typeface="+mj-lt"/>
                <a:ea typeface="+mj-ea"/>
                <a:cs typeface="+mj-cs"/>
              </a:defRPr>
            </a:pPr>
            <a:r>
              <a:rPr lang="en-US"/>
              <a:t>GOOGL </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
                  <a:lumOff val="35%"/>
                </a:schemeClr>
              </a:solidFill>
              <a:latin typeface="+mj-lt"/>
              <a:ea typeface="+mj-ea"/>
              <a:cs typeface="+mj-cs"/>
            </a:defRPr>
          </a:pPr>
          <a:endParaRPr lang="en-US"/>
        </a:p>
      </c:txPr>
    </c:title>
    <c:autoTitleDeleted val="0"/>
    <c:plotArea>
      <c:layout/>
      <c:stockChart>
        <c:ser>
          <c:idx val="0"/>
          <c:order val="0"/>
          <c:spPr>
            <a:ln w="25400" cap="rnd">
              <a:noFill/>
              <a:round/>
            </a:ln>
            <a:effectLst/>
          </c:spPr>
          <c:marker>
            <c:symbol val="none"/>
          </c:marker>
          <c:cat>
            <c:numRef>
              <c:f>'Regression &amp; Candlestick'!$K$2:$K$13</c:f>
              <c:numCache>
                <c:formatCode>m/d/yy</c:formatCode>
                <c:ptCount val="12"/>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numCache>
            </c:numRef>
          </c:cat>
          <c:val>
            <c:numRef>
              <c:f>'Regression &amp; Candlestick'!$M$2:$M$13</c:f>
              <c:numCache>
                <c:formatCode>General</c:formatCode>
                <c:ptCount val="12"/>
                <c:pt idx="0">
                  <c:v>800.61999500000002</c:v>
                </c:pt>
                <c:pt idx="1">
                  <c:v>824</c:v>
                </c:pt>
                <c:pt idx="2">
                  <c:v>851.38000499999998</c:v>
                </c:pt>
                <c:pt idx="3">
                  <c:v>848.75</c:v>
                </c:pt>
                <c:pt idx="4">
                  <c:v>924.15002400000003</c:v>
                </c:pt>
                <c:pt idx="5">
                  <c:v>990.96002199999998</c:v>
                </c:pt>
                <c:pt idx="6">
                  <c:v>933.21997099999999</c:v>
                </c:pt>
                <c:pt idx="7">
                  <c:v>947.80999799999995</c:v>
                </c:pt>
                <c:pt idx="8">
                  <c:v>957.46997099999999</c:v>
                </c:pt>
                <c:pt idx="9">
                  <c:v>975.65002400000003</c:v>
                </c:pt>
                <c:pt idx="10">
                  <c:v>1036.3199460000001</c:v>
                </c:pt>
                <c:pt idx="11">
                  <c:v>1030.410034</c:v>
                </c:pt>
              </c:numCache>
            </c:numRef>
          </c:val>
          <c:smooth val="0"/>
          <c:extLst>
            <c:ext xmlns:c16="http://schemas.microsoft.com/office/drawing/2014/chart" uri="{C3380CC4-5D6E-409C-BE32-E72D297353CC}">
              <c16:uniqueId val="{00000000-6B46-E94C-883D-6CC767750EBC}"/>
            </c:ext>
          </c:extLst>
        </c:ser>
        <c:ser>
          <c:idx val="1"/>
          <c:order val="1"/>
          <c:spPr>
            <a:ln w="25400" cap="rnd">
              <a:noFill/>
              <a:round/>
            </a:ln>
            <a:effectLst/>
          </c:spPr>
          <c:marker>
            <c:symbol val="none"/>
          </c:marker>
          <c:cat>
            <c:numRef>
              <c:f>'Regression &amp; Candlestick'!$K$2:$K$13</c:f>
              <c:numCache>
                <c:formatCode>m/d/yy</c:formatCode>
                <c:ptCount val="12"/>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numCache>
            </c:numRef>
          </c:cat>
          <c:val>
            <c:numRef>
              <c:f>'Regression &amp; Candlestick'!$N$2:$N$13</c:f>
              <c:numCache>
                <c:formatCode>General</c:formatCode>
                <c:ptCount val="12"/>
                <c:pt idx="0">
                  <c:v>867</c:v>
                </c:pt>
                <c:pt idx="1">
                  <c:v>853.78997800000002</c:v>
                </c:pt>
                <c:pt idx="2">
                  <c:v>874.419983</c:v>
                </c:pt>
                <c:pt idx="3">
                  <c:v>935.90002400000003</c:v>
                </c:pt>
                <c:pt idx="4">
                  <c:v>999.59997599999997</c:v>
                </c:pt>
                <c:pt idx="5">
                  <c:v>1008.6099850000001</c:v>
                </c:pt>
                <c:pt idx="6">
                  <c:v>1006.190002</c:v>
                </c:pt>
                <c:pt idx="7">
                  <c:v>957.20001200000002</c:v>
                </c:pt>
                <c:pt idx="8">
                  <c:v>975.80999799999995</c:v>
                </c:pt>
                <c:pt idx="9">
                  <c:v>1063.619995</c:v>
                </c:pt>
                <c:pt idx="10">
                  <c:v>1080</c:v>
                </c:pt>
                <c:pt idx="11">
                  <c:v>1086.48999</c:v>
                </c:pt>
              </c:numCache>
            </c:numRef>
          </c:val>
          <c:smooth val="0"/>
          <c:extLst>
            <c:ext xmlns:c16="http://schemas.microsoft.com/office/drawing/2014/chart" uri="{C3380CC4-5D6E-409C-BE32-E72D297353CC}">
              <c16:uniqueId val="{00000001-6B46-E94C-883D-6CC767750EBC}"/>
            </c:ext>
          </c:extLst>
        </c:ser>
        <c:ser>
          <c:idx val="2"/>
          <c:order val="2"/>
          <c:spPr>
            <a:ln w="25400" cap="rnd">
              <a:noFill/>
              <a:round/>
            </a:ln>
            <a:effectLst/>
          </c:spPr>
          <c:marker>
            <c:symbol val="none"/>
          </c:marker>
          <c:cat>
            <c:numRef>
              <c:f>'Regression &amp; Candlestick'!$K$2:$K$13</c:f>
              <c:numCache>
                <c:formatCode>m/d/yy</c:formatCode>
                <c:ptCount val="12"/>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numCache>
            </c:numRef>
          </c:cat>
          <c:val>
            <c:numRef>
              <c:f>'Regression &amp; Candlestick'!$O$2:$O$13</c:f>
              <c:numCache>
                <c:formatCode>General</c:formatCode>
                <c:ptCount val="12"/>
                <c:pt idx="0">
                  <c:v>796.89001499999995</c:v>
                </c:pt>
                <c:pt idx="1">
                  <c:v>812.04998799999998</c:v>
                </c:pt>
                <c:pt idx="2">
                  <c:v>824.29998799999998</c:v>
                </c:pt>
                <c:pt idx="3">
                  <c:v>834.59997599999997</c:v>
                </c:pt>
                <c:pt idx="4">
                  <c:v>920.79998799999998</c:v>
                </c:pt>
                <c:pt idx="5">
                  <c:v>929.59997599999997</c:v>
                </c:pt>
                <c:pt idx="6">
                  <c:v>915.30999799999995</c:v>
                </c:pt>
                <c:pt idx="7">
                  <c:v>918.59997599999997</c:v>
                </c:pt>
                <c:pt idx="8">
                  <c:v>924.51000999999997</c:v>
                </c:pt>
                <c:pt idx="9">
                  <c:v>961.95001200000002</c:v>
                </c:pt>
                <c:pt idx="10">
                  <c:v>1028.660034</c:v>
                </c:pt>
                <c:pt idx="11">
                  <c:v>1002.320007</c:v>
                </c:pt>
              </c:numCache>
            </c:numRef>
          </c:val>
          <c:smooth val="0"/>
          <c:extLst>
            <c:ext xmlns:c16="http://schemas.microsoft.com/office/drawing/2014/chart" uri="{C3380CC4-5D6E-409C-BE32-E72D297353CC}">
              <c16:uniqueId val="{00000002-6B46-E94C-883D-6CC767750EBC}"/>
            </c:ext>
          </c:extLst>
        </c:ser>
        <c:ser>
          <c:idx val="3"/>
          <c:order val="3"/>
          <c:spPr>
            <a:ln w="25400" cap="rnd">
              <a:noFill/>
              <a:round/>
            </a:ln>
            <a:effectLst/>
          </c:spPr>
          <c:marker>
            <c:symbol val="none"/>
          </c:marker>
          <c:cat>
            <c:numRef>
              <c:f>'Regression &amp; Candlestick'!$K$2:$K$13</c:f>
              <c:numCache>
                <c:formatCode>m/d/yy</c:formatCode>
                <c:ptCount val="12"/>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numCache>
            </c:numRef>
          </c:cat>
          <c:val>
            <c:numRef>
              <c:f>'Regression &amp; Candlestick'!$P$2:$P$13</c:f>
              <c:numCache>
                <c:formatCode>General</c:formatCode>
                <c:ptCount val="12"/>
                <c:pt idx="0">
                  <c:v>820.19000200000005</c:v>
                </c:pt>
                <c:pt idx="1">
                  <c:v>844.92999299999997</c:v>
                </c:pt>
                <c:pt idx="2">
                  <c:v>847.79998799999998</c:v>
                </c:pt>
                <c:pt idx="3">
                  <c:v>924.52002000000005</c:v>
                </c:pt>
                <c:pt idx="4">
                  <c:v>987.09002699999996</c:v>
                </c:pt>
                <c:pt idx="5">
                  <c:v>929.67999299999997</c:v>
                </c:pt>
                <c:pt idx="6">
                  <c:v>945.5</c:v>
                </c:pt>
                <c:pt idx="7">
                  <c:v>944.27002000000005</c:v>
                </c:pt>
                <c:pt idx="8">
                  <c:v>973.71997099999999</c:v>
                </c:pt>
                <c:pt idx="9">
                  <c:v>1033.040039</c:v>
                </c:pt>
                <c:pt idx="10">
                  <c:v>1036.170044</c:v>
                </c:pt>
                <c:pt idx="11">
                  <c:v>1053.400024</c:v>
                </c:pt>
              </c:numCache>
            </c:numRef>
          </c:val>
          <c:smooth val="0"/>
          <c:extLst>
            <c:ext xmlns:c16="http://schemas.microsoft.com/office/drawing/2014/chart" uri="{C3380CC4-5D6E-409C-BE32-E72D297353CC}">
              <c16:uniqueId val="{00000003-6B46-E94C-883D-6CC767750EBC}"/>
            </c:ext>
          </c:extLst>
        </c:ser>
        <c:dLbls>
          <c:showLegendKey val="0"/>
          <c:showVal val="0"/>
          <c:showCatName val="0"/>
          <c:showSerName val="0"/>
          <c:showPercent val="0"/>
          <c:showBubbleSize val="0"/>
        </c:dLbls>
        <c:hiLowLines>
          <c:spPr>
            <a:ln w="25400" cap="flat" cmpd="sng" algn="ctr">
              <a:solidFill>
                <a:schemeClr val="tx1">
                  <a:lumMod val="65%"/>
                  <a:lumOff val="35%"/>
                </a:schemeClr>
              </a:solidFill>
              <a:round/>
            </a:ln>
            <a:effectLst/>
          </c:spPr>
        </c:hiLowLines>
        <c:upDownBars>
          <c:gapWidth val="150"/>
          <c:upBars>
            <c:spPr>
              <a:solidFill>
                <a:schemeClr val="lt1"/>
              </a:solidFill>
              <a:ln w="28575">
                <a:solidFill>
                  <a:schemeClr val="tx1">
                    <a:lumMod val="50%"/>
                    <a:lumOff val="50%"/>
                  </a:schemeClr>
                </a:solidFill>
              </a:ln>
              <a:effectLst/>
            </c:spPr>
          </c:upBars>
          <c:downBars>
            <c:spPr>
              <a:solidFill>
                <a:schemeClr val="dk1">
                  <a:lumMod val="65%"/>
                  <a:lumOff val="35%"/>
                </a:schemeClr>
              </a:solidFill>
              <a:ln w="28575">
                <a:solidFill>
                  <a:schemeClr val="tx1">
                    <a:lumMod val="65%"/>
                    <a:lumOff val="35%"/>
                  </a:schemeClr>
                </a:solidFill>
              </a:ln>
              <a:effectLst/>
            </c:spPr>
          </c:downBars>
        </c:upDownBars>
        <c:axId val="896791983"/>
        <c:axId val="896534575"/>
      </c:stockChart>
      <c:catAx>
        <c:axId val="896791983"/>
        <c:scaling>
          <c:orientation val="minMax"/>
        </c:scaling>
        <c:delete val="0"/>
        <c:axPos val="b"/>
        <c:numFmt formatCode="m/d/yy" sourceLinked="0"/>
        <c:majorTickMark val="none"/>
        <c:minorTickMark val="none"/>
        <c:tickLblPos val="nextTo"/>
        <c:spPr>
          <a:noFill/>
          <a:ln w="9525" cap="flat" cmpd="sng" algn="ctr">
            <a:solidFill>
              <a:schemeClr val="tx1">
                <a:lumMod val="35%"/>
                <a:lumOff val="65%"/>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
                    <a:lumOff val="35%"/>
                  </a:schemeClr>
                </a:solidFill>
                <a:latin typeface="+mn-lt"/>
                <a:ea typeface="+mn-ea"/>
                <a:cs typeface="+mn-cs"/>
              </a:defRPr>
            </a:pPr>
            <a:endParaRPr lang="en-US"/>
          </a:p>
        </c:txPr>
        <c:crossAx val="896534575"/>
        <c:crosses val="autoZero"/>
        <c:auto val="0"/>
        <c:lblAlgn val="ctr"/>
        <c:lblOffset val="100"/>
        <c:noMultiLvlLbl val="0"/>
      </c:catAx>
      <c:valAx>
        <c:axId val="896534575"/>
        <c:scaling>
          <c:orientation val="minMax"/>
        </c:scaling>
        <c:delete val="0"/>
        <c:axPos val="l"/>
        <c:majorGridlines>
          <c:spPr>
            <a:ln w="9525" cap="flat" cmpd="sng" algn="ctr">
              <a:solidFill>
                <a:schemeClr val="tx1">
                  <a:lumMod val="15%"/>
                  <a:lumOff val="85%"/>
                </a:schemeClr>
              </a:solidFill>
              <a:round/>
            </a:ln>
            <a:effectLst/>
          </c:spPr>
        </c:majorGridlines>
        <c:minorGridlines>
          <c:spPr>
            <a:ln w="9525" cap="flat" cmpd="sng" algn="ctr">
              <a:solidFill>
                <a:schemeClr val="tx1">
                  <a:lumMod val="5%"/>
                  <a:lumOff val="95%"/>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endParaRPr lang="en-US"/>
          </a:p>
        </c:txPr>
        <c:crossAx val="89679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3">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b="0" kern="1200" cap="none" spc="0" normalizeH="0" baseline="0%"/>
  </cs:categoryAxis>
  <cs:chartArea mods="allowNoFillOverride allowNoLineOverride">
    <cs:lnRef idx="0"/>
    <cs:fillRef idx="0"/>
    <cs:effectRef idx="0"/>
    <cs:fontRef idx="minor">
      <a:schemeClr val="tx1">
        <a:lumMod val="65%"/>
        <a:lumOff val="35%"/>
      </a:schemeClr>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75%"/>
        <a:lumOff val="25%"/>
      </a:schemeClr>
    </cs:fontRef>
    <cs:spPr>
      <a:solidFill>
        <a:schemeClr val="dk1">
          <a:lumMod val="15%"/>
          <a:lumOff val="85%"/>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5400" cap="flat" cmpd="dbl" algn="ctr">
        <a:solidFill>
          <a:schemeClr val="phClr">
            <a:alpha val="50%"/>
          </a:schemeClr>
        </a:solidFill>
        <a:round/>
      </a:ln>
    </cs:spPr>
  </cs:dataPointLine>
  <cs:dataPointMarker>
    <cs:lnRef idx="0">
      <cs:styleClr val="auto"/>
    </cs:lnRef>
    <cs:fillRef idx="0">
      <cs:styleClr val="auto"/>
    </cs:fillRef>
    <cs:effectRef idx="0"/>
    <cs:fontRef idx="minor">
      <a:schemeClr val="dk1"/>
    </cs:fontRef>
    <cs:spPr>
      <a:ln w="34925" cap="flat" cmpd="dbl" algn="ctr">
        <a:solidFill>
          <a:schemeClr val="phClr">
            <a:lumMod val="75%"/>
            <a:alpha val="7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50%"/>
            <a:lumOff val="50%"/>
          </a:schemeClr>
        </a:solidFill>
        <a:prstDash val="dash"/>
      </a:ln>
    </cs:spPr>
  </cs:dropLine>
  <cs:errorBar>
    <cs:lnRef idx="0"/>
    <cs:fillRef idx="0"/>
    <cs:effectRef idx="0"/>
    <cs:fontRef idx="minor">
      <a:schemeClr val="dk1"/>
    </cs:fontRef>
    <cs:spPr>
      <a:ln w="9525">
        <a:solidFill>
          <a:schemeClr val="tx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ajor">
      <a:schemeClr val="tx1">
        <a:lumMod val="65%"/>
        <a:lumOff val="35%"/>
      </a:schemeClr>
    </cs:fontRef>
    <cs:defRPr sz="2000" kern="1200" spc="0" normalizeH="0" baseline="0%"/>
  </cs:title>
  <cs:trendline>
    <cs:lnRef idx="0">
      <cs:styleClr val="0"/>
    </cs:lnRef>
    <cs:fillRef idx="0"/>
    <cs:effectRef idx="0"/>
    <cs:fontRef idx="minor">
      <a:schemeClr val="tx1"/>
    </cs:fontRef>
    <cs:spPr>
      <a:ln w="38100" cap="rnd" cmpd="sng" algn="ctr">
        <a:solidFill>
          <a:schemeClr val="phClr">
            <a:lumMod val="75%"/>
            <a:alpha val="25%"/>
          </a:schemeClr>
        </a:solidFill>
        <a:round/>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65%"/>
        <a:lumOff val="35%"/>
      </a:schemeClr>
    </cs:fontRef>
    <cs:defRPr sz="900" b="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purl.oclc.org/ooxml/drawingml/main" id="331">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35%"/>
            <a:lumOff val="65%"/>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75%"/>
        <a:lumOff val="25%"/>
      </a:schemeClr>
    </cs:fontRef>
    <cs:spPr>
      <a:solidFill>
        <a:schemeClr val="dk1">
          <a:lumMod val="15%"/>
          <a:lumOff val="85%"/>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tx1"/>
    </cs:fontRef>
    <cs:spPr>
      <a:solidFill>
        <a:schemeClr val="phClr">
          <a:alpha val="10%"/>
        </a:schemeClr>
      </a:solidFill>
      <a:ln w="28575">
        <a:solidFill>
          <a:schemeClr val="phClr"/>
        </a:solidFill>
      </a:ln>
      <a:effectLst>
        <a:innerShdw blurRad="114300">
          <a:schemeClr val="phClr"/>
        </a:innerShdw>
      </a:effectLst>
    </cs:spPr>
  </cs:dataPoint>
  <cs:dataPoint3D>
    <cs:lnRef idx="0">
      <cs:styleClr val="auto"/>
    </cs:lnRef>
    <cs:fillRef idx="0">
      <cs:styleClr val="auto"/>
    </cs:fillRef>
    <cs:effectRef idx="0">
      <cs:styleClr val="auto"/>
    </cs:effectRef>
    <cs:fontRef idx="minor">
      <a:schemeClr val="tx1"/>
    </cs:fontRef>
    <cs:spPr>
      <a:solidFill>
        <a:schemeClr val="phClr">
          <a:alpha val="10%"/>
        </a:schemeClr>
      </a:solidFill>
      <a:ln w="28575">
        <a:solidFill>
          <a:schemeClr val="phClr"/>
        </a:solidFill>
      </a:ln>
      <a:effectLst>
        <a:innerShdw blurRad="114300">
          <a:schemeClr val="phClr"/>
        </a:innerShdw>
      </a:effectLst>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28575">
        <a:solidFill>
          <a:schemeClr val="tx1">
            <a:lumMod val="65%"/>
            <a:lumOff val="35%"/>
          </a:schemeClr>
        </a:solidFill>
      </a:ln>
    </cs:spPr>
  </cs:downBar>
  <cs:dropLine>
    <cs:lnRef idx="0"/>
    <cs:fillRef idx="0"/>
    <cs:effectRef idx="0"/>
    <cs:fontRef idx="minor">
      <a:schemeClr val="dk1"/>
    </cs:fontRef>
    <cs:spPr>
      <a:ln w="9525">
        <a:solidFill>
          <a:schemeClr val="tx1">
            <a:lumMod val="50%"/>
            <a:lumOff val="50%"/>
          </a:schemeClr>
        </a:solidFill>
      </a:ln>
    </cs:spPr>
  </cs:dropLine>
  <cs:errorBar>
    <cs:lnRef idx="0"/>
    <cs:fillRef idx="0"/>
    <cs:effectRef idx="0"/>
    <cs:fontRef idx="minor">
      <a:schemeClr val="dk1"/>
    </cs:fontRef>
    <cs:spPr>
      <a:ln w="9525">
        <a:solidFill>
          <a:schemeClr val="tx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25400" cap="flat" cmpd="sng" algn="ctr">
        <a:solidFill>
          <a:schemeClr val="tx1">
            <a:lumMod val="65%"/>
            <a:lumOff val="35%"/>
          </a:schemeClr>
        </a:solidFill>
        <a:round/>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ajor">
      <a:schemeClr val="tx1">
        <a:lumMod val="65%"/>
        <a:lumOff val="35%"/>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28575">
        <a:solidFill>
          <a:schemeClr val="tx1">
            <a:lumMod val="50%"/>
            <a:lumOff val="50%"/>
          </a:schemeClr>
        </a:solidFill>
      </a:ln>
    </cs:spPr>
  </cs:upBar>
  <cs:valueAxis>
    <cs:lnRef idx="0"/>
    <cs:fillRef idx="0"/>
    <cs:effectRef idx="0"/>
    <cs:fontRef idx="minor">
      <a:schemeClr val="tx1">
        <a:lumMod val="65%"/>
        <a:lumOff val="35%"/>
      </a:schemeClr>
    </cs:fontRef>
    <cs:defRPr sz="900" b="1" kern="1200"/>
  </cs:valueAxis>
  <cs:wall>
    <cs:lnRef idx="0"/>
    <cs:fillRef idx="0"/>
    <cs:effectRef idx="0"/>
    <cs:fontRef idx="minor">
      <a:schemeClr val="dk1"/>
    </cs:fontRef>
  </cs:wall>
</cs:chartStyle>
</file>

<file path=xl/drawings/_rels/drawing5.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0</xdr:col>
      <xdr:colOff>398858</xdr:colOff>
      <xdr:row>27</xdr:row>
      <xdr:rowOff>83343</xdr:rowOff>
    </xdr:from>
    <xdr:to>
      <xdr:col>6</xdr:col>
      <xdr:colOff>659947</xdr:colOff>
      <xdr:row>44</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98858" y="4709772"/>
          <a:ext cx="5370571" cy="2787764"/>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baseline="0%">
              <a:solidFill>
                <a:srgbClr val="C00000"/>
              </a:solidFill>
              <a:effectLst/>
              <a:latin typeface="+mn-lt"/>
              <a:ea typeface="+mn-ea"/>
              <a:cs typeface="+mn-cs"/>
            </a:rPr>
            <a:t>Disclaimer: I beleive the off set of some calculations may have resulted in the low valuation of the company. Considering GOOGL does not pay dividends it may have affected the cost of equity calculations based on different methods involving the arithmetic and geometric average. WACC calculations could vary due to method used and validity of information. Forecast based on average sales growth rates and a percentage of sales. External financing can vary depending on whether debt or equity is used to balance assets and liabiliies+equity. </a:t>
          </a:r>
          <a:r>
            <a:rPr lang="en-US" sz="800" b="1" baseline="0%">
              <a:solidFill>
                <a:srgbClr val="FF0000"/>
              </a:solidFill>
              <a:effectLst/>
              <a:latin typeface="+mn-lt"/>
              <a:ea typeface="+mn-ea"/>
              <a:cs typeface="+mn-cs"/>
            </a:rPr>
            <a:t>Overall project demonstrates excel use and comfort with multiple sheets, formulas, and linking of cells. Further in depth/knowledgable calculations may be needed to calculate a proper analysis.   </a:t>
          </a:r>
          <a:endParaRPr lang="en-US" sz="800" b="1">
            <a:solidFill>
              <a:srgbClr val="FF0000"/>
            </a:solidFill>
            <a:effectLst/>
          </a:endParaRPr>
        </a:p>
        <a:p>
          <a:endParaRPr lang="en-US" sz="800" b="0" baseline="0%">
            <a:solidFill>
              <a:schemeClr val="dk1"/>
            </a:solidFill>
            <a:effectLst/>
            <a:latin typeface="+mn-lt"/>
            <a:ea typeface="+mn-ea"/>
            <a:cs typeface="+mn-cs"/>
          </a:endParaRPr>
        </a:p>
        <a:p>
          <a:r>
            <a:rPr lang="en-US" sz="800" b="0" baseline="0%">
              <a:solidFill>
                <a:schemeClr val="dk1"/>
              </a:solidFill>
              <a:effectLst/>
              <a:latin typeface="+mn-lt"/>
              <a:ea typeface="+mn-ea"/>
              <a:cs typeface="+mn-cs"/>
            </a:rPr>
            <a:t>Formulas used: </a:t>
          </a:r>
          <a:endParaRPr lang="en-US" sz="800">
            <a:effectLst/>
          </a:endParaRPr>
        </a:p>
        <a:p>
          <a:r>
            <a:rPr lang="en-US" sz="1100" b="0" baseline="0%">
              <a:solidFill>
                <a:schemeClr val="dk1"/>
              </a:solidFill>
              <a:effectLst/>
              <a:latin typeface="+mn-lt"/>
              <a:ea typeface="+mn-ea"/>
              <a:cs typeface="+mn-cs"/>
            </a:rPr>
            <a:t>	</a:t>
          </a:r>
          <a:r>
            <a:rPr lang="en-US" sz="800" b="0" baseline="0%">
              <a:solidFill>
                <a:schemeClr val="dk1"/>
              </a:solidFill>
              <a:effectLst/>
              <a:latin typeface="+mn-lt"/>
              <a:ea typeface="+mn-ea"/>
              <a:cs typeface="+mn-cs"/>
            </a:rPr>
            <a:t>- Vlookup </a:t>
          </a:r>
          <a:endParaRPr lang="en-US" sz="800">
            <a:effectLst/>
          </a:endParaRPr>
        </a:p>
        <a:p>
          <a:r>
            <a:rPr lang="en-US" sz="800" b="0" baseline="0%">
              <a:solidFill>
                <a:schemeClr val="dk1"/>
              </a:solidFill>
              <a:effectLst/>
              <a:latin typeface="+mn-lt"/>
              <a:ea typeface="+mn-ea"/>
              <a:cs typeface="+mn-cs"/>
            </a:rPr>
            <a:t>	- Scenario Analysis</a:t>
          </a:r>
          <a:endParaRPr lang="en-US" sz="800">
            <a:effectLst/>
          </a:endParaRPr>
        </a:p>
        <a:p>
          <a:r>
            <a:rPr lang="en-US" sz="800" b="0" baseline="0%">
              <a:solidFill>
                <a:schemeClr val="dk1"/>
              </a:solidFill>
              <a:effectLst/>
              <a:latin typeface="+mn-lt"/>
              <a:ea typeface="+mn-ea"/>
              <a:cs typeface="+mn-cs"/>
            </a:rPr>
            <a:t>	- Data Analysis </a:t>
          </a:r>
          <a:endParaRPr lang="en-US" sz="800">
            <a:effectLst/>
          </a:endParaRPr>
        </a:p>
        <a:p>
          <a:r>
            <a:rPr lang="en-US" sz="800" b="0" baseline="0%">
              <a:solidFill>
                <a:schemeClr val="dk1"/>
              </a:solidFill>
              <a:effectLst/>
              <a:latin typeface="+mn-lt"/>
              <a:ea typeface="+mn-ea"/>
              <a:cs typeface="+mn-cs"/>
            </a:rPr>
            <a:t>	- Regression </a:t>
          </a:r>
          <a:endParaRPr lang="en-US" sz="800">
            <a:effectLst/>
          </a:endParaRPr>
        </a:p>
        <a:p>
          <a:r>
            <a:rPr lang="en-US" sz="800" b="0" baseline="0%">
              <a:solidFill>
                <a:schemeClr val="dk1"/>
              </a:solidFill>
              <a:effectLst/>
              <a:latin typeface="+mn-lt"/>
              <a:ea typeface="+mn-ea"/>
              <a:cs typeface="+mn-cs"/>
            </a:rPr>
            <a:t>	- Ratios </a:t>
          </a:r>
          <a:endParaRPr lang="en-US" sz="800">
            <a:effectLst/>
          </a:endParaRPr>
        </a:p>
        <a:p>
          <a:r>
            <a:rPr lang="en-US" sz="800" b="0" baseline="0%">
              <a:solidFill>
                <a:schemeClr val="dk1"/>
              </a:solidFill>
              <a:effectLst/>
              <a:latin typeface="+mn-lt"/>
              <a:ea typeface="+mn-ea"/>
              <a:cs typeface="+mn-cs"/>
            </a:rPr>
            <a:t>	- Averages</a:t>
          </a:r>
          <a:endParaRPr lang="en-US" sz="800">
            <a:effectLst/>
          </a:endParaRPr>
        </a:p>
        <a:p>
          <a:r>
            <a:rPr lang="en-US" sz="800" b="0" baseline="0%">
              <a:solidFill>
                <a:schemeClr val="dk1"/>
              </a:solidFill>
              <a:effectLst/>
              <a:latin typeface="+mn-lt"/>
              <a:ea typeface="+mn-ea"/>
              <a:cs typeface="+mn-cs"/>
            </a:rPr>
            <a:t>	- Financial Forecast</a:t>
          </a:r>
          <a:endParaRPr lang="en-US" sz="800">
            <a:effectLst/>
          </a:endParaRPr>
        </a:p>
        <a:p>
          <a:r>
            <a:rPr lang="en-US" sz="800" b="0" baseline="0%">
              <a:solidFill>
                <a:schemeClr val="dk1"/>
              </a:solidFill>
              <a:effectLst/>
              <a:latin typeface="+mn-lt"/>
              <a:ea typeface="+mn-ea"/>
              <a:cs typeface="+mn-cs"/>
            </a:rPr>
            <a:t>	- Common Size, Base, Combined </a:t>
          </a:r>
          <a:endParaRPr lang="en-US" sz="800">
            <a:effectLst/>
          </a:endParaRPr>
        </a:p>
        <a:p>
          <a:r>
            <a:rPr lang="en-US" sz="800" b="0" baseline="0%">
              <a:solidFill>
                <a:schemeClr val="dk1"/>
              </a:solidFill>
              <a:effectLst/>
              <a:latin typeface="+mn-lt"/>
              <a:ea typeface="+mn-ea"/>
              <a:cs typeface="+mn-cs"/>
            </a:rPr>
            <a:t>	- Trend Analysis </a:t>
          </a:r>
          <a:endParaRPr lang="en-US" sz="800">
            <a:effectLst/>
          </a:endParaRPr>
        </a:p>
        <a:p>
          <a:r>
            <a:rPr lang="en-US" sz="800" b="0" baseline="0%">
              <a:solidFill>
                <a:schemeClr val="dk1"/>
              </a:solidFill>
              <a:effectLst/>
              <a:latin typeface="+mn-lt"/>
              <a:ea typeface="+mn-ea"/>
              <a:cs typeface="+mn-cs"/>
            </a:rPr>
            <a:t>	- Candlestick </a:t>
          </a:r>
          <a:endParaRPr lang="en-US" sz="800">
            <a:effectLst/>
          </a:endParaRPr>
        </a:p>
        <a:p>
          <a:r>
            <a:rPr lang="en-US" sz="800" b="0" baseline="0%">
              <a:solidFill>
                <a:schemeClr val="dk1"/>
              </a:solidFill>
              <a:effectLst/>
              <a:latin typeface="+mn-lt"/>
              <a:ea typeface="+mn-ea"/>
              <a:cs typeface="+mn-cs"/>
            </a:rPr>
            <a:t>	- WACC, CAPM, CFFA </a:t>
          </a:r>
          <a:endParaRPr lang="en-US" sz="800">
            <a:effectLst/>
          </a:endParaRPr>
        </a:p>
        <a:p>
          <a:r>
            <a:rPr lang="en-US" sz="800" b="0" baseline="0%">
              <a:solidFill>
                <a:schemeClr val="dk1"/>
              </a:solidFill>
              <a:effectLst/>
              <a:latin typeface="+mn-lt"/>
              <a:ea typeface="+mn-ea"/>
              <a:cs typeface="+mn-cs"/>
            </a:rPr>
            <a:t>	- Formatting </a:t>
          </a:r>
          <a:endParaRPr lang="en-US" sz="800">
            <a:effectLst/>
          </a:endParaRPr>
        </a:p>
        <a:p>
          <a:endParaRPr lang="en-US" sz="1100"/>
        </a:p>
      </xdr:txBody>
    </xdr:sp>
    <xdr:clientData/>
  </xdr:twoCellAnchor>
</xdr:wsDr>
</file>

<file path=xl/drawings/drawing2.xml><?xml version="1.0" encoding="utf-8"?>
<xdr:wsDr xmlns:xdr="http://purl.oclc.org/ooxml/drawingml/spreadsheetDrawing" xmlns:a="http://purl.oclc.org/ooxml/drawingml/main">
  <xdr:twoCellAnchor>
    <xdr:from>
      <xdr:col>0</xdr:col>
      <xdr:colOff>107950</xdr:colOff>
      <xdr:row>1</xdr:row>
      <xdr:rowOff>38100</xdr:rowOff>
    </xdr:from>
    <xdr:to>
      <xdr:col>8</xdr:col>
      <xdr:colOff>0</xdr:colOff>
      <xdr:row>15</xdr:row>
      <xdr:rowOff>25400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107950" y="209550"/>
          <a:ext cx="6223000" cy="2298700"/>
        </a:xfrm>
        <a:prstGeom prst="rect">
          <a:avLst/>
        </a:prstGeom>
        <a:solidFill>
          <a:schemeClr val="tx2">
            <a:lumMod val="20%"/>
            <a:lumOff val="8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 Amazon</a:t>
          </a:r>
          <a:r>
            <a:rPr lang="en-US" sz="1100" baseline="0%">
              <a:solidFill>
                <a:sysClr val="windowText" lastClr="000000"/>
              </a:solidFill>
            </a:rPr>
            <a:t> (AMZN): It is quite surprising, but Amazon would be Google's biggest competitor when it comes to searches. As well as their own app stores. </a:t>
          </a:r>
        </a:p>
        <a:p>
          <a:endParaRPr lang="en-US" sz="1100" baseline="0%">
            <a:solidFill>
              <a:sysClr val="windowText" lastClr="000000"/>
            </a:solidFill>
          </a:endParaRPr>
        </a:p>
        <a:p>
          <a:r>
            <a:rPr lang="en-US" sz="1100" baseline="0%">
              <a:solidFill>
                <a:sysClr val="windowText" lastClr="000000"/>
              </a:solidFill>
            </a:rPr>
            <a:t>- Facebook (FB): When it comes to Ad Revenue Google faces the threat of losing Ad revenue considering users are now using their mobiel devices and apps. Facebook is the biggest social network with a lot of users who use the FB app. Which means less users on Google for Ad revenue. </a:t>
          </a:r>
        </a:p>
        <a:p>
          <a:endParaRPr lang="en-US" sz="1100" baseline="0%">
            <a:solidFill>
              <a:sysClr val="windowText" lastClr="000000"/>
            </a:solidFill>
          </a:endParaRPr>
        </a:p>
        <a:p>
          <a:r>
            <a:rPr lang="en-US" sz="1100" baseline="0%">
              <a:solidFill>
                <a:sysClr val="windowText" lastClr="000000"/>
              </a:solidFill>
            </a:rPr>
            <a:t>- Apple (AAPL): Google and Apple are competing towards technological advancement. Whether it be through phones, watches, or computers. </a:t>
          </a:r>
        </a:p>
      </xdr:txBody>
    </xdr:sp>
    <xdr:clientData/>
  </xdr:twoCellAnchor>
  <xdr:twoCellAnchor>
    <xdr:from>
      <xdr:col>5</xdr:col>
      <xdr:colOff>19050</xdr:colOff>
      <xdr:row>15</xdr:row>
      <xdr:rowOff>158750</xdr:rowOff>
    </xdr:from>
    <xdr:to>
      <xdr:col>16</xdr:col>
      <xdr:colOff>38100</xdr:colOff>
      <xdr:row>29</xdr:row>
      <xdr:rowOff>19050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4521200" y="2641600"/>
          <a:ext cx="6724650" cy="2184400"/>
        </a:xfrm>
        <a:prstGeom prst="rect">
          <a:avLst/>
        </a:prstGeom>
        <a:solidFill>
          <a:schemeClr val="tx2">
            <a:lumMod val="20%"/>
            <a:lumOff val="8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a:t>
          </a:r>
          <a:r>
            <a:rPr lang="en-US" sz="1100" baseline="0%"/>
            <a:t> terms of firm size, Google and FB share a similar market cap, while Amazon is more than double their size. Although Amazon is bigger the following information decribes more as to why they are Google's biggest competitor. </a:t>
          </a:r>
        </a:p>
        <a:p>
          <a:r>
            <a:rPr lang="en-US" sz="1100" baseline="0%"/>
            <a:t>- The most profitable company appears to be Google. Despite having to compete for Ad Revenue Google falls a bit short in their net income compared to FB. Of course the numers are different for all three coonsidering the external activites/services they provide. All of the three company's financials would have been better without the competition of course. The financials help show how one does better in one sector than the other. </a:t>
          </a:r>
        </a:p>
        <a:p>
          <a:r>
            <a:rPr lang="en-US" sz="1100" baseline="0%"/>
            <a:t>- Amazon contains the most liabilities. I belive this has to do with property and plant. Amazon has warehouses and is opening more. Google and FB have more of an internet presence. Aside from YouTube buildings Google does not have costly ventures such as Amagon Go. </a:t>
          </a:r>
          <a:endParaRPr lang="en-US" sz="1100"/>
        </a:p>
      </xdr:txBody>
    </xdr:sp>
    <xdr:clientData/>
  </xdr:twoCellAnchor>
</xdr:wsDr>
</file>

<file path=xl/drawings/drawing3.xml><?xml version="1.0" encoding="utf-8"?>
<xdr:wsDr xmlns:xdr="http://purl.oclc.org/ooxml/drawingml/spreadsheetDrawing" xmlns:a="http://purl.oclc.org/ooxml/drawingml/main">
  <xdr:twoCellAnchor>
    <xdr:from>
      <xdr:col>0</xdr:col>
      <xdr:colOff>342900</xdr:colOff>
      <xdr:row>0</xdr:row>
      <xdr:rowOff>127000</xdr:rowOff>
    </xdr:from>
    <xdr:to>
      <xdr:col>7</xdr:col>
      <xdr:colOff>609600</xdr:colOff>
      <xdr:row>13</xdr:row>
      <xdr:rowOff>0</xdr:rowOff>
    </xdr:to>
    <xdr:sp macro="" textlink="">
      <xdr:nvSpPr>
        <xdr:cNvPr id="2" name="TextBox 1">
          <a:extLst>
            <a:ext uri="{FF2B5EF4-FFF2-40B4-BE49-F238E27FC236}">
              <a16:creationId xmlns:a16="http://schemas.microsoft.com/office/drawing/2014/main" id="{1D4B7F20-657E-974A-A47D-EFA0F07FD6FD}"/>
            </a:ext>
          </a:extLst>
        </xdr:cNvPr>
        <xdr:cNvSpPr txBox="1"/>
      </xdr:nvSpPr>
      <xdr:spPr>
        <a:xfrm>
          <a:off x="342900" y="127000"/>
          <a:ext cx="6045200" cy="20193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Some</a:t>
          </a:r>
          <a:r>
            <a:rPr lang="en-US" sz="1400" baseline="0%">
              <a:latin typeface="Times New Roman" panose="02020603050405020304" pitchFamily="18" charset="0"/>
              <a:cs typeface="Times New Roman" panose="02020603050405020304" pitchFamily="18" charset="0"/>
            </a:rPr>
            <a:t> historical values that can be used as a benchark are indexes. The main used being the S&amp;P 500 index. Which tracks the performance of the top 500 companies. Other indexes may be used depending on which companies are being tracked in the index. Other indexes consist of the Dow Jones or the FTSE 100. Other historical data used for the risk free rate is the 3 month daily t-bill rate. That is because the risk free rate carries no risk and the investor can earn on their investment. Whch is similar to t-bills, in the sense that they carry zero risk. </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0</xdr:col>
      <xdr:colOff>342900</xdr:colOff>
      <xdr:row>13</xdr:row>
      <xdr:rowOff>63500</xdr:rowOff>
    </xdr:from>
    <xdr:to>
      <xdr:col>7</xdr:col>
      <xdr:colOff>622300</xdr:colOff>
      <xdr:row>24</xdr:row>
      <xdr:rowOff>101600</xdr:rowOff>
    </xdr:to>
    <xdr:sp macro="" textlink="">
      <xdr:nvSpPr>
        <xdr:cNvPr id="3" name="TextBox 2">
          <a:extLst>
            <a:ext uri="{FF2B5EF4-FFF2-40B4-BE49-F238E27FC236}">
              <a16:creationId xmlns:a16="http://schemas.microsoft.com/office/drawing/2014/main" id="{530B2D70-67B8-2640-B5BB-38D206C977FA}"/>
            </a:ext>
          </a:extLst>
        </xdr:cNvPr>
        <xdr:cNvSpPr txBox="1"/>
      </xdr:nvSpPr>
      <xdr:spPr>
        <a:xfrm>
          <a:off x="342900" y="2209800"/>
          <a:ext cx="6057900" cy="18542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I woud</a:t>
          </a:r>
          <a:r>
            <a:rPr lang="en-US" sz="1400" baseline="0%">
              <a:latin typeface="Times New Roman" panose="02020603050405020304" pitchFamily="18" charset="0"/>
              <a:cs typeface="Times New Roman" panose="02020603050405020304" pitchFamily="18" charset="0"/>
            </a:rPr>
            <a:t> classify Google as a value company. Google is very big on growth, but it holds too much value that I belive it can be classified as a company too bg to fail. Google does not really focus as much on growing with new prodcuts every year like Appe or Samsung. A good percentage of the world either uses or knows of Google. Google is more concerned on gaining market share of the use of the internet and not much product development. Although, they are creating prodcuts that can compete with Amazon or Apple. </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8</xdr:col>
      <xdr:colOff>419100</xdr:colOff>
      <xdr:row>1</xdr:row>
      <xdr:rowOff>50800</xdr:rowOff>
    </xdr:from>
    <xdr:to>
      <xdr:col>16</xdr:col>
      <xdr:colOff>12700</xdr:colOff>
      <xdr:row>29</xdr:row>
      <xdr:rowOff>50800</xdr:rowOff>
    </xdr:to>
    <xdr:sp macro="" textlink="">
      <xdr:nvSpPr>
        <xdr:cNvPr id="5" name="TextBox 4">
          <a:extLst>
            <a:ext uri="{FF2B5EF4-FFF2-40B4-BE49-F238E27FC236}">
              <a16:creationId xmlns:a16="http://schemas.microsoft.com/office/drawing/2014/main" id="{BA855EE9-FA5F-7A43-9B81-E102E80CCA34}"/>
            </a:ext>
          </a:extLst>
        </xdr:cNvPr>
        <xdr:cNvSpPr txBox="1"/>
      </xdr:nvSpPr>
      <xdr:spPr>
        <a:xfrm>
          <a:off x="7023100" y="215900"/>
          <a:ext cx="6197600" cy="46228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a:t>
          </a:r>
          <a:r>
            <a:rPr lang="en-US" sz="1400" b="1">
              <a:latin typeface="Times New Roman" panose="02020603050405020304" pitchFamily="18" charset="0"/>
              <a:cs typeface="Times New Roman" panose="02020603050405020304" pitchFamily="18" charset="0"/>
            </a:rPr>
            <a:t>Strength:</a:t>
          </a:r>
          <a:r>
            <a:rPr lang="en-US" sz="1400" b="1" baseline="0%">
              <a:latin typeface="Times New Roman" panose="02020603050405020304" pitchFamily="18" charset="0"/>
              <a:cs typeface="Times New Roman" panose="02020603050405020304" pitchFamily="18" charset="0"/>
            </a:rPr>
            <a:t> </a:t>
          </a:r>
        </a:p>
        <a:p>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a:t>
          </a:r>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The dominate web search engine. </a:t>
          </a:r>
        </a:p>
        <a:p>
          <a:r>
            <a:rPr lang="en-US" sz="1400" b="0" baseline="0%">
              <a:latin typeface="Times New Roman" panose="02020603050405020304" pitchFamily="18" charset="0"/>
              <a:cs typeface="Times New Roman" panose="02020603050405020304" pitchFamily="18" charset="0"/>
            </a:rPr>
            <a:t>	- One of the best companies to work for by contributing to their 	employees and offering great benefits. </a:t>
          </a:r>
        </a:p>
        <a:p>
          <a:r>
            <a:rPr lang="en-US" sz="1400" b="0" baseline="0%">
              <a:latin typeface="Times New Roman" panose="02020603050405020304" pitchFamily="18" charset="0"/>
              <a:cs typeface="Times New Roman" panose="02020603050405020304" pitchFamily="18" charset="0"/>
            </a:rPr>
            <a:t>	- Have outperformed the S&amp;P 500 Index. </a:t>
          </a:r>
        </a:p>
        <a:p>
          <a:r>
            <a:rPr lang="en-US" sz="1400" b="0" baseline="0%">
              <a:latin typeface="Times New Roman" panose="02020603050405020304" pitchFamily="18" charset="0"/>
              <a:cs typeface="Times New Roman" panose="02020603050405020304" pitchFamily="18" charset="0"/>
            </a:rPr>
            <a:t>	- A beta of 1.2, above 1. </a:t>
          </a:r>
        </a:p>
        <a:p>
          <a:r>
            <a:rPr lang="en-US" sz="1400" b="1" baseline="0%">
              <a:latin typeface="Times New Roman" panose="02020603050405020304" pitchFamily="18" charset="0"/>
              <a:cs typeface="Times New Roman" panose="02020603050405020304" pitchFamily="18" charset="0"/>
            </a:rPr>
            <a:t>- Weakness:</a:t>
          </a:r>
        </a:p>
        <a:p>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 Lack products in order to better compete with Amazon or Apple. </a:t>
          </a:r>
        </a:p>
        <a:p>
          <a:r>
            <a:rPr lang="en-US" sz="1400" b="0" baseline="0%">
              <a:latin typeface="Times New Roman" panose="02020603050405020304" pitchFamily="18" charset="0"/>
              <a:cs typeface="Times New Roman" panose="02020603050405020304" pitchFamily="18" charset="0"/>
            </a:rPr>
            <a:t>	- Do not have the highest web traffic when compared to Amazon </a:t>
          </a:r>
        </a:p>
        <a:p>
          <a:r>
            <a:rPr lang="en-US" sz="1400" b="0" baseline="0%">
              <a:latin typeface="Times New Roman" panose="02020603050405020304" pitchFamily="18" charset="0"/>
              <a:cs typeface="Times New Roman" panose="02020603050405020304" pitchFamily="18" charset="0"/>
            </a:rPr>
            <a:t>	searches. </a:t>
          </a:r>
        </a:p>
        <a:p>
          <a:r>
            <a:rPr lang="en-US" sz="1400" b="0" baseline="0%">
              <a:latin typeface="Times New Roman" panose="02020603050405020304" pitchFamily="18" charset="0"/>
              <a:cs typeface="Times New Roman" panose="02020603050405020304" pitchFamily="18" charset="0"/>
            </a:rPr>
            <a:t>	- Competin aganst Facebook for advertisements. </a:t>
          </a:r>
        </a:p>
        <a:p>
          <a:r>
            <a:rPr lang="en-US" sz="1400" b="0" baseline="0%">
              <a:latin typeface="Times New Roman" panose="02020603050405020304" pitchFamily="18" charset="0"/>
              <a:cs typeface="Times New Roman" panose="02020603050405020304" pitchFamily="18" charset="0"/>
            </a:rPr>
            <a:t>	- May lose sight due to trying to compete with other companies. </a:t>
          </a:r>
        </a:p>
        <a:p>
          <a:r>
            <a:rPr lang="en-US" sz="1400" b="1" baseline="0%">
              <a:latin typeface="Times New Roman" panose="02020603050405020304" pitchFamily="18" charset="0"/>
              <a:cs typeface="Times New Roman" panose="02020603050405020304" pitchFamily="18" charset="0"/>
            </a:rPr>
            <a:t>- Opportunities: </a:t>
          </a:r>
        </a:p>
        <a:p>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 A good amount of resources to exand and perform product 	developement.</a:t>
          </a:r>
        </a:p>
        <a:p>
          <a:r>
            <a:rPr lang="en-US" sz="1400" b="0" baseline="0%">
              <a:latin typeface="Times New Roman" panose="02020603050405020304" pitchFamily="18" charset="0"/>
              <a:cs typeface="Times New Roman" panose="02020603050405020304" pitchFamily="18" charset="0"/>
            </a:rPr>
            <a:t>	- Offer new initiatives for Google to gin web searches and 	advertisments.</a:t>
          </a:r>
        </a:p>
        <a:p>
          <a:r>
            <a:rPr lang="en-US" sz="1400" b="1" baseline="0%">
              <a:latin typeface="Times New Roman" panose="02020603050405020304" pitchFamily="18" charset="0"/>
              <a:cs typeface="Times New Roman" panose="02020603050405020304" pitchFamily="18" charset="0"/>
            </a:rPr>
            <a:t>- Threats:</a:t>
          </a:r>
        </a:p>
        <a:p>
          <a:r>
            <a:rPr lang="en-US" sz="1400" b="1" baseline="0%">
              <a:latin typeface="Times New Roman" panose="02020603050405020304" pitchFamily="18" charset="0"/>
              <a:cs typeface="Times New Roman" panose="02020603050405020304" pitchFamily="18" charset="0"/>
            </a:rPr>
            <a:t>	</a:t>
          </a:r>
          <a:r>
            <a:rPr lang="en-US" sz="1400" b="0" baseline="0%">
              <a:latin typeface="Times New Roman" panose="02020603050405020304" pitchFamily="18" charset="0"/>
              <a:cs typeface="Times New Roman" panose="02020603050405020304" pitchFamily="18" charset="0"/>
            </a:rPr>
            <a:t>- Competing companies that are just as big as Google such as Amazon. </a:t>
          </a:r>
        </a:p>
        <a:p>
          <a:r>
            <a:rPr lang="en-US" sz="1400" b="0" baseline="0%">
              <a:latin typeface="Times New Roman" panose="02020603050405020304" pitchFamily="18" charset="0"/>
              <a:cs typeface="Times New Roman" panose="02020603050405020304" pitchFamily="18" charset="0"/>
            </a:rPr>
            <a:t>  	- Trying to keep up with other companies products and not reaching </a:t>
          </a:r>
        </a:p>
        <a:p>
          <a:r>
            <a:rPr lang="en-US" sz="1400" b="0" baseline="0%">
              <a:latin typeface="Times New Roman" panose="02020603050405020304" pitchFamily="18" charset="0"/>
              <a:cs typeface="Times New Roman" panose="02020603050405020304" pitchFamily="18" charset="0"/>
            </a:rPr>
            <a:t>	sales goals. </a:t>
          </a:r>
        </a:p>
      </xdr:txBody>
    </xdr:sp>
    <xdr:clientData/>
  </xdr:twoCellAnchor>
  <xdr:twoCellAnchor>
    <xdr:from>
      <xdr:col>0</xdr:col>
      <xdr:colOff>381000</xdr:colOff>
      <xdr:row>25</xdr:row>
      <xdr:rowOff>76200</xdr:rowOff>
    </xdr:from>
    <xdr:to>
      <xdr:col>7</xdr:col>
      <xdr:colOff>660400</xdr:colOff>
      <xdr:row>36</xdr:row>
      <xdr:rowOff>12700</xdr:rowOff>
    </xdr:to>
    <xdr:sp macro="" textlink="">
      <xdr:nvSpPr>
        <xdr:cNvPr id="6" name="TextBox 5">
          <a:extLst>
            <a:ext uri="{FF2B5EF4-FFF2-40B4-BE49-F238E27FC236}">
              <a16:creationId xmlns:a16="http://schemas.microsoft.com/office/drawing/2014/main" id="{903D9377-6731-E846-8D71-2B5C09CC7AD1}"/>
            </a:ext>
          </a:extLst>
        </xdr:cNvPr>
        <xdr:cNvSpPr txBox="1"/>
      </xdr:nvSpPr>
      <xdr:spPr>
        <a:xfrm>
          <a:off x="381000" y="4203700"/>
          <a:ext cx="6057900" cy="17526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The main</a:t>
          </a:r>
          <a:r>
            <a:rPr lang="en-US" sz="1400" baseline="0%">
              <a:latin typeface="Times New Roman" panose="02020603050405020304" pitchFamily="18" charset="0"/>
              <a:cs typeface="Times New Roman" panose="02020603050405020304" pitchFamily="18" charset="0"/>
            </a:rPr>
            <a:t> limitation for the research is the fact that the stock market cannot be predicted and GOOGL stock can change in any minute. The year 2017 was only used for stock analysis and the results may differ from previous years. Therefore, it does not factor in the companies performance since inception. The forecasts is just that, a forecast that can change throughout the year and would need adjustments. </a:t>
          </a:r>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purl.oclc.org/ooxml/drawingml/spreadsheetDrawing" xmlns:a="http://purl.oclc.org/ooxml/drawingml/main">
  <xdr:twoCellAnchor>
    <xdr:from>
      <xdr:col>0</xdr:col>
      <xdr:colOff>381000</xdr:colOff>
      <xdr:row>3</xdr:row>
      <xdr:rowOff>101600</xdr:rowOff>
    </xdr:from>
    <xdr:to>
      <xdr:col>5</xdr:col>
      <xdr:colOff>736600</xdr:colOff>
      <xdr:row>30</xdr:row>
      <xdr:rowOff>88900</xdr:rowOff>
    </xdr:to>
    <xdr:sp macro="" textlink="">
      <xdr:nvSpPr>
        <xdr:cNvPr id="2" name="TextBox 1">
          <a:extLst>
            <a:ext uri="{FF2B5EF4-FFF2-40B4-BE49-F238E27FC236}">
              <a16:creationId xmlns:a16="http://schemas.microsoft.com/office/drawing/2014/main" id="{1F15215D-749B-A648-BB7B-55D15FE1FCAE}"/>
            </a:ext>
          </a:extLst>
        </xdr:cNvPr>
        <xdr:cNvSpPr txBox="1"/>
      </xdr:nvSpPr>
      <xdr:spPr>
        <a:xfrm>
          <a:off x="381000" y="736600"/>
          <a:ext cx="5321300" cy="4445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Google</a:t>
          </a:r>
          <a:r>
            <a:rPr lang="en-US" sz="1400" baseline="0%">
              <a:latin typeface="Times New Roman" panose="02020603050405020304" pitchFamily="18" charset="0"/>
              <a:cs typeface="Times New Roman" panose="02020603050405020304" pitchFamily="18" charset="0"/>
            </a:rPr>
            <a:t> has current assets that allow for it to raise funds. One of their assets consists of short term investments. Google would be earning interest on these investments, therefore raising funds. Google also isses comon stock and bonds to increase funds.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 Google does offer bonds and they have a AA credit rating. They have sold upwards of $3 billion worth of bonds. They decide to go with bonds, because of the rate they get, which woud be better than wht the U.S. Treasury would offer them.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 During the years of 2013 through 2017 Google had the outsanding shares presented above. An important thing to note is GOOGL is Class A stocks while GOOG is Class C. Google Issues more Class C shares than Class A shares. In 2014 Google or Alphabet Inc. had a stock split and differentiated the shares as Class A or C.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 Google had its IPO in August 19, 2004 and opened at $85. It performed really well and raised over $1.9 billion. At close on the first day Google closed at $100.34. Google currently sells at $1,109.65. Had I bought Google from its IPO my return would be the following, 1,004.90% </a:t>
          </a:r>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5.xml><?xml version="1.0" encoding="utf-8"?>
<xdr:wsDr xmlns:xdr="http://purl.oclc.org/ooxml/drawingml/spreadsheetDrawing" xmlns:a="http://purl.oclc.org/ooxml/drawingml/main">
  <xdr:twoCellAnchor>
    <xdr:from>
      <xdr:col>0</xdr:col>
      <xdr:colOff>240748</xdr:colOff>
      <xdr:row>19</xdr:row>
      <xdr:rowOff>4970</xdr:rowOff>
    </xdr:from>
    <xdr:to>
      <xdr:col>5</xdr:col>
      <xdr:colOff>884030</xdr:colOff>
      <xdr:row>43</xdr:row>
      <xdr:rowOff>58531</xdr:rowOff>
    </xdr:to>
    <xdr:graphicFrame macro="">
      <xdr:nvGraphicFramePr>
        <xdr:cNvPr id="2" name="Chart 1">
          <a:extLst>
            <a:ext uri="{FF2B5EF4-FFF2-40B4-BE49-F238E27FC236}">
              <a16:creationId xmlns:a16="http://schemas.microsoft.com/office/drawing/2014/main" id="{23BADA9E-5C35-604A-AAE0-5CFB9561CAF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358912</xdr:colOff>
      <xdr:row>13</xdr:row>
      <xdr:rowOff>135835</xdr:rowOff>
    </xdr:from>
    <xdr:to>
      <xdr:col>20</xdr:col>
      <xdr:colOff>0</xdr:colOff>
      <xdr:row>41</xdr:row>
      <xdr:rowOff>0</xdr:rowOff>
    </xdr:to>
    <xdr:graphicFrame macro="">
      <xdr:nvGraphicFramePr>
        <xdr:cNvPr id="4" name="Chart 3">
          <a:extLst>
            <a:ext uri="{FF2B5EF4-FFF2-40B4-BE49-F238E27FC236}">
              <a16:creationId xmlns:a16="http://schemas.microsoft.com/office/drawing/2014/main" id="{733E8AF2-EFC4-9843-BEFA-98C593D3D24E}"/>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2</xdr:col>
      <xdr:colOff>719666</xdr:colOff>
      <xdr:row>0</xdr:row>
      <xdr:rowOff>56444</xdr:rowOff>
    </xdr:from>
    <xdr:to>
      <xdr:col>9</xdr:col>
      <xdr:colOff>818444</xdr:colOff>
      <xdr:row>9</xdr:row>
      <xdr:rowOff>28222</xdr:rowOff>
    </xdr:to>
    <xdr:sp macro="" textlink="">
      <xdr:nvSpPr>
        <xdr:cNvPr id="5" name="TextBox 4">
          <a:extLst>
            <a:ext uri="{FF2B5EF4-FFF2-40B4-BE49-F238E27FC236}">
              <a16:creationId xmlns:a16="http://schemas.microsoft.com/office/drawing/2014/main" id="{7F48CE72-B7E9-1449-B7A2-9BA497BA8C66}"/>
            </a:ext>
          </a:extLst>
        </xdr:cNvPr>
        <xdr:cNvSpPr txBox="1"/>
      </xdr:nvSpPr>
      <xdr:spPr>
        <a:xfrm>
          <a:off x="2963333" y="56444"/>
          <a:ext cx="6702778" cy="1778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 GOOGL has an</a:t>
          </a:r>
          <a:r>
            <a:rPr lang="en-US" sz="1400" baseline="0%">
              <a:latin typeface="Times New Roman" panose="02020603050405020304" pitchFamily="18" charset="0"/>
              <a:cs typeface="Times New Roman" panose="02020603050405020304" pitchFamily="18" charset="0"/>
            </a:rPr>
            <a:t> Alpha of  0.20% which is really good. This means that when the benchmark of the S&amp;P500 does not have a return GOOGL has a reurn of 0.20% which is more than te standard commercial savings account. </a:t>
          </a:r>
        </a:p>
        <a:p>
          <a:endParaRPr lang="en-US" sz="1400" baseline="0%">
            <a:latin typeface="Times New Roman" panose="02020603050405020304" pitchFamily="18" charset="0"/>
            <a:cs typeface="Times New Roman" panose="02020603050405020304" pitchFamily="18" charset="0"/>
          </a:endParaRPr>
        </a:p>
        <a:p>
          <a:r>
            <a:rPr lang="en-US" sz="1400" baseline="0%">
              <a:latin typeface="Times New Roman" panose="02020603050405020304" pitchFamily="18" charset="0"/>
              <a:cs typeface="Times New Roman" panose="02020603050405020304" pitchFamily="18" charset="0"/>
            </a:rPr>
            <a:t>- GOOGL has a Beta of 1.20 which is also good. This means that GOOGL outperformed the S&amp;P500 index. The beta also represents the level of risk involved with the stock. GOOGL has a high beta, therefore there is more risk involved with the stock. A higher risk also means a higher return, so there is  trade off invovled. </a:t>
          </a:r>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6.xml><?xml version="1.0" encoding="utf-8"?>
<xdr:wsDr xmlns:xdr="http://purl.oclc.org/ooxml/drawingml/spreadsheetDrawing" xmlns:a="http://purl.oclc.org/ooxml/drawingml/main">
  <xdr:twoCellAnchor>
    <xdr:from>
      <xdr:col>12</xdr:col>
      <xdr:colOff>393700</xdr:colOff>
      <xdr:row>1</xdr:row>
      <xdr:rowOff>101600</xdr:rowOff>
    </xdr:from>
    <xdr:to>
      <xdr:col>20</xdr:col>
      <xdr:colOff>38100</xdr:colOff>
      <xdr:row>21</xdr:row>
      <xdr:rowOff>0</xdr:rowOff>
    </xdr:to>
    <xdr:sp macro="" textlink="">
      <xdr:nvSpPr>
        <xdr:cNvPr id="2" name="TextBox 1">
          <a:extLst>
            <a:ext uri="{FF2B5EF4-FFF2-40B4-BE49-F238E27FC236}">
              <a16:creationId xmlns:a16="http://schemas.microsoft.com/office/drawing/2014/main" id="{229DA847-20CA-BD47-96F2-E3195CAB5FA0}"/>
            </a:ext>
          </a:extLst>
        </xdr:cNvPr>
        <xdr:cNvSpPr txBox="1"/>
      </xdr:nvSpPr>
      <xdr:spPr>
        <a:xfrm>
          <a:off x="10375900" y="317500"/>
          <a:ext cx="6248400" cy="39624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Times New Roman" panose="02020603050405020304" pitchFamily="18" charset="0"/>
              <a:cs typeface="Times New Roman" panose="02020603050405020304" pitchFamily="18" charset="0"/>
            </a:rPr>
            <a:t>-</a:t>
          </a:r>
          <a:r>
            <a:rPr lang="en-US" sz="1400" b="1" baseline="0%">
              <a:latin typeface="Times New Roman" panose="02020603050405020304" pitchFamily="18" charset="0"/>
              <a:cs typeface="Times New Roman" panose="02020603050405020304" pitchFamily="18" charset="0"/>
            </a:rPr>
            <a:t> Google or Alphabe Inc. is a good investment. From the last year of 2017 until now towards the end of 2018 the stock price has gone up roughly $300. Their daily returns are also more in the positive and some days there are more than 2% returns. When compared to the three stocks involved in a different industry we can set a portfolio based on the information we know. JPM has nearly doubled in price, but with the banking industry it is tough to tell when the next crash may be. But, had we invested in JPM last year, the amount invested would have doubled. Starbucks is in the beverage industry and has grown relativey slow. It is currently being sold in the $60 mark, but in 2017 the stock price actualy went to the $60 mark for some days. Proctor &amp; Gamble is involved in consumer staples and has grown similar to Starbucks. If a client were to be looking into investing in Google, I would recommend it. Google has a Beta above one, so there is some high risk, but also a high reutrn. Google would be the risy stock from the portfolio and the investor can pick JPM as well and hold onto Starbucks and P&amp;G since they grow at a slow rate and are not as volatile.  </a:t>
          </a:r>
          <a:endParaRPr lang="en-US" sz="1400" b="1">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purl.oclc.org/ooxml/drawingml/spreadsheetDrawing" xmlns:a="http://purl.oclc.org/ooxml/drawingml/main">
  <xdr:twoCellAnchor>
    <xdr:from>
      <xdr:col>9</xdr:col>
      <xdr:colOff>764092</xdr:colOff>
      <xdr:row>12</xdr:row>
      <xdr:rowOff>31401</xdr:rowOff>
    </xdr:from>
    <xdr:to>
      <xdr:col>15</xdr:col>
      <xdr:colOff>20934</xdr:colOff>
      <xdr:row>13</xdr:row>
      <xdr:rowOff>177939</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9535466" y="2616758"/>
          <a:ext cx="5223050" cy="355879"/>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tx2"/>
              </a:solidFill>
            </a:rPr>
            <a:t>WACC=</a:t>
          </a:r>
          <a:r>
            <a:rPr lang="en-US" sz="1400" b="1" baseline="0%">
              <a:solidFill>
                <a:schemeClr val="tx2"/>
              </a:solidFill>
            </a:rPr>
            <a:t> ((Equity/Debt+Equity)*re) + ((Debt/Debt+Equity)*rd) * (1-t) </a:t>
          </a:r>
          <a:endParaRPr lang="en-US" sz="1400" b="1">
            <a:solidFill>
              <a:schemeClr val="tx2"/>
            </a:solidFill>
          </a:endParaRPr>
        </a:p>
      </xdr:txBody>
    </xdr:sp>
    <xdr:clientData/>
  </xdr:twoCellAnchor>
  <xdr:twoCellAnchor>
    <xdr:from>
      <xdr:col>10</xdr:col>
      <xdr:colOff>20934</xdr:colOff>
      <xdr:row>19</xdr:row>
      <xdr:rowOff>125605</xdr:rowOff>
    </xdr:from>
    <xdr:to>
      <xdr:col>11</xdr:col>
      <xdr:colOff>617555</xdr:colOff>
      <xdr:row>21</xdr:row>
      <xdr:rowOff>83736</xdr:rowOff>
    </xdr:to>
    <xdr:sp macro="" textlink="">
      <xdr:nvSpPr>
        <xdr:cNvPr id="3" name="TextBox 2">
          <a:extLst>
            <a:ext uri="{FF2B5EF4-FFF2-40B4-BE49-F238E27FC236}">
              <a16:creationId xmlns:a16="http://schemas.microsoft.com/office/drawing/2014/main" id="{00000000-0008-0000-0E00-000003000000}"/>
            </a:ext>
          </a:extLst>
        </xdr:cNvPr>
        <xdr:cNvSpPr txBox="1"/>
      </xdr:nvSpPr>
      <xdr:spPr>
        <a:xfrm>
          <a:off x="9556401" y="4207748"/>
          <a:ext cx="2156209" cy="387279"/>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tx2"/>
              </a:solidFill>
            </a:rPr>
            <a:t>CAPM; re = rf + </a:t>
          </a:r>
          <a:r>
            <a:rPr lang="el-GR" sz="1400" b="1">
              <a:solidFill>
                <a:schemeClr val="tx2"/>
              </a:solidFill>
            </a:rPr>
            <a:t>β</a:t>
          </a:r>
          <a:r>
            <a:rPr lang="en-US" sz="1400" b="1">
              <a:solidFill>
                <a:schemeClr val="tx2"/>
              </a:solidFill>
            </a:rPr>
            <a:t>*(rm-rf) </a:t>
          </a:r>
        </a:p>
      </xdr:txBody>
    </xdr:sp>
    <xdr:clientData/>
  </xdr:twoCellAnchor>
  <xdr:twoCellAnchor>
    <xdr:from>
      <xdr:col>10</xdr:col>
      <xdr:colOff>380999</xdr:colOff>
      <xdr:row>33</xdr:row>
      <xdr:rowOff>214310</xdr:rowOff>
    </xdr:from>
    <xdr:to>
      <xdr:col>16</xdr:col>
      <xdr:colOff>333375</xdr:colOff>
      <xdr:row>49</xdr:row>
      <xdr:rowOff>-1</xdr:rowOff>
    </xdr:to>
    <xdr:sp macro="" textlink="">
      <xdr:nvSpPr>
        <xdr:cNvPr id="4" name="TextBox 3">
          <a:extLst>
            <a:ext uri="{FF2B5EF4-FFF2-40B4-BE49-F238E27FC236}">
              <a16:creationId xmlns:a16="http://schemas.microsoft.com/office/drawing/2014/main" id="{00000000-0008-0000-0E00-000004000000}"/>
            </a:ext>
          </a:extLst>
        </xdr:cNvPr>
        <xdr:cNvSpPr txBox="1"/>
      </xdr:nvSpPr>
      <xdr:spPr>
        <a:xfrm>
          <a:off x="9905999" y="7429498"/>
          <a:ext cx="6762751" cy="3214689"/>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rgbClr val="FF0000"/>
              </a:solidFill>
              <a:latin typeface="Times New Roman" panose="02020603050405020304" pitchFamily="18" charset="0"/>
              <a:cs typeface="Times New Roman" panose="02020603050405020304" pitchFamily="18" charset="0"/>
            </a:rPr>
            <a:t>-</a:t>
          </a:r>
          <a:r>
            <a:rPr lang="en-US" sz="1400" b="0" baseline="0%">
              <a:solidFill>
                <a:srgbClr val="FF0000"/>
              </a:solidFill>
              <a:latin typeface="Times New Roman" panose="02020603050405020304" pitchFamily="18" charset="0"/>
              <a:cs typeface="Times New Roman" panose="02020603050405020304" pitchFamily="18" charset="0"/>
            </a:rPr>
            <a:t> Based on the assumptions made for GOOGL and the calculationed done I would say Alphabet Inc. is undervalued. During the </a:t>
          </a:r>
        </a:p>
        <a:p>
          <a:r>
            <a:rPr lang="en-US" sz="1400" b="0" baseline="0%">
              <a:solidFill>
                <a:srgbClr val="FF0000"/>
              </a:solidFill>
              <a:latin typeface="Times New Roman" panose="02020603050405020304" pitchFamily="18" charset="0"/>
              <a:cs typeface="Times New Roman" panose="02020603050405020304" pitchFamily="18" charset="0"/>
            </a:rPr>
            <a:t>periods of 2013 - 2016 the company value kept diminshing, based on the calculations. When the company stock is rising more than steadily and their debts and assets also grow at a fair rate I would not agree that in 2015 or 2016 Alphabet would have a negative company value. As a company Alphabet continues to expand and grow and I do not believe that is being reflected per the company value or the price per share. GOOGL stock has had a greater return than the S&amp;P 500 index. Almost twice as much in 2017. It may hold more risk, but it has had higher returns. </a:t>
          </a:r>
        </a:p>
        <a:p>
          <a:endParaRPr lang="en-US" sz="1400" b="0" baseline="0%">
            <a:solidFill>
              <a:srgbClr val="FF0000"/>
            </a:solidFill>
            <a:latin typeface="Times New Roman" panose="02020603050405020304" pitchFamily="18" charset="0"/>
            <a:cs typeface="Times New Roman" panose="02020603050405020304" pitchFamily="18" charset="0"/>
          </a:endParaRPr>
        </a:p>
        <a:p>
          <a:r>
            <a:rPr lang="en-US" sz="1400" b="0" baseline="0%">
              <a:solidFill>
                <a:srgbClr val="FF0000"/>
              </a:solidFill>
              <a:latin typeface="Times New Roman" panose="02020603050405020304" pitchFamily="18" charset="0"/>
              <a:cs typeface="Times New Roman" panose="02020603050405020304" pitchFamily="18" charset="0"/>
            </a:rPr>
            <a:t>- As for the trajectory, GOOGL stock is going to keep rising and Alphabet will grow steadily. They are introducing new products such as the new Pixel phone. I beleive Alphabet Inc. will conitnue to develop and acquire new platforms as well innovate new prodcuts not just for consumers, but for companies as well. </a:t>
          </a:r>
        </a:p>
        <a:p>
          <a:r>
            <a:rPr lang="en-US" sz="1400" b="0" baseline="0%">
              <a:solidFill>
                <a:srgbClr val="FF0000"/>
              </a:solidFill>
              <a:latin typeface="Times New Roman" panose="02020603050405020304" pitchFamily="18" charset="0"/>
              <a:cs typeface="Times New Roman" panose="02020603050405020304" pitchFamily="18" charset="0"/>
            </a:rPr>
            <a:t>	</a:t>
          </a:r>
        </a:p>
        <a:p>
          <a:endParaRPr lang="en-US" sz="1400" b="0" baseline="0%">
            <a:solidFill>
              <a:srgbClr val="FF0000"/>
            </a:solidFill>
            <a:latin typeface="Times New Roman" panose="02020603050405020304" pitchFamily="18" charset="0"/>
            <a:cs typeface="Times New Roman" panose="02020603050405020304" pitchFamily="18" charset="0"/>
          </a:endParaRPr>
        </a:p>
        <a:p>
          <a:endParaRPr lang="en-US" sz="1400" b="0">
            <a:solidFill>
              <a:srgbClr val="FF0000"/>
            </a:solidFill>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purl.oclc.org/ooxml/drawingml/spreadsheetDrawing" xmlns:a="http://purl.oclc.org/ooxml/drawingml/main">
  <xdr:twoCellAnchor>
    <xdr:from>
      <xdr:col>1</xdr:col>
      <xdr:colOff>85725</xdr:colOff>
      <xdr:row>18</xdr:row>
      <xdr:rowOff>85725</xdr:rowOff>
    </xdr:from>
    <xdr:to>
      <xdr:col>7</xdr:col>
      <xdr:colOff>342900</xdr:colOff>
      <xdr:row>43</xdr:row>
      <xdr:rowOff>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695325" y="2914650"/>
          <a:ext cx="6429375" cy="39624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latin typeface="Times New Roman" panose="02020603050405020304" pitchFamily="18" charset="0"/>
              <a:cs typeface="Times New Roman" panose="02020603050405020304" pitchFamily="18" charset="0"/>
            </a:rPr>
            <a:t>- With</a:t>
          </a:r>
          <a:r>
            <a:rPr lang="en-US" sz="1400" b="1" baseline="0%">
              <a:solidFill>
                <a:sysClr val="windowText" lastClr="000000"/>
              </a:solidFill>
              <a:latin typeface="Times New Roman" panose="02020603050405020304" pitchFamily="18" charset="0"/>
              <a:cs typeface="Times New Roman" panose="02020603050405020304" pitchFamily="18" charset="0"/>
            </a:rPr>
            <a:t> the pessimistic outlook the value of the share would decrease. That would be the case since the growth of Aplhabet Inc. would decrease about 6% less than the average estimated growth. I would also believe that based on the results of the calculations the stock would be undervalued as well. </a:t>
          </a:r>
        </a:p>
        <a:p>
          <a:endParaRPr lang="en-US" sz="1400" b="1" baseline="0%">
            <a:solidFill>
              <a:sysClr val="windowText" lastClr="000000"/>
            </a:solidFill>
            <a:latin typeface="Times New Roman" panose="02020603050405020304" pitchFamily="18" charset="0"/>
            <a:cs typeface="Times New Roman" panose="02020603050405020304" pitchFamily="18" charset="0"/>
          </a:endParaRPr>
        </a:p>
        <a:p>
          <a:r>
            <a:rPr lang="en-US" sz="1400" b="1" baseline="0%">
              <a:solidFill>
                <a:sysClr val="windowText" lastClr="000000"/>
              </a:solidFill>
              <a:latin typeface="Times New Roman" panose="02020603050405020304" pitchFamily="18" charset="0"/>
              <a:cs typeface="Times New Roman" panose="02020603050405020304" pitchFamily="18" charset="0"/>
            </a:rPr>
            <a:t>- The optimistic outlook had in increase in the value of the price. It is relative closer to the the valuation that GOOGL would like to be at. This is considering the sales growth was at 22% which is a possiblitity for GOOGL considering the sales growth for Alphabet was 22.80% in 2017. </a:t>
          </a:r>
        </a:p>
        <a:p>
          <a:endParaRPr lang="en-US" sz="1400" b="1" baseline="0%">
            <a:solidFill>
              <a:sysClr val="windowText" lastClr="000000"/>
            </a:solidFill>
            <a:latin typeface="Times New Roman" panose="02020603050405020304" pitchFamily="18" charset="0"/>
            <a:cs typeface="Times New Roman" panose="02020603050405020304" pitchFamily="18" charset="0"/>
          </a:endParaRPr>
        </a:p>
        <a:p>
          <a:r>
            <a:rPr lang="en-US" sz="1400" b="1" baseline="0%">
              <a:solidFill>
                <a:sysClr val="windowText" lastClr="000000"/>
              </a:solidFill>
              <a:latin typeface="Times New Roman" panose="02020603050405020304" pitchFamily="18" charset="0"/>
              <a:cs typeface="Times New Roman" panose="02020603050405020304" pitchFamily="18" charset="0"/>
            </a:rPr>
            <a:t>- If there were an audit for the market leader I would consider in changing the projections higher. Considering in 2017 GOOGL had a 22.8% sales growth I can assume that GOOGL will continue to grow at a greater growth rate. Therefore, increasing the value of the stock price and GOOGL's overall company value. Sales would also continue to increase and cut costs by a relative amount. Taxes can remain the same since corporate tax does change, GOOGL's tax on average is 6% of their revenue . </a:t>
          </a:r>
          <a:endParaRPr lang="en-US" sz="14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hyperlink" Target="https://www.linkedin.com/in/josezavala1/" TargetMode="External"/></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9.xml.rels><?xml version="1.0" encoding="UTF-8" standalone="yes"?>
<Relationships xmlns="http://schemas.openxmlformats.org/package/2006/relationships"><Relationship Id="rId1" Type="http://purl.oclc.org/ooxml/officeDocument/relationships/drawing" Target="../drawings/drawing2.xml"/></Relationships>
</file>

<file path=xl/worksheets/_rels/sheet10.xml.rels><?xml version="1.0" encoding="UTF-8" standalone="yes"?>
<Relationships xmlns="http://schemas.openxmlformats.org/package/2006/relationships"><Relationship Id="rId1" Type="http://purl.oclc.org/ooxml/officeDocument/relationships/drawing" Target="../drawings/drawing3.xml"/></Relationships>
</file>

<file path=xl/worksheets/_rels/sheet11.xml.rels><?xml version="1.0" encoding="UTF-8" standalone="yes"?>
<Relationships xmlns="http://schemas.openxmlformats.org/package/2006/relationships"><Relationship Id="rId1" Type="http://purl.oclc.org/ooxml/officeDocument/relationships/drawing" Target="../drawings/drawing4.xml"/></Relationships>
</file>

<file path=xl/worksheets/_rels/sheet13.xml.rels><?xml version="1.0" encoding="UTF-8" standalone="yes"?>
<Relationships xmlns="http://schemas.openxmlformats.org/package/2006/relationships"><Relationship Id="rId1" Type="http://purl.oclc.org/ooxml/officeDocument/relationships/drawing" Target="../drawings/drawing5.xml"/></Relationships>
</file>

<file path=xl/worksheets/_rels/sheet14.xml.rels><?xml version="1.0" encoding="UTF-8" standalone="yes"?>
<Relationships xmlns="http://schemas.openxmlformats.org/package/2006/relationships"><Relationship Id="rId1" Type="http://purl.oclc.org/ooxml/officeDocument/relationships/drawing" Target="../drawings/drawing6.xml"/></Relationships>
</file>

<file path=xl/worksheets/_rels/sheet15.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rinterSettings" Target="../printerSettings/printerSettings5.bin"/></Relationships>
</file>

<file path=xl/worksheets/_rels/sheet16.xml.rels><?xml version="1.0" encoding="UTF-8" standalone="yes"?>
<Relationships xmlns="http://schemas.openxmlformats.org/package/2006/relationships"><Relationship Id="rId1" Type="http://purl.oclc.org/ooxml/officeDocument/relationships/drawing" Target="../drawings/drawing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I24"/>
  <sheetViews>
    <sheetView showGridLines="0" tabSelected="1" zoomScale="125" zoomScaleNormal="140" workbookViewId="0">
      <selection activeCell="B12" sqref="B12"/>
    </sheetView>
  </sheetViews>
  <sheetFormatPr baseColWidth="10" defaultColWidth="11.5" defaultRowHeight="13"/>
  <cols>
    <col min="1" max="1" width="21.1640625" bestFit="1" customWidth="1"/>
    <col min="2" max="2" width="10.5" bestFit="1" customWidth="1"/>
    <col min="3" max="3" width="10.83203125" bestFit="1" customWidth="1"/>
  </cols>
  <sheetData>
    <row r="1" spans="1:9">
      <c r="C1" s="292" t="s">
        <v>266</v>
      </c>
      <c r="D1" s="293"/>
      <c r="E1" s="293"/>
      <c r="F1" s="293"/>
      <c r="G1" s="293"/>
      <c r="H1" s="293"/>
      <c r="I1" s="293"/>
    </row>
    <row r="2" spans="1:9">
      <c r="A2" s="17"/>
      <c r="C2" s="293"/>
      <c r="D2" s="293"/>
      <c r="E2" s="293"/>
      <c r="F2" s="293"/>
      <c r="G2" s="293"/>
      <c r="H2" s="293"/>
      <c r="I2" s="293"/>
    </row>
    <row r="3" spans="1:9">
      <c r="C3" s="293"/>
      <c r="D3" s="293"/>
      <c r="E3" s="293"/>
      <c r="F3" s="293"/>
      <c r="G3" s="293"/>
      <c r="H3" s="293"/>
      <c r="I3" s="293"/>
    </row>
    <row r="4" spans="1:9">
      <c r="C4" s="293"/>
      <c r="D4" s="293"/>
      <c r="E4" s="293"/>
      <c r="F4" s="293"/>
      <c r="G4" s="293"/>
      <c r="H4" s="293"/>
      <c r="I4" s="293"/>
    </row>
    <row r="5" spans="1:9">
      <c r="C5" s="293"/>
      <c r="D5" s="293"/>
      <c r="E5" s="293"/>
      <c r="F5" s="293"/>
      <c r="G5" s="293"/>
      <c r="H5" s="293"/>
      <c r="I5" s="293"/>
    </row>
    <row r="6" spans="1:9">
      <c r="C6" s="293"/>
      <c r="D6" s="293"/>
      <c r="E6" s="293"/>
      <c r="F6" s="293"/>
      <c r="G6" s="293"/>
      <c r="H6" s="293"/>
      <c r="I6" s="293"/>
    </row>
    <row r="7" spans="1:9" ht="28">
      <c r="E7" s="290" t="s">
        <v>267</v>
      </c>
      <c r="F7" s="290"/>
    </row>
    <row r="8" spans="1:9">
      <c r="E8" s="286" t="s">
        <v>270</v>
      </c>
      <c r="F8" s="284"/>
      <c r="G8" s="285"/>
    </row>
    <row r="9" spans="1:9">
      <c r="E9" s="286"/>
      <c r="F9" s="284"/>
      <c r="G9" s="285"/>
    </row>
    <row r="10" spans="1:9">
      <c r="C10" s="284" t="s">
        <v>268</v>
      </c>
      <c r="E10" s="284"/>
    </row>
    <row r="11" spans="1:9">
      <c r="C11" s="291" t="s">
        <v>269</v>
      </c>
      <c r="D11" s="291"/>
      <c r="E11" s="291"/>
      <c r="F11" s="291"/>
    </row>
    <row r="12" spans="1:9">
      <c r="C12" s="291"/>
      <c r="D12" s="291"/>
    </row>
    <row r="13" spans="1:9">
      <c r="C13" s="291" t="s">
        <v>265</v>
      </c>
      <c r="D13" s="291"/>
    </row>
    <row r="16" spans="1:9" ht="14" thickBot="1">
      <c r="C16" s="288" t="s">
        <v>86</v>
      </c>
      <c r="D16" s="41"/>
      <c r="E16" s="41"/>
      <c r="F16" s="41"/>
      <c r="G16" s="41"/>
    </row>
    <row r="17" spans="3:6" ht="14" thickTop="1">
      <c r="C17" s="16" t="s">
        <v>87</v>
      </c>
      <c r="F17" s="287" t="s">
        <v>271</v>
      </c>
    </row>
    <row r="18" spans="3:6">
      <c r="C18" s="16" t="s">
        <v>88</v>
      </c>
      <c r="F18" s="16" t="s">
        <v>272</v>
      </c>
    </row>
    <row r="19" spans="3:6">
      <c r="C19" s="16" t="s">
        <v>102</v>
      </c>
      <c r="F19" s="16" t="s">
        <v>273</v>
      </c>
    </row>
    <row r="20" spans="3:6">
      <c r="C20" s="16" t="s">
        <v>89</v>
      </c>
      <c r="F20" s="16" t="s">
        <v>274</v>
      </c>
    </row>
    <row r="21" spans="3:6">
      <c r="C21" s="16" t="s">
        <v>103</v>
      </c>
      <c r="F21" s="16" t="s">
        <v>275</v>
      </c>
    </row>
    <row r="22" spans="3:6">
      <c r="C22" s="16" t="s">
        <v>90</v>
      </c>
      <c r="F22" s="16" t="s">
        <v>276</v>
      </c>
    </row>
    <row r="23" spans="3:6">
      <c r="C23" s="16" t="s">
        <v>112</v>
      </c>
      <c r="F23" s="16" t="s">
        <v>277</v>
      </c>
    </row>
    <row r="24" spans="3:6">
      <c r="C24" s="16" t="s">
        <v>138</v>
      </c>
      <c r="F24" s="16" t="s">
        <v>278</v>
      </c>
    </row>
  </sheetData>
  <mergeCells count="5">
    <mergeCell ref="E7:F7"/>
    <mergeCell ref="C12:D12"/>
    <mergeCell ref="C13:D13"/>
    <mergeCell ref="C1:I6"/>
    <mergeCell ref="C11:F11"/>
  </mergeCells>
  <hyperlinks>
    <hyperlink ref="C17" location="Assumptions!A1" display="Assumptions " xr:uid="{00000000-0004-0000-0000-000000000000}"/>
    <hyperlink ref="C18" location="'Income Statement'!A1" display="Income Statement " xr:uid="{00000000-0004-0000-0000-000001000000}"/>
    <hyperlink ref="C20" location="'Balance Sheet'!A1" display="Balance Sheet " xr:uid="{00000000-0004-0000-0000-000002000000}"/>
    <hyperlink ref="C22" location="'Statement of Cash Flows'!A1" display="Statement of Cash Flows " xr:uid="{00000000-0004-0000-0000-000003000000}"/>
    <hyperlink ref="C19" location="'Pro-Forma IS'!A1" display="Pro-Forma IS" xr:uid="{00000000-0004-0000-0000-000004000000}"/>
    <hyperlink ref="C21" location="'Pro-Forma BS'!A1" display="Pro-Forma BS" xr:uid="{00000000-0004-0000-0000-000005000000}"/>
    <hyperlink ref="C23" location="'Ratio Analysis '!A1" display="Ratio Analysis " xr:uid="{00000000-0004-0000-0000-000006000000}"/>
    <hyperlink ref="C24" location="'Individual Research'!A1" display="Individual Research " xr:uid="{00000000-0004-0000-0000-000007000000}"/>
    <hyperlink ref="E8" r:id="rId1" xr:uid="{00000000-0004-0000-0000-000008000000}"/>
    <hyperlink ref="F17" location="'Individual Research'!A1" display="'Individual Research'!A1" xr:uid="{00000000-0004-0000-0000-000009000000}"/>
    <hyperlink ref="F18" location="'Company Research Analysis'!A1" display="Company Research Analysis" xr:uid="{00000000-0004-0000-0000-00000A000000}"/>
    <hyperlink ref="F19" location="'Financial &amp; Capital Structure'!A1" display="Financial &amp; Capital Structure" xr:uid="{00000000-0004-0000-0000-00000B000000}"/>
    <hyperlink ref="F20" location="'Equity Research &amp; Stock Risks'!A1" display="Equity Research &amp; Stock Risks" xr:uid="{00000000-0004-0000-0000-00000C000000}"/>
    <hyperlink ref="F21" location="'Regression &amp; Candlestick'!A1" display="Regression &amp; Candlestick" xr:uid="{00000000-0004-0000-0000-00000D000000}"/>
    <hyperlink ref="F22" location="'Correlation Table'!A1" display="Correlation Table" xr:uid="{00000000-0004-0000-0000-00000E000000}"/>
    <hyperlink ref="F23" location="'Cash Flow Analysis &amp; WACC'!A1" display="Cash Flow Analysis &amp; WACC" xr:uid="{00000000-0004-0000-0000-00000F000000}"/>
    <hyperlink ref="F24" location="'Scenario Summary '!A1" display="Scenario Summary " xr:uid="{00000000-0004-0000-0000-000010000000}"/>
  </hyperlinks>
  <pageMargins left="0.7" right="0.7" top="0.75" bottom="0.75" header="0.3" footer="0.3"/>
  <drawing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N50"/>
  <sheetViews>
    <sheetView zoomScale="110" zoomScaleNormal="110" workbookViewId="0">
      <pane xSplit="1" ySplit="4" topLeftCell="B5" activePane="bottomRight" state="frozen"/>
      <selection pane="topRight" activeCell="B1" sqref="B1"/>
      <selection pane="bottomLeft" activeCell="A6" sqref="A6"/>
      <selection pane="bottomRight" activeCell="I14" sqref="I14"/>
    </sheetView>
  </sheetViews>
  <sheetFormatPr baseColWidth="10" defaultColWidth="11.5" defaultRowHeight="13"/>
  <cols>
    <col min="1" max="1" width="28.5" bestFit="1" customWidth="1"/>
    <col min="10" max="10" width="22.33203125" bestFit="1" customWidth="1"/>
    <col min="11" max="11" width="14.6640625" bestFit="1" customWidth="1"/>
    <col min="12" max="12" width="15.6640625" bestFit="1" customWidth="1"/>
    <col min="13" max="14" width="15.33203125" bestFit="1" customWidth="1"/>
  </cols>
  <sheetData>
    <row r="1" spans="1:14">
      <c r="B1" s="25">
        <v>2013</v>
      </c>
      <c r="C1" s="25">
        <v>2014</v>
      </c>
      <c r="D1" s="25">
        <v>2015</v>
      </c>
      <c r="E1" s="25">
        <v>2016</v>
      </c>
      <c r="F1" s="25">
        <v>2017</v>
      </c>
      <c r="G1" s="26" t="s">
        <v>92</v>
      </c>
      <c r="H1" s="27" t="s">
        <v>93</v>
      </c>
    </row>
    <row r="2" spans="1:14">
      <c r="A2" s="17" t="s">
        <v>91</v>
      </c>
      <c r="C2" s="22">
        <f>('Income Statement'!C4-'Income Statement'!B4)/'Income Statement'!B4</f>
        <v>0.10323443376514835</v>
      </c>
      <c r="D2" s="22">
        <f>('Income Statement'!D4-'Income Statement'!C4)/'Income Statement'!C4</f>
        <v>0.13617975485219921</v>
      </c>
      <c r="E2" s="22">
        <f>('Income Statement'!E4-'Income Statement'!D4)/'Income Statement'!D4</f>
        <v>0.20380322447292271</v>
      </c>
      <c r="F2" s="22">
        <f>('Income Statement'!F4-'Income Statement'!E4)/'Income Statement'!E4</f>
        <v>0.22801090038993266</v>
      </c>
      <c r="G2" s="22"/>
      <c r="H2" s="24">
        <f>AVERAGE(C2:F2)</f>
        <v>0.16780707837005074</v>
      </c>
      <c r="I2" s="289"/>
    </row>
    <row r="3" spans="1:14">
      <c r="A3" s="21"/>
      <c r="B3" s="294" t="s">
        <v>95</v>
      </c>
      <c r="C3" s="295"/>
      <c r="D3" s="295"/>
      <c r="E3" s="295"/>
      <c r="F3" s="295"/>
      <c r="G3" s="295"/>
      <c r="H3" s="295"/>
    </row>
    <row r="4" spans="1:14">
      <c r="B4" s="21">
        <v>2013</v>
      </c>
      <c r="C4" s="21">
        <v>2014</v>
      </c>
      <c r="D4" s="21">
        <v>2015</v>
      </c>
      <c r="E4" s="21">
        <v>2016</v>
      </c>
      <c r="F4" s="21">
        <v>2017</v>
      </c>
      <c r="G4" s="28" t="s">
        <v>94</v>
      </c>
      <c r="H4" s="29" t="s">
        <v>93</v>
      </c>
    </row>
    <row r="5" spans="1:14" ht="14" thickBot="1">
      <c r="A5" s="20" t="s">
        <v>3</v>
      </c>
      <c r="B5" s="23">
        <f>'Income Statement'!B4/'Income Statement'!B$4</f>
        <v>1</v>
      </c>
      <c r="C5" s="23">
        <f>'Income Statement'!C4/'Income Statement'!C$4</f>
        <v>1</v>
      </c>
      <c r="D5" s="23">
        <f>'Income Statement'!D4/'Income Statement'!D$4</f>
        <v>1</v>
      </c>
      <c r="E5" s="23">
        <f>'Income Statement'!E4/'Income Statement'!E$4</f>
        <v>1</v>
      </c>
      <c r="F5" s="23">
        <f>'Income Statement'!F4/'Income Statement'!F$4</f>
        <v>1</v>
      </c>
      <c r="G5" s="22"/>
      <c r="H5" s="30">
        <v>1</v>
      </c>
    </row>
    <row r="6" spans="1:14" ht="14" thickBot="1">
      <c r="A6" s="2" t="s">
        <v>4</v>
      </c>
      <c r="B6" s="23">
        <f>'Income Statement'!B5/'Income Statement'!B$4</f>
        <v>0.432227329711659</v>
      </c>
      <c r="C6" s="23">
        <f>'Income Statement'!C5/'Income Statement'!C$4</f>
        <v>0.3892516780048787</v>
      </c>
      <c r="D6" s="23">
        <f>'Income Statement'!D5/'Income Statement'!D$4</f>
        <v>0.37557508434570402</v>
      </c>
      <c r="E6" s="23">
        <f>'Income Statement'!E5/'Income Statement'!E$4</f>
        <v>0.38924583481035097</v>
      </c>
      <c r="F6" s="23">
        <f>'Income Statement'!F5/'Income Statement'!F$4</f>
        <v>0.41119480402327363</v>
      </c>
      <c r="G6" s="22"/>
      <c r="H6" s="30">
        <v>0.39949894617917298</v>
      </c>
      <c r="K6" s="216">
        <v>2013</v>
      </c>
      <c r="L6" s="10">
        <v>2014</v>
      </c>
      <c r="M6" s="10">
        <v>2015</v>
      </c>
      <c r="N6" s="10">
        <v>2016</v>
      </c>
    </row>
    <row r="7" spans="1:14">
      <c r="A7" s="12" t="s">
        <v>5</v>
      </c>
      <c r="B7" s="23">
        <f>'Income Statement'!B6/'Income Statement'!B$4</f>
        <v>0.567772670288341</v>
      </c>
      <c r="C7" s="23">
        <f>'Income Statement'!C6/'Income Statement'!C$4</f>
        <v>0.6107483219951213</v>
      </c>
      <c r="D7" s="23">
        <f>'Income Statement'!D6/'Income Statement'!D$4</f>
        <v>0.62442491565429592</v>
      </c>
      <c r="E7" s="23">
        <f>'Income Statement'!E6/'Income Statement'!E$4</f>
        <v>0.61075416518964909</v>
      </c>
      <c r="F7" s="23">
        <f>'Income Statement'!F6/'Income Statement'!F$4</f>
        <v>0.58880519597672631</v>
      </c>
      <c r="G7" s="22"/>
      <c r="H7" s="30">
        <f>AVERAGE(B7:F7)</f>
        <v>0.60050105382082664</v>
      </c>
      <c r="J7" s="17" t="s">
        <v>239</v>
      </c>
      <c r="K7" s="23">
        <v>1</v>
      </c>
      <c r="L7" s="17"/>
      <c r="M7" s="17"/>
      <c r="N7" s="17"/>
    </row>
    <row r="8" spans="1:14">
      <c r="A8" s="2" t="s">
        <v>6</v>
      </c>
      <c r="B8" s="23">
        <f>'Income Statement'!B7/'Income Statement'!B$4</f>
        <v>0.20140409527789385</v>
      </c>
      <c r="C8" s="23">
        <f>'Income Statement'!C7/'Income Statement'!C$4</f>
        <v>0.21184527507158982</v>
      </c>
      <c r="D8" s="23">
        <f>'Income Statement'!D7/'Income Statement'!D$4</f>
        <v>0.20246969555534811</v>
      </c>
      <c r="E8" s="23">
        <f>'Income Statement'!E7/'Income Statement'!E$4</f>
        <v>0.19352623183268344</v>
      </c>
      <c r="F8" s="23">
        <f>'Income Statement'!F7/'Income Statement'!F$4</f>
        <v>0.17829597221595778</v>
      </c>
      <c r="G8" s="22"/>
      <c r="H8" s="30">
        <f t="shared" ref="H8:H25" si="0">AVERAGE(B8:F8)</f>
        <v>0.19750825399069458</v>
      </c>
      <c r="J8" s="17" t="s">
        <v>240</v>
      </c>
      <c r="K8" s="191">
        <f>'Ratio Analysis '!B26*Assumptions!K7</f>
        <v>0.1541017319325492</v>
      </c>
      <c r="L8" s="17"/>
      <c r="M8" s="17"/>
      <c r="N8" s="17"/>
    </row>
    <row r="9" spans="1:14">
      <c r="A9" s="2" t="s">
        <v>7</v>
      </c>
      <c r="B9" s="23">
        <f>'Income Statement'!B8/'Income Statement'!B$4</f>
        <v>0.13292101964061848</v>
      </c>
      <c r="C9" s="23">
        <f>'Income Statement'!C8/'Income Statement'!C$4</f>
        <v>0.14896743988727443</v>
      </c>
      <c r="D9" s="23">
        <f>'Income Statement'!D8/'Income Statement'!D$4</f>
        <v>0.16378402165650963</v>
      </c>
      <c r="E9" s="23">
        <f>'Income Statement'!E8/'Income Statement'!E$4</f>
        <v>0.15451081176887629</v>
      </c>
      <c r="F9" s="23">
        <f>'Income Statement'!F8/'Income Statement'!F$4</f>
        <v>0.14997068242298497</v>
      </c>
      <c r="G9" s="22"/>
      <c r="H9" s="30">
        <f t="shared" si="0"/>
        <v>0.15003079507525274</v>
      </c>
      <c r="J9" s="17" t="s">
        <v>241</v>
      </c>
      <c r="K9" s="222">
        <f>'Cash Flow Analysis &amp; WACC'!M$11/('Cash Flow Analysis &amp; WACC'!$M$30-'Cash Flow Analysis &amp; WACC'!$V$5)</f>
        <v>19812572.662720051</v>
      </c>
      <c r="L9" s="222">
        <f>'Cash Flow Analysis &amp; WACC'!N$11/('Cash Flow Analysis &amp; WACC'!$M$30-'Cash Flow Analysis &amp; WACC'!$V$5)</f>
        <v>106763230.50297296</v>
      </c>
      <c r="M9" s="222">
        <f>'Cash Flow Analysis &amp; WACC'!O$11/('Cash Flow Analysis &amp; WACC'!$M$30-'Cash Flow Analysis &amp; WACC'!$V$5)</f>
        <v>-23198780.644516084</v>
      </c>
      <c r="N9" s="222">
        <f>'Cash Flow Analysis &amp; WACC'!P$11/('Cash Flow Analysis &amp; WACC'!$M$30-'Cash Flow Analysis &amp; WACC'!$V$5)</f>
        <v>-48660459.892251633</v>
      </c>
    </row>
    <row r="10" spans="1:14">
      <c r="A10" s="2" t="s">
        <v>8</v>
      </c>
      <c r="B10" s="23">
        <f>'Income Statement'!B9/'Income Statement'!B$4</f>
        <v>0</v>
      </c>
      <c r="C10" s="23">
        <f>'Income Statement'!C9/'Income Statement'!C$4</f>
        <v>0</v>
      </c>
      <c r="D10" s="23">
        <f>'Income Statement'!D9/'Income Statement'!D$4</f>
        <v>0</v>
      </c>
      <c r="E10" s="23">
        <f>'Income Statement'!E9/'Income Statement'!E$4</f>
        <v>0</v>
      </c>
      <c r="F10" s="23">
        <f>'Income Statement'!F9/'Income Statement'!F$4</f>
        <v>2.468088945018267E-2</v>
      </c>
      <c r="G10" s="22"/>
      <c r="H10" s="30">
        <f t="shared" si="0"/>
        <v>4.936177890036534E-3</v>
      </c>
      <c r="J10" s="17" t="s">
        <v>242</v>
      </c>
      <c r="K10" s="263">
        <f>NPV('Cash Flow Analysis &amp; WACC'!M30,'Cash Flow Analysis &amp; WACC'!L11,'Cash Flow Analysis &amp; WACC'!M11+'Cash Flow Analysis &amp; WACC'!V6)</f>
        <v>17300780.804907948</v>
      </c>
      <c r="L10" s="263">
        <f>NPV('Cash Flow Analysis &amp; WACC'!M30,'Cash Flow Analysis &amp; WACC'!M11,'Cash Flow Analysis &amp; WACC'!N11+'Cash Flow Analysis &amp; WACC'!W6)</f>
        <v>77698815.006784514</v>
      </c>
      <c r="M10" s="263">
        <f>NPV('Cash Flow Analysis &amp; WACC'!M30,'Cash Flow Analysis &amp; WACC'!N11,'Cash Flow Analysis &amp; WACC'!O11+'Cash Flow Analysis &amp; WACC'!X6)</f>
        <v>-11270575.644603875</v>
      </c>
      <c r="N10" s="263">
        <f>NPV('Cash Flow Analysis &amp; WACC'!M30,'Cash Flow Analysis &amp; WACC'!O11,'Cash Flow Analysis &amp; WACC'!P11+'Cash Flow Analysis &amp; WACC'!Y6)</f>
        <v>-36129503.090442218</v>
      </c>
    </row>
    <row r="11" spans="1:14">
      <c r="A11" s="12" t="s">
        <v>9</v>
      </c>
      <c r="B11" s="23">
        <f>'Income Statement'!B10/'Income Statement'!B$4</f>
        <v>0.3343251149185123</v>
      </c>
      <c r="C11" s="23">
        <f>'Income Statement'!C10/'Income Statement'!C$4</f>
        <v>0.36081271495886424</v>
      </c>
      <c r="D11" s="23">
        <f>'Income Statement'!D10/'Income Statement'!D$4</f>
        <v>0.36625371721185773</v>
      </c>
      <c r="E11" s="23">
        <f>'Income Statement'!E10/'Income Statement'!E$4</f>
        <v>0.34803704360155974</v>
      </c>
      <c r="F11" s="23">
        <f>'Income Statement'!F10/'Income Statement'!F$4</f>
        <v>0.35294754408912543</v>
      </c>
      <c r="G11" s="22"/>
      <c r="H11" s="30">
        <f t="shared" si="0"/>
        <v>0.35247522695598393</v>
      </c>
      <c r="J11" s="17" t="s">
        <v>243</v>
      </c>
      <c r="K11" s="86">
        <f>K10-'Cash Flow Analysis &amp; WACC'!P26</f>
        <v>12055780.804907948</v>
      </c>
      <c r="L11" s="86">
        <f>L10-'Cash Flow Analysis &amp; WACC'!Q26</f>
        <v>72461815.006784514</v>
      </c>
      <c r="M11" s="86">
        <f>M10-'Cash Flow Analysis &amp; WACC'!R26</f>
        <v>-16490575.644603875</v>
      </c>
      <c r="N11" s="86">
        <f>N10-'Cash Flow Analysis &amp; WACC'!S26</f>
        <v>-40064503.090442218</v>
      </c>
    </row>
    <row r="12" spans="1:14">
      <c r="A12" s="12" t="s">
        <v>10</v>
      </c>
      <c r="B12" s="23">
        <f>'Income Statement'!B11/'Income Statement'!B$4</f>
        <v>0.23344755536982867</v>
      </c>
      <c r="C12" s="23">
        <f>'Income Statement'!C11/'Income Statement'!C$4</f>
        <v>0.24993560703625703</v>
      </c>
      <c r="D12" s="23">
        <f>'Income Statement'!D11/'Income Statement'!D$4</f>
        <v>0.25817119844243824</v>
      </c>
      <c r="E12" s="23">
        <f>'Income Statement'!E11/'Income Statement'!E$4</f>
        <v>0.26271712158808935</v>
      </c>
      <c r="F12" s="23">
        <f>'Income Statement'!F11/'Income Statement'!F$4</f>
        <v>0.23585765188760091</v>
      </c>
      <c r="G12" s="22"/>
      <c r="H12" s="30">
        <f t="shared" si="0"/>
        <v>0.2480258268648429</v>
      </c>
      <c r="J12" s="262" t="s">
        <v>255</v>
      </c>
      <c r="K12" s="264">
        <f>K11/'Cash Flow Analysis &amp; WACC'!B31</f>
        <v>17.949108963154661</v>
      </c>
      <c r="L12" s="264">
        <f>L11/'Cash Flow Analysis &amp; WACC'!C31</f>
        <v>106.53454568371605</v>
      </c>
      <c r="M12" s="264">
        <f>M11/'Cash Flow Analysis &amp; WACC'!D31</f>
        <v>-23.991596170504423</v>
      </c>
      <c r="N12" s="264">
        <f>N11/'Cash Flow Analysis &amp; WACC'!E31</f>
        <v>-57.95589292881921</v>
      </c>
    </row>
    <row r="13" spans="1:14">
      <c r="A13" s="2" t="s">
        <v>11</v>
      </c>
      <c r="B13" s="23">
        <f>'Income Statement'!B12/'Income Statement'!B$4</f>
        <v>1.1734224822398663E-2</v>
      </c>
      <c r="C13" s="23">
        <f>'Income Statement'!C12/'Income Statement'!C$4</f>
        <v>9.772579203345403E-3</v>
      </c>
      <c r="D13" s="23">
        <f>'Income Statement'!D12/'Income Statement'!D$4</f>
        <v>1.193508381229247E-2</v>
      </c>
      <c r="E13" s="23">
        <f>'Income Statement'!E12/'Income Statement'!E$4</f>
        <v>1.2141084721729882E-2</v>
      </c>
      <c r="F13" s="23">
        <f>'Income Statement'!F12/'Income Statement'!F$4</f>
        <v>1.0852013892021109E-2</v>
      </c>
      <c r="G13" s="22"/>
      <c r="H13" s="30">
        <f t="shared" si="0"/>
        <v>1.1286997290357505E-2</v>
      </c>
    </row>
    <row r="14" spans="1:14">
      <c r="A14" s="2" t="s">
        <v>12</v>
      </c>
      <c r="B14" s="23">
        <f>'Income Statement'!B13/'Income Statement'!B$4</f>
        <v>2.4070204763894693E-3</v>
      </c>
      <c r="C14" s="23">
        <f>'Income Statement'!C13/'Income Statement'!C$4</f>
        <v>6.6362630869229253E-3</v>
      </c>
      <c r="D14" s="23">
        <f>'Income Statement'!D13/'Income Statement'!D$4</f>
        <v>-4.4539865846990895E-3</v>
      </c>
      <c r="E14" s="23">
        <f>'Income Statement'!E13/'Income Statement'!E$4</f>
        <v>-3.0463488124778449E-3</v>
      </c>
      <c r="F14" s="23">
        <f>'Income Statement'!F13/'Income Statement'!F$4</f>
        <v>-1.7500338279734789E-3</v>
      </c>
      <c r="G14" s="22"/>
      <c r="H14" s="30">
        <f t="shared" si="0"/>
        <v>-4.141713236760383E-5</v>
      </c>
    </row>
    <row r="15" spans="1:14">
      <c r="A15" s="2" t="s">
        <v>13</v>
      </c>
      <c r="B15" s="23">
        <f>'Income Statement'!B14/'Income Statement'!B$4</f>
        <v>-6.3351441704972838E-3</v>
      </c>
      <c r="C15" s="23">
        <f>'Income Statement'!C14/'Income Statement'!C$4</f>
        <v>-6.0908168058059729E-3</v>
      </c>
      <c r="D15" s="23">
        <f>'Income Statement'!D14/'Income Statement'!D$4</f>
        <v>-5.6274920321647175E-3</v>
      </c>
      <c r="E15" s="23">
        <f>'Income Statement'!E14/'Income Statement'!E$4</f>
        <v>-5.2618752215526409E-3</v>
      </c>
      <c r="F15" s="23">
        <f>'Income Statement'!F14/'Income Statement'!F$4</f>
        <v>-1.0915159442514996E-3</v>
      </c>
      <c r="G15" s="22"/>
      <c r="H15" s="30">
        <f t="shared" si="0"/>
        <v>-4.8813688348544231E-3</v>
      </c>
    </row>
    <row r="16" spans="1:14">
      <c r="A16" s="2" t="s">
        <v>14</v>
      </c>
      <c r="B16" s="23">
        <f>'Income Statement'!B15/'Income Statement'!B$4</f>
        <v>1.0530714584203928E-3</v>
      </c>
      <c r="C16" s="23">
        <f>'Income Statement'!C15/'Income Statement'!C$4</f>
        <v>1.2424054180997257E-3</v>
      </c>
      <c r="D16" s="23">
        <f>'Income Statement'!D15/'Income Statement'!D$4</f>
        <v>2.026963954713358E-3</v>
      </c>
      <c r="E16" s="23">
        <f>'Income Statement'!E15/'Income Statement'!E$4</f>
        <v>9.7483161999291031E-4</v>
      </c>
      <c r="F16" s="23">
        <f>'Income Statement'!F15/'Income Statement'!F$4</f>
        <v>1.4343060755040368E-3</v>
      </c>
      <c r="G16" s="22"/>
      <c r="H16" s="30">
        <f t="shared" si="0"/>
        <v>1.3463157053460848E-3</v>
      </c>
    </row>
    <row r="17" spans="1:8">
      <c r="A17" s="15" t="s">
        <v>15</v>
      </c>
      <c r="B17" s="23">
        <f>'Income Statement'!B16/'Income Statement'!B$4</f>
        <v>8.8591725867112406E-3</v>
      </c>
      <c r="C17" s="23">
        <f>'Income Statement'!C16/'Income Statement'!C$4</f>
        <v>1.1560430902562082E-2</v>
      </c>
      <c r="D17" s="23">
        <f>'Income Statement'!D16/'Income Statement'!D$4</f>
        <v>3.8805691501420207E-3</v>
      </c>
      <c r="E17" s="23">
        <f>'Income Statement'!E16/'Income Statement'!E$4</f>
        <v>4.807692307692308E-3</v>
      </c>
      <c r="F17" s="23">
        <f>'Income Statement'!F16/'Income Statement'!F$4</f>
        <v>9.4447701953001666E-3</v>
      </c>
      <c r="G17" s="22"/>
      <c r="H17" s="30">
        <f t="shared" si="0"/>
        <v>7.7105270284815643E-3</v>
      </c>
    </row>
    <row r="18" spans="1:8">
      <c r="A18" s="2" t="s">
        <v>16</v>
      </c>
      <c r="B18" s="23">
        <f>'Income Statement'!B17/'Income Statement'!B$4</f>
        <v>0.2423067279565399</v>
      </c>
      <c r="C18" s="23">
        <f>'Income Statement'!C17/'Income Statement'!C$4</f>
        <v>0.26149603793881909</v>
      </c>
      <c r="D18" s="23">
        <f>'Income Statement'!D17/'Income Statement'!D$4</f>
        <v>0.26205176759258025</v>
      </c>
      <c r="E18" s="23">
        <f>'Income Statement'!E17/'Income Statement'!E$4</f>
        <v>0.26752481389578164</v>
      </c>
      <c r="F18" s="23">
        <f>'Income Statement'!F17/'Income Statement'!F$4</f>
        <v>0.24530242208290109</v>
      </c>
      <c r="G18" s="22"/>
      <c r="H18" s="30">
        <f t="shared" si="0"/>
        <v>0.25573635389332444</v>
      </c>
    </row>
    <row r="19" spans="1:8">
      <c r="A19" s="2" t="s">
        <v>17</v>
      </c>
      <c r="B19" s="23">
        <f>'Income Statement'!B18/'Income Statement'!B$4</f>
        <v>3.8144588382783118E-2</v>
      </c>
      <c r="C19" s="23">
        <f>'Income Statement'!C18/'Income Statement'!C$4</f>
        <v>5.0468932288904714E-2</v>
      </c>
      <c r="D19" s="23">
        <f>'Income Statement'!D18/'Income Statement'!D$4</f>
        <v>4.4046460147488295E-2</v>
      </c>
      <c r="E19" s="23">
        <f>'Income Statement'!E18/'Income Statement'!E$4</f>
        <v>5.175469691598724E-2</v>
      </c>
      <c r="F19" s="23">
        <f>'Income Statement'!F18/'Income Statement'!F$4</f>
        <v>0.13108114203238463</v>
      </c>
      <c r="G19" s="22"/>
      <c r="H19" s="30">
        <v>6.3099163953509604E-2</v>
      </c>
    </row>
    <row r="20" spans="1:8">
      <c r="A20" s="2" t="s">
        <v>18</v>
      </c>
      <c r="B20" s="23">
        <f>'Income Statement'!B19/'Income Statement'!B$4</f>
        <v>1.180108650229837E-2</v>
      </c>
      <c r="C20" s="23">
        <f>'Income Statement'!C19/'Income Statement'!C$4</f>
        <v>7.8180633626763231E-3</v>
      </c>
      <c r="D20" s="23">
        <f>'Income Statement'!D19/'Income Statement'!D$4</f>
        <v>0</v>
      </c>
      <c r="E20" s="23">
        <f>'Income Statement'!E19/'Income Statement'!E$4</f>
        <v>0</v>
      </c>
      <c r="F20" s="23">
        <f>'Income Statement'!F19/'Income Statement'!F$4</f>
        <v>0</v>
      </c>
      <c r="G20" s="22"/>
      <c r="H20" s="30">
        <f t="shared" si="0"/>
        <v>3.9238299729949383E-3</v>
      </c>
    </row>
    <row r="21" spans="1:8">
      <c r="A21" s="2" t="s">
        <v>19</v>
      </c>
      <c r="B21" s="23">
        <f>'Income Statement'!B20/'Income Statement'!B$4</f>
        <v>0</v>
      </c>
      <c r="C21" s="23">
        <f>'Income Statement'!C20/'Income Statement'!C$4</f>
        <v>0</v>
      </c>
      <c r="D21" s="23">
        <f>'Income Statement'!D20/'Income Statement'!D$4</f>
        <v>0</v>
      </c>
      <c r="E21" s="23">
        <f>'Income Statement'!E20/'Income Statement'!E$4</f>
        <v>0</v>
      </c>
      <c r="F21" s="23">
        <f>'Income Statement'!F20/'Income Statement'!F$4</f>
        <v>0</v>
      </c>
      <c r="G21" s="22"/>
      <c r="H21" s="30">
        <f t="shared" si="0"/>
        <v>0</v>
      </c>
    </row>
    <row r="22" spans="1:8">
      <c r="A22" s="2" t="s">
        <v>20</v>
      </c>
      <c r="B22" s="23">
        <f>'Income Statement'!B21/'Income Statement'!B$4</f>
        <v>0</v>
      </c>
      <c r="C22" s="23">
        <f>'Income Statement'!C21/'Income Statement'!C$4</f>
        <v>0</v>
      </c>
      <c r="D22" s="23">
        <f>'Income Statement'!D21/'Income Statement'!D$4</f>
        <v>0</v>
      </c>
      <c r="E22" s="23">
        <f>'Income Statement'!E21/'Income Statement'!E$4</f>
        <v>0</v>
      </c>
      <c r="F22" s="23">
        <f>'Income Statement'!F21/'Income Statement'!F$4</f>
        <v>0</v>
      </c>
      <c r="G22" s="22"/>
      <c r="H22" s="30">
        <f t="shared" si="0"/>
        <v>0</v>
      </c>
    </row>
    <row r="23" spans="1:8" ht="14" thickBot="1">
      <c r="A23" s="13" t="s">
        <v>21</v>
      </c>
      <c r="B23" s="23">
        <f>'Income Statement'!B22/'Income Statement'!B$4</f>
        <v>0.21596322607605517</v>
      </c>
      <c r="C23" s="23">
        <f>'Income Statement'!C22/'Income Statement'!C$4</f>
        <v>0.21884516901259071</v>
      </c>
      <c r="D23" s="23">
        <f>'Income Statement'!D22/'Income Statement'!D$4</f>
        <v>0.21800530744509194</v>
      </c>
      <c r="E23" s="23">
        <f>'Income Statement'!E22/'Income Statement'!E$4</f>
        <v>0.2157701169797944</v>
      </c>
      <c r="F23" s="23">
        <f>'Income Statement'!F22/'Income Statement'!F$4</f>
        <v>0.11422128005051645</v>
      </c>
      <c r="G23" s="22"/>
      <c r="H23" s="30">
        <f t="shared" si="0"/>
        <v>0.19656101991280975</v>
      </c>
    </row>
    <row r="24" spans="1:8" ht="14" thickTop="1">
      <c r="A24" s="14" t="s">
        <v>22</v>
      </c>
      <c r="B24" s="23">
        <f>'Income Statement'!B23/'Income Statement'!B$4</f>
        <v>0</v>
      </c>
      <c r="C24" s="23">
        <f>'Income Statement'!C23/'Income Statement'!C$4</f>
        <v>0</v>
      </c>
      <c r="D24" s="23">
        <f>'Income Statement'!D23/'Income Statement'!D$4</f>
        <v>-6.9610209497392951E-3</v>
      </c>
      <c r="E24" s="23">
        <f>'Income Statement'!E23/'Income Statement'!E$4</f>
        <v>0</v>
      </c>
      <c r="F24" s="23">
        <f>'Income Statement'!F23/'Income Statement'!F$4</f>
        <v>0</v>
      </c>
      <c r="G24" s="22"/>
      <c r="H24" s="30">
        <f t="shared" si="0"/>
        <v>-1.3922041899478591E-3</v>
      </c>
    </row>
    <row r="25" spans="1:8">
      <c r="A25" s="2" t="s">
        <v>23</v>
      </c>
      <c r="B25" s="23">
        <f>'Income Statement'!B24/'Income Statement'!B$4</f>
        <v>0.21596322607605517</v>
      </c>
      <c r="C25" s="23">
        <f>'Income Statement'!C24/'Income Statement'!C$4</f>
        <v>0.21884516901259071</v>
      </c>
      <c r="D25" s="23">
        <f>'Income Statement'!D24/'Income Statement'!D$4</f>
        <v>0.21104428649535265</v>
      </c>
      <c r="E25" s="23">
        <f>'Income Statement'!E24/'Income Statement'!E$4</f>
        <v>0.2157701169797944</v>
      </c>
      <c r="F25" s="23">
        <f>'Income Statement'!F24/'Income Statement'!F$4</f>
        <v>0.11422128005051645</v>
      </c>
      <c r="G25" s="22"/>
      <c r="H25" s="30">
        <f t="shared" si="0"/>
        <v>0.19516881572286188</v>
      </c>
    </row>
    <row r="27" spans="1:8">
      <c r="A27" s="21"/>
      <c r="B27" s="294" t="s">
        <v>96</v>
      </c>
      <c r="C27" s="295"/>
      <c r="D27" s="295"/>
      <c r="E27" s="295"/>
      <c r="F27" s="295"/>
      <c r="G27" s="295"/>
      <c r="H27" s="295"/>
    </row>
    <row r="28" spans="1:8">
      <c r="A28" s="31"/>
      <c r="B28" s="21">
        <v>2013</v>
      </c>
      <c r="C28" s="21">
        <v>2014</v>
      </c>
      <c r="D28" s="21">
        <v>2015</v>
      </c>
      <c r="E28" s="21">
        <v>2016</v>
      </c>
      <c r="F28" s="21">
        <v>2017</v>
      </c>
      <c r="G28" s="28" t="s">
        <v>94</v>
      </c>
      <c r="H28" s="29" t="s">
        <v>93</v>
      </c>
    </row>
    <row r="29" spans="1:8">
      <c r="A29" s="2" t="s">
        <v>32</v>
      </c>
      <c r="B29" s="32">
        <f>'Balance Sheet'!B4/'Income Statement'!B$4</f>
        <v>0.31588800668616801</v>
      </c>
      <c r="C29" s="32">
        <f>'Balance Sheet'!C4/'Income Statement'!C$4</f>
        <v>0.27798063665702033</v>
      </c>
      <c r="D29" s="32">
        <f>'Balance Sheet'!D4/'Income Statement'!D$4</f>
        <v>0.22068570056941686</v>
      </c>
      <c r="E29" s="32">
        <f>'Balance Sheet'!E4/'Income Statement'!E$4</f>
        <v>0.14310085076214107</v>
      </c>
      <c r="F29" s="32">
        <f>'Balance Sheet'!F4/'Income Statement'!F$4</f>
        <v>9.6657796220287764E-2</v>
      </c>
      <c r="G29" s="22"/>
      <c r="H29" s="30">
        <f>AVERAGE(B29:F29)</f>
        <v>0.21086259817900679</v>
      </c>
    </row>
    <row r="30" spans="1:8">
      <c r="A30" s="2" t="s">
        <v>33</v>
      </c>
      <c r="B30" s="32">
        <f>'Balance Sheet'!B5/'Income Statement'!B$4</f>
        <v>0.66559130798161303</v>
      </c>
      <c r="C30" s="32">
        <f>'Balance Sheet'!C5/'Income Statement'!C$4</f>
        <v>0.69768639869092897</v>
      </c>
      <c r="D30" s="32">
        <f>'Balance Sheet'!D5/'Income Statement'!D$4</f>
        <v>0.75367053834562403</v>
      </c>
      <c r="E30" s="32">
        <f>'Balance Sheet'!E5/'Income Statement'!E$4</f>
        <v>0.81326435661113083</v>
      </c>
      <c r="F30" s="32">
        <f>'Balance Sheet'!F5/'Income Statement'!F$4</f>
        <v>0.82229940011727032</v>
      </c>
      <c r="G30" s="22"/>
      <c r="H30" s="30">
        <f t="shared" ref="H30:H50" si="1">AVERAGE(B30:F30)</f>
        <v>0.75050240034931337</v>
      </c>
    </row>
    <row r="31" spans="1:8">
      <c r="A31" s="12" t="s">
        <v>34</v>
      </c>
      <c r="B31" s="32">
        <f>'Balance Sheet'!B6/'Income Statement'!B$4</f>
        <v>0.98147931466778104</v>
      </c>
      <c r="C31" s="32">
        <f>'Balance Sheet'!C6/'Income Statement'!C$4</f>
        <v>0.9756670353479493</v>
      </c>
      <c r="D31" s="32">
        <f>'Balance Sheet'!D6/'Income Statement'!D$4</f>
        <v>0.97435623891504086</v>
      </c>
      <c r="E31" s="32">
        <f>'Balance Sheet'!E6/'Income Statement'!E$4</f>
        <v>0.95636520737327191</v>
      </c>
      <c r="F31" s="32">
        <f>'Balance Sheet'!F6/'Income Statement'!F$4</f>
        <v>0.91895719633755812</v>
      </c>
      <c r="G31" s="22"/>
      <c r="H31" s="30">
        <f t="shared" si="1"/>
        <v>0.96136499852832036</v>
      </c>
    </row>
    <row r="32" spans="1:8">
      <c r="A32" s="2" t="s">
        <v>35</v>
      </c>
      <c r="B32" s="32">
        <f>'Balance Sheet'!B7/'Income Statement'!B$4</f>
        <v>0.15013790221479315</v>
      </c>
      <c r="C32" s="32">
        <f>'Balance Sheet'!C7/'Income Statement'!C$4</f>
        <v>0.15542188754715838</v>
      </c>
      <c r="D32" s="32">
        <f>'Balance Sheet'!D7/'Income Statement'!D$4</f>
        <v>0.16010348184400378</v>
      </c>
      <c r="E32" s="32">
        <f>'Balance Sheet'!E7/'Income Statement'!E$4</f>
        <v>0.15660448422545198</v>
      </c>
      <c r="F32" s="32">
        <f>'Balance Sheet'!F7/'Income Statement'!F$4</f>
        <v>0.16540525912227685</v>
      </c>
      <c r="G32" s="22"/>
      <c r="H32" s="30">
        <f t="shared" si="1"/>
        <v>0.15753460299073685</v>
      </c>
    </row>
    <row r="33" spans="1:8">
      <c r="A33" s="2" t="s">
        <v>36</v>
      </c>
      <c r="B33" s="32">
        <f>'Balance Sheet'!B8/'Income Statement'!B$4</f>
        <v>7.1207689093188463E-3</v>
      </c>
      <c r="C33" s="32">
        <f>IFERROR('Balance Sheet'!C8/'Income Statement'!C$4,0)</f>
        <v>0</v>
      </c>
      <c r="D33" s="32">
        <f>IFERROR('Balance Sheet'!D8/'Income Statement'!D$4,0)</f>
        <v>0</v>
      </c>
      <c r="E33" s="32">
        <f>'Balance Sheet'!E8/'Income Statement'!E$4</f>
        <v>2.9688053881602268E-3</v>
      </c>
      <c r="F33" s="32">
        <f>'Balance Sheet'!F8/'Income Statement'!F$4</f>
        <v>6.7565739028460602E-3</v>
      </c>
      <c r="G33" s="22"/>
      <c r="H33" s="30">
        <f t="shared" si="1"/>
        <v>3.3692296400650266E-3</v>
      </c>
    </row>
    <row r="34" spans="1:8">
      <c r="A34" s="2" t="s">
        <v>37</v>
      </c>
      <c r="B34" s="32">
        <f>'Balance Sheet'!B9/'Income Statement'!B$4</f>
        <v>3.232762223150857E-2</v>
      </c>
      <c r="C34" s="32">
        <f>'Balance Sheet'!C9/'Income Statement'!C$4</f>
        <v>3.9696368236844894E-2</v>
      </c>
      <c r="D34" s="32">
        <f>'Balance Sheet'!D9/'Income Statement'!D$4</f>
        <v>2.5377055301444212E-2</v>
      </c>
      <c r="E34" s="32">
        <f>'Balance Sheet'!E9/'Income Statement'!E$4</f>
        <v>1.0523750443105283E-3</v>
      </c>
      <c r="F34" s="32">
        <f>'Balance Sheet'!F9/'Income Statement'!F$4</f>
        <v>3.328672590320689E-3</v>
      </c>
      <c r="G34" s="22"/>
      <c r="H34" s="30">
        <f t="shared" si="1"/>
        <v>2.0356418680885776E-2</v>
      </c>
    </row>
    <row r="35" spans="1:8">
      <c r="A35" s="2" t="s">
        <v>38</v>
      </c>
      <c r="B35" s="32">
        <f>'Balance Sheet'!B10/'Income Statement'!B$4</f>
        <v>4.7254492269118265E-2</v>
      </c>
      <c r="C35" s="32">
        <f>'Balance Sheet'!C10/'Income Statement'!C$4</f>
        <v>5.1696186421417857E-2</v>
      </c>
      <c r="D35" s="32">
        <f>'Balance Sheet'!D10/'Income Statement'!D$4</f>
        <v>4.1859472722665991E-2</v>
      </c>
      <c r="E35" s="32">
        <f>'Balance Sheet'!E10/'Income Statement'!E$4</f>
        <v>5.0680166607585959E-2</v>
      </c>
      <c r="F35" s="32">
        <f>'Balance Sheet'!F10/'Income Statement'!F$4</f>
        <v>2.6909025303324161E-2</v>
      </c>
      <c r="G35" s="22"/>
      <c r="H35" s="30">
        <f t="shared" si="1"/>
        <v>4.3679868664822444E-2</v>
      </c>
    </row>
    <row r="36" spans="1:8">
      <c r="A36" s="12" t="s">
        <v>39</v>
      </c>
      <c r="B36" s="32">
        <f>'Balance Sheet'!B11/'Income Statement'!B$4</f>
        <v>1.2183201002925199</v>
      </c>
      <c r="C36" s="32">
        <f>'Balance Sheet'!C11/'Income Statement'!C$4</f>
        <v>1.2224814775533703</v>
      </c>
      <c r="D36" s="32">
        <f>'Balance Sheet'!D11/'Income Statement'!D$4</f>
        <v>1.2016962487831548</v>
      </c>
      <c r="E36" s="32">
        <f>'Balance Sheet'!E11/'Income Statement'!E$4</f>
        <v>1.1676710386387805</v>
      </c>
      <c r="F36" s="32">
        <f>'Balance Sheet'!F11/'Income Statement'!F$4</f>
        <v>1.1213567272563258</v>
      </c>
      <c r="G36" s="22"/>
      <c r="H36" s="30">
        <f t="shared" si="1"/>
        <v>1.1863051185048303</v>
      </c>
    </row>
    <row r="37" spans="1:8">
      <c r="A37" s="2" t="s">
        <v>40</v>
      </c>
      <c r="B37" s="32">
        <f>'Balance Sheet'!B12/'Income Statement'!B$4</f>
        <v>0.39844546594233182</v>
      </c>
      <c r="C37" s="32">
        <f>'Balance Sheet'!C12/'Income Statement'!C$4</f>
        <v>0.49614399781821489</v>
      </c>
      <c r="D37" s="32">
        <f>'Balance Sheet'!D12/'Income Statement'!D$4</f>
        <v>0.53535851924948996</v>
      </c>
      <c r="E37" s="32">
        <f>'Balance Sheet'!E12/'Income Statement'!E$4</f>
        <v>0.52648661822048914</v>
      </c>
      <c r="F37" s="32">
        <f>'Balance Sheet'!F12/'Income Statement'!F$4</f>
        <v>0.53806323575842319</v>
      </c>
      <c r="G37" s="22"/>
      <c r="H37" s="30">
        <f t="shared" si="1"/>
        <v>0.49889956739778984</v>
      </c>
    </row>
    <row r="38" spans="1:8">
      <c r="A38" s="2" t="s">
        <v>41</v>
      </c>
      <c r="B38" s="32">
        <f>'Balance Sheet'!B13/'Income Statement'!B$4</f>
        <v>0.1222398662766402</v>
      </c>
      <c r="C38" s="32">
        <f>'Balance Sheet'!C13/'Income Statement'!C$4</f>
        <v>0.13428584415387645</v>
      </c>
      <c r="D38" s="32">
        <f>'Balance Sheet'!D13/'Income Statement'!D$4</f>
        <v>0.14842176852605049</v>
      </c>
      <c r="E38" s="32">
        <f>'Balance Sheet'!E13/'Income Statement'!E$4</f>
        <v>0.14725496277915634</v>
      </c>
      <c r="F38" s="32">
        <f>'Balance Sheet'!F13/'Income Statement'!F$4</f>
        <v>0.15573496910378423</v>
      </c>
      <c r="G38" s="22"/>
      <c r="H38" s="30">
        <f t="shared" si="1"/>
        <v>0.14158748216790154</v>
      </c>
    </row>
    <row r="39" spans="1:8">
      <c r="A39" s="12" t="s">
        <v>42</v>
      </c>
      <c r="B39" s="32">
        <f>'Balance Sheet'!B14/'Income Statement'!B$4</f>
        <v>0.27620559966569158</v>
      </c>
      <c r="C39" s="32">
        <f>'Balance Sheet'!C14/'Income Statement'!C$4</f>
        <v>0.36185815366433843</v>
      </c>
      <c r="D39" s="32">
        <f>'Balance Sheet'!D14/'Income Statement'!D$4</f>
        <v>0.38693675072343942</v>
      </c>
      <c r="E39" s="32">
        <f>'Balance Sheet'!E14/'Income Statement'!E$4</f>
        <v>0.37923165544133286</v>
      </c>
      <c r="F39" s="32">
        <f>'Balance Sheet'!F14/'Income Statement'!F$4</f>
        <v>0.38232826665463893</v>
      </c>
      <c r="G39" s="22"/>
      <c r="H39" s="30">
        <f t="shared" si="1"/>
        <v>0.35731208522988822</v>
      </c>
    </row>
    <row r="40" spans="1:8">
      <c r="A40" s="2" t="s">
        <v>43</v>
      </c>
      <c r="B40" s="32">
        <f>'Balance Sheet'!B15/'Income Statement'!B$4</f>
        <v>3.3029669870455497E-2</v>
      </c>
      <c r="C40" s="32">
        <f>'Balance Sheet'!C15/'Income Statement'!C$4</f>
        <v>4.6650808321086042E-2</v>
      </c>
      <c r="D40" s="32">
        <f>'Balance Sheet'!D15/'Income Statement'!D$4</f>
        <v>6.9116803797890355E-2</v>
      </c>
      <c r="E40" s="32">
        <f>'Balance Sheet'!E15/'Income Statement'!E$4</f>
        <v>6.5114321162708266E-2</v>
      </c>
      <c r="F40" s="32">
        <f>'Balance Sheet'!F15/'Income Statement'!F$4</f>
        <v>7.0479455144107167E-2</v>
      </c>
      <c r="G40" s="22"/>
      <c r="H40" s="30">
        <f t="shared" si="1"/>
        <v>5.6878211659249465E-2</v>
      </c>
    </row>
    <row r="41" spans="1:8">
      <c r="A41" s="2" t="s">
        <v>44</v>
      </c>
      <c r="B41" s="32">
        <f>'Balance Sheet'!B16/'Income Statement'!B$4</f>
        <v>0.293489343919766</v>
      </c>
      <c r="C41" s="32">
        <f>'Balance Sheet'!C16/'Income Statement'!C$4</f>
        <v>0.3061468765624763</v>
      </c>
      <c r="D41" s="32">
        <f>'Balance Sheet'!D16/'Income Statement'!D$4</f>
        <v>0.26291856138900371</v>
      </c>
      <c r="E41" s="32">
        <f>'Balance Sheet'!E16/'Income Statement'!E$4</f>
        <v>0.21906017369727046</v>
      </c>
      <c r="F41" s="32">
        <f>'Balance Sheet'!F16/'Income Statement'!F$4</f>
        <v>0.17535519372152814</v>
      </c>
      <c r="G41" s="22"/>
      <c r="H41" s="30">
        <f t="shared" si="1"/>
        <v>0.2513940298580089</v>
      </c>
    </row>
    <row r="42" spans="1:8">
      <c r="A42" s="2" t="s">
        <v>45</v>
      </c>
      <c r="B42" s="32">
        <f>IFERROR('Balance Sheet'!B17/'Income Statement'!B$4,0)</f>
        <v>0</v>
      </c>
      <c r="C42" s="32">
        <f>IFERROR('Balance Sheet'!C17/'Income Statement'!C$4,0)</f>
        <v>0</v>
      </c>
      <c r="D42" s="32">
        <f>'Balance Sheet'!D17/'Income Statement'!D$4</f>
        <v>3.34715758311219E-3</v>
      </c>
      <c r="E42" s="32">
        <f>'Balance Sheet'!E17/'Income Statement'!E$4</f>
        <v>4.2427330733782343E-3</v>
      </c>
      <c r="F42" s="32">
        <f>'Balance Sheet'!F17/'Income Statement'!F$4</f>
        <v>6.1341391908348742E-3</v>
      </c>
      <c r="G42" s="22"/>
      <c r="H42" s="30">
        <f t="shared" si="1"/>
        <v>2.7448059694650598E-3</v>
      </c>
    </row>
    <row r="43" spans="1:8">
      <c r="A43" s="2" t="s">
        <v>46</v>
      </c>
      <c r="B43" s="32">
        <f>'Balance Sheet'!B18/'Income Statement'!B$4</f>
        <v>3.3029669870455497E-2</v>
      </c>
      <c r="C43" s="32">
        <f>'Balance Sheet'!C18/'Income Statement'!C$4</f>
        <v>4.969621672398903E-2</v>
      </c>
      <c r="D43" s="32">
        <f>'Balance Sheet'!D18/'Income Statement'!D$4</f>
        <v>4.2419554868047313E-2</v>
      </c>
      <c r="E43" s="32">
        <f>'Balance Sheet'!E18/'Income Statement'!E$4</f>
        <v>2.0150212690535272E-2</v>
      </c>
      <c r="F43" s="32">
        <f>'Balance Sheet'!F18/'Income Statement'!F$4</f>
        <v>2.4103558702809978E-2</v>
      </c>
      <c r="G43" s="22"/>
      <c r="H43" s="30">
        <f t="shared" si="1"/>
        <v>3.3879842571167419E-2</v>
      </c>
    </row>
    <row r="44" spans="1:8" ht="14" thickBot="1">
      <c r="A44" s="13" t="s">
        <v>47</v>
      </c>
      <c r="B44" s="32">
        <f>'Balance Sheet'!B19/'Income Statement'!B$4</f>
        <v>1.8540743836188884</v>
      </c>
      <c r="C44" s="32">
        <f>'Balance Sheet'!C19/'Income Statement'!C$4</f>
        <v>1.9868335328252602</v>
      </c>
      <c r="D44" s="32">
        <f>'Balance Sheet'!D19/'Income Statement'!D$4</f>
        <v>1.9664350771446479</v>
      </c>
      <c r="E44" s="32">
        <f>'Balance Sheet'!E19/'Income Statement'!E$4</f>
        <v>1.8554701347040057</v>
      </c>
      <c r="F44" s="32">
        <f>'Balance Sheet'!F19/'Income Statement'!F$4</f>
        <v>1.7797573406702449</v>
      </c>
      <c r="G44" s="22"/>
      <c r="H44" s="30">
        <f t="shared" si="1"/>
        <v>1.8885140937926095</v>
      </c>
    </row>
    <row r="45" spans="1:8" ht="14" thickTop="1">
      <c r="A45" s="2" t="s">
        <v>48</v>
      </c>
      <c r="B45" s="32">
        <f>'Balance Sheet'!B20/'Income Statement'!B$4</f>
        <v>0.1117258671124112</v>
      </c>
      <c r="C45" s="32">
        <f>'Balance Sheet'!C20/'Income Statement'!C$4</f>
        <v>0.1020590597112165</v>
      </c>
      <c r="D45" s="32">
        <f>'Balance Sheet'!D20/'Income Statement'!D$4</f>
        <v>0.10400192028164131</v>
      </c>
      <c r="E45" s="32">
        <f>'Balance Sheet'!E20/'Income Statement'!E$4</f>
        <v>9.9244505494505489E-2</v>
      </c>
      <c r="F45" s="32">
        <f>'Balance Sheet'!F20/'Income Statement'!F$4</f>
        <v>0.10548013170357674</v>
      </c>
      <c r="G45" s="22"/>
      <c r="H45" s="30">
        <f t="shared" si="1"/>
        <v>0.10450229686067025</v>
      </c>
    </row>
    <row r="46" spans="1:8">
      <c r="A46" s="2" t="s">
        <v>49</v>
      </c>
      <c r="B46" s="32">
        <f>'Balance Sheet'!B21/'Income Statement'!B$4</f>
        <v>4.1002925198495611E-2</v>
      </c>
      <c r="C46" s="32">
        <f>'Balance Sheet'!C21/'Income Statement'!C$4</f>
        <v>2.5984454780988167E-2</v>
      </c>
      <c r="D46" s="32">
        <f>'Balance Sheet'!D21/'Income Statement'!D$4</f>
        <v>2.5750443398365092E-2</v>
      </c>
      <c r="E46" s="32">
        <f>'Balance Sheet'!E21/'Income Statement'!E$4</f>
        <v>2.2609447004608294E-2</v>
      </c>
      <c r="F46" s="32">
        <f>'Balance Sheet'!F21/'Income Statement'!F$4</f>
        <v>2.8298227414189706E-2</v>
      </c>
      <c r="G46" s="22"/>
      <c r="H46" s="30">
        <f t="shared" si="1"/>
        <v>2.8729099559329375E-2</v>
      </c>
    </row>
    <row r="47" spans="1:8">
      <c r="A47" s="12" t="s">
        <v>50</v>
      </c>
      <c r="B47" s="32">
        <f>'Balance Sheet'!B22/'Income Statement'!B$4</f>
        <v>7.0722941913915593E-2</v>
      </c>
      <c r="C47" s="32">
        <f>'Balance Sheet'!C22/'Income Statement'!C$4</f>
        <v>7.6074604930228329E-2</v>
      </c>
      <c r="D47" s="32">
        <f>'Balance Sheet'!D22/'Income Statement'!D$4</f>
        <v>7.8251476883276216E-2</v>
      </c>
      <c r="E47" s="32">
        <f>'Balance Sheet'!E22/'Income Statement'!E$4</f>
        <v>7.6635058489897198E-2</v>
      </c>
      <c r="F47" s="32">
        <f>'Balance Sheet'!F22/'Income Statement'!F$4</f>
        <v>7.7181904289387038E-2</v>
      </c>
      <c r="G47" s="22"/>
      <c r="H47" s="30">
        <f t="shared" si="1"/>
        <v>7.5773197301340883E-2</v>
      </c>
    </row>
    <row r="48" spans="1:8">
      <c r="A48" s="2" t="s">
        <v>51</v>
      </c>
      <c r="B48" s="32">
        <f>'Balance Sheet'!B23/'Income Statement'!B$4</f>
        <v>5.029669870455495E-2</v>
      </c>
      <c r="C48" s="32">
        <f>'Balance Sheet'!C23/'Income Statement'!C$4</f>
        <v>3.0438932743443281E-2</v>
      </c>
      <c r="D48" s="32">
        <f>'Balance Sheet'!D23/'Income Statement'!D$4</f>
        <v>4.3006307591780125E-2</v>
      </c>
      <c r="E48" s="32">
        <f>'Balance Sheet'!E23/'Income Statement'!E$4</f>
        <v>0</v>
      </c>
      <c r="F48" s="32">
        <f>IFERROR('Balance Sheet'!F23/'Income Statement'!F$4,0)</f>
        <v>0</v>
      </c>
      <c r="G48" s="22"/>
      <c r="H48" s="30">
        <f t="shared" si="1"/>
        <v>2.4748387807955668E-2</v>
      </c>
    </row>
    <row r="49" spans="1:8">
      <c r="A49" s="2" t="s">
        <v>52</v>
      </c>
      <c r="B49" s="32">
        <f>'Balance Sheet'!B24/'Income Statement'!B$4</f>
        <v>0.10388633514417049</v>
      </c>
      <c r="C49" s="32">
        <f>'Balance Sheet'!C24/'Income Statement'!C$4</f>
        <v>0.12211936182785109</v>
      </c>
      <c r="D49" s="32">
        <f>'Balance Sheet'!D24/'Income Statement'!D$4</f>
        <v>0.11049620611022951</v>
      </c>
      <c r="E49" s="32">
        <f>'Balance Sheet'!E24/'Income Statement'!E$4</f>
        <v>8.6372297057780933E-2</v>
      </c>
      <c r="F49" s="32">
        <f>'Balance Sheet'!F24/'Income Statement'!F$4</f>
        <v>0.11266970366695232</v>
      </c>
      <c r="G49" s="22"/>
      <c r="H49" s="30">
        <f t="shared" si="1"/>
        <v>0.10710878076139688</v>
      </c>
    </row>
    <row r="50" spans="1:8">
      <c r="A50" s="12" t="s">
        <v>53</v>
      </c>
      <c r="B50" s="32">
        <f>'Balance Sheet'!B25/'Income Statement'!B$4</f>
        <v>0.26590890096113667</v>
      </c>
      <c r="C50" s="32">
        <f>'Balance Sheet'!C25/'Income Statement'!C$4</f>
        <v>0.25461735428251087</v>
      </c>
      <c r="D50" s="32">
        <f>'Balance Sheet'!D25/'Income Statement'!D$4</f>
        <v>0.25750443398365092</v>
      </c>
      <c r="E50" s="32">
        <f>'Balance Sheet'!E25/'Income Statement'!E$4</f>
        <v>0.18561680255228644</v>
      </c>
      <c r="F50" s="32">
        <f>'Balance Sheet'!F25/'Income Statement'!F$4</f>
        <v>0.21814983537052907</v>
      </c>
      <c r="G50" s="22"/>
      <c r="H50" s="30">
        <f t="shared" si="1"/>
        <v>0.23635946543002281</v>
      </c>
    </row>
  </sheetData>
  <scenarios current="3" sqref="J12:N12">
    <scenario name="Pessimistic Outlook " locked="1" count="1" user="Zavala Castillo, Jose R" comment="Created by Zavala Castillo, Jose R on 12/15/2018">
      <inputCells r="H2" val="0.1032"/>
    </scenario>
    <scenario name="Optimistic Outlook" locked="1" count="1" user="Zavala Castillo, Jose R" comment="Created by Zavala Castillo, Jose R on 12/15/2018">
      <inputCells r="H2" val="0.228" numFmtId="10"/>
    </scenario>
    <scenario name="GOOD" locked="1" count="3" user="Zavala Castillo, Jose R" comment="Created by Zavala Castillo, Jose R on 12/15/2018_x000a_Modified by Zavala Castillo, Jose R on 12/15/2018">
      <inputCells r="H5" val="1.1"/>
      <inputCells r="H6" val="0.2"/>
      <inputCells r="H19" val="0.054"/>
    </scenario>
    <scenario name="BAD" locked="1" count="3" user="Zavala Castillo, Jose R" comment="Created by Zavala Castillo, Jose R on 12/15/2018">
      <inputCells r="H5" val="0.5" numFmtId="9"/>
      <inputCells r="H6" val="0.6" numFmtId="9"/>
      <inputCells r="H19" val="0.066" numFmtId="9"/>
    </scenario>
  </scenarios>
  <mergeCells count="2">
    <mergeCell ref="B3:H3"/>
    <mergeCell ref="B27:H27"/>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00000000-0003-0000-0100-000000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Assumptions!B29:F29</xm:f>
              <xm:sqref>G29</xm:sqref>
            </x14:sparkline>
            <x14:sparkline>
              <xm:f>Assumptions!B30:F30</xm:f>
              <xm:sqref>G30</xm:sqref>
            </x14:sparkline>
            <x14:sparkline>
              <xm:f>Assumptions!B31:F31</xm:f>
              <xm:sqref>G31</xm:sqref>
            </x14:sparkline>
            <x14:sparkline>
              <xm:f>Assumptions!B32:F32</xm:f>
              <xm:sqref>G32</xm:sqref>
            </x14:sparkline>
            <x14:sparkline>
              <xm:f>Assumptions!B33:F33</xm:f>
              <xm:sqref>G33</xm:sqref>
            </x14:sparkline>
            <x14:sparkline>
              <xm:f>Assumptions!B34:F34</xm:f>
              <xm:sqref>G34</xm:sqref>
            </x14:sparkline>
            <x14:sparkline>
              <xm:f>Assumptions!B35:F35</xm:f>
              <xm:sqref>G35</xm:sqref>
            </x14:sparkline>
            <x14:sparkline>
              <xm:f>Assumptions!B36:F36</xm:f>
              <xm:sqref>G36</xm:sqref>
            </x14:sparkline>
            <x14:sparkline>
              <xm:f>Assumptions!B37:F37</xm:f>
              <xm:sqref>G37</xm:sqref>
            </x14:sparkline>
            <x14:sparkline>
              <xm:f>Assumptions!B38:F38</xm:f>
              <xm:sqref>G38</xm:sqref>
            </x14:sparkline>
            <x14:sparkline>
              <xm:f>Assumptions!B39:F39</xm:f>
              <xm:sqref>G39</xm:sqref>
            </x14:sparkline>
            <x14:sparkline>
              <xm:f>Assumptions!B40:F40</xm:f>
              <xm:sqref>G40</xm:sqref>
            </x14:sparkline>
            <x14:sparkline>
              <xm:f>Assumptions!B41:F41</xm:f>
              <xm:sqref>G41</xm:sqref>
            </x14:sparkline>
            <x14:sparkline>
              <xm:f>Assumptions!B42:F42</xm:f>
              <xm:sqref>G42</xm:sqref>
            </x14:sparkline>
            <x14:sparkline>
              <xm:f>Assumptions!B43:F43</xm:f>
              <xm:sqref>G43</xm:sqref>
            </x14:sparkline>
            <x14:sparkline>
              <xm:f>Assumptions!B44:F44</xm:f>
              <xm:sqref>G44</xm:sqref>
            </x14:sparkline>
            <x14:sparkline>
              <xm:f>Assumptions!B45:F45</xm:f>
              <xm:sqref>G45</xm:sqref>
            </x14:sparkline>
            <x14:sparkline>
              <xm:f>Assumptions!B46:F46</xm:f>
              <xm:sqref>G46</xm:sqref>
            </x14:sparkline>
            <x14:sparkline>
              <xm:f>Assumptions!B47:F47</xm:f>
              <xm:sqref>G47</xm:sqref>
            </x14:sparkline>
            <x14:sparkline>
              <xm:f>Assumptions!B48:F48</xm:f>
              <xm:sqref>G48</xm:sqref>
            </x14:sparkline>
            <x14:sparkline>
              <xm:f>Assumptions!B49:F49</xm:f>
              <xm:sqref>G49</xm:sqref>
            </x14:sparkline>
            <x14:sparkline>
              <xm:f>Assumptions!B50:F50</xm:f>
              <xm:sqref>G50</xm:sqref>
            </x14:sparkline>
          </x14:sparklines>
        </x14:sparklineGroup>
        <x14:sparklineGroup displayEmptyCellsAs="gap" xr2:uid="{00000000-0003-0000-0100-000001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Assumptions!B5:F5</xm:f>
              <xm:sqref>G5</xm:sqref>
            </x14:sparkline>
            <x14:sparkline>
              <xm:f>Assumptions!B6:F6</xm:f>
              <xm:sqref>G6</xm:sqref>
            </x14:sparkline>
            <x14:sparkline>
              <xm:f>Assumptions!B7:F7</xm:f>
              <xm:sqref>G7</xm:sqref>
            </x14:sparkline>
            <x14:sparkline>
              <xm:f>Assumptions!B8:F8</xm:f>
              <xm:sqref>G8</xm:sqref>
            </x14:sparkline>
            <x14:sparkline>
              <xm:f>Assumptions!B9:F9</xm:f>
              <xm:sqref>G9</xm:sqref>
            </x14:sparkline>
            <x14:sparkline>
              <xm:f>Assumptions!B10:F10</xm:f>
              <xm:sqref>G10</xm:sqref>
            </x14:sparkline>
            <x14:sparkline>
              <xm:f>Assumptions!B11:F11</xm:f>
              <xm:sqref>G11</xm:sqref>
            </x14:sparkline>
            <x14:sparkline>
              <xm:f>Assumptions!B12:F12</xm:f>
              <xm:sqref>G12</xm:sqref>
            </x14:sparkline>
            <x14:sparkline>
              <xm:f>Assumptions!B13:F13</xm:f>
              <xm:sqref>G13</xm:sqref>
            </x14:sparkline>
            <x14:sparkline>
              <xm:f>Assumptions!B14:F14</xm:f>
              <xm:sqref>G14</xm:sqref>
            </x14:sparkline>
            <x14:sparkline>
              <xm:f>Assumptions!B15:F15</xm:f>
              <xm:sqref>G15</xm:sqref>
            </x14:sparkline>
            <x14:sparkline>
              <xm:f>Assumptions!B16:F16</xm:f>
              <xm:sqref>G16</xm:sqref>
            </x14:sparkline>
            <x14:sparkline>
              <xm:f>Assumptions!B17:F17</xm:f>
              <xm:sqref>G17</xm:sqref>
            </x14:sparkline>
            <x14:sparkline>
              <xm:f>Assumptions!B18:F18</xm:f>
              <xm:sqref>G18</xm:sqref>
            </x14:sparkline>
            <x14:sparkline>
              <xm:f>Assumptions!B19:F19</xm:f>
              <xm:sqref>G19</xm:sqref>
            </x14:sparkline>
            <x14:sparkline>
              <xm:f>Assumptions!B20:F20</xm:f>
              <xm:sqref>G20</xm:sqref>
            </x14:sparkline>
            <x14:sparkline>
              <xm:f>Assumptions!B21:F21</xm:f>
              <xm:sqref>G21</xm:sqref>
            </x14:sparkline>
            <x14:sparkline>
              <xm:f>Assumptions!B22:F22</xm:f>
              <xm:sqref>G22</xm:sqref>
            </x14:sparkline>
            <x14:sparkline>
              <xm:f>Assumptions!B23:F23</xm:f>
              <xm:sqref>G23</xm:sqref>
            </x14:sparkline>
            <x14:sparkline>
              <xm:f>Assumptions!B24:F24</xm:f>
              <xm:sqref>G24</xm:sqref>
            </x14:sparkline>
            <x14:sparkline>
              <xm:f>Assumptions!B25:F25</xm:f>
              <xm:sqref>G25</xm:sqref>
            </x14:sparkline>
          </x14:sparklines>
        </x14:sparklineGroup>
        <x14:sparklineGroup displayEmptyCellsAs="gap" xr2:uid="{00000000-0003-0000-0100-000002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Assumptions!C2:F2</xm:f>
              <xm:sqref>G2</xm:sqref>
            </x14:sparkline>
          </x14:sparklines>
        </x14:sparklineGroup>
      </x14:sparklineGroup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Y32"/>
  <sheetViews>
    <sheetView zoomScale="90" zoomScaleNormal="90" workbookViewId="0">
      <pane xSplit="1" ySplit="3" topLeftCell="B4" activePane="bottomRight" state="frozen"/>
      <selection pane="topRight" activeCell="B1" sqref="B1"/>
      <selection pane="bottomLeft" activeCell="A4" sqref="A4"/>
      <selection pane="bottomRight" activeCell="B18" sqref="B18"/>
    </sheetView>
  </sheetViews>
  <sheetFormatPr baseColWidth="10" defaultColWidth="8.83203125" defaultRowHeight="13"/>
  <cols>
    <col min="1" max="1" width="27.6640625" bestFit="1" customWidth="1"/>
    <col min="2" max="5" width="13.5" bestFit="1" customWidth="1"/>
    <col min="6" max="6" width="14.6640625" bestFit="1" customWidth="1"/>
    <col min="7" max="8" width="12.6640625" customWidth="1"/>
    <col min="9" max="9" width="13.5" bestFit="1" customWidth="1"/>
    <col min="10" max="195" width="12.6640625" customWidth="1"/>
  </cols>
  <sheetData>
    <row r="1" spans="1:25" ht="20" customHeight="1" thickBot="1">
      <c r="A1" s="303" t="s">
        <v>0</v>
      </c>
      <c r="B1" s="304"/>
      <c r="C1" s="304"/>
      <c r="D1" s="304"/>
      <c r="E1" s="304"/>
      <c r="F1" s="304"/>
      <c r="H1" s="299" t="s">
        <v>0</v>
      </c>
      <c r="I1" s="300"/>
      <c r="J1" s="300"/>
      <c r="K1" s="300"/>
      <c r="L1" s="300"/>
      <c r="M1" s="300"/>
      <c r="N1" s="300"/>
      <c r="O1" s="300"/>
      <c r="P1" s="300"/>
      <c r="Q1" s="300"/>
      <c r="R1" s="300"/>
      <c r="S1" s="300"/>
      <c r="T1" s="300"/>
      <c r="U1" s="300"/>
      <c r="V1" s="300"/>
      <c r="W1" s="300"/>
      <c r="X1" s="300"/>
      <c r="Y1" s="300"/>
    </row>
    <row r="2" spans="1:25" ht="14" customHeight="1" thickBot="1">
      <c r="A2" s="301" t="s">
        <v>1</v>
      </c>
      <c r="B2" s="302"/>
      <c r="C2" s="302"/>
      <c r="D2" s="302"/>
      <c r="E2" s="302"/>
      <c r="F2" s="302"/>
      <c r="H2" s="296" t="s">
        <v>154</v>
      </c>
      <c r="I2" s="297"/>
      <c r="J2" s="297"/>
      <c r="K2" s="297"/>
      <c r="L2" s="297"/>
      <c r="M2" s="298"/>
      <c r="N2" s="296" t="s">
        <v>155</v>
      </c>
      <c r="O2" s="297"/>
      <c r="P2" s="297"/>
      <c r="Q2" s="297"/>
      <c r="R2" s="297"/>
      <c r="S2" s="298"/>
      <c r="T2" s="296" t="s">
        <v>156</v>
      </c>
      <c r="U2" s="297"/>
      <c r="V2" s="297"/>
      <c r="W2" s="297"/>
      <c r="X2" s="297"/>
      <c r="Y2" s="298"/>
    </row>
    <row r="3" spans="1:25" ht="14" thickBot="1">
      <c r="A3" s="8"/>
      <c r="B3" s="9">
        <v>2013</v>
      </c>
      <c r="C3" s="10">
        <v>2014</v>
      </c>
      <c r="D3" s="10">
        <v>2015</v>
      </c>
      <c r="E3" s="10">
        <v>2016</v>
      </c>
      <c r="F3" s="11">
        <v>2017</v>
      </c>
      <c r="H3" s="9">
        <v>2013</v>
      </c>
      <c r="I3" s="10">
        <v>2014</v>
      </c>
      <c r="J3" s="10">
        <v>2015</v>
      </c>
      <c r="K3" s="10">
        <v>2016</v>
      </c>
      <c r="L3" s="11">
        <v>2017</v>
      </c>
      <c r="M3" s="124" t="s">
        <v>92</v>
      </c>
      <c r="N3" s="115">
        <v>2013</v>
      </c>
      <c r="O3" s="116">
        <v>2014</v>
      </c>
      <c r="P3" s="116">
        <v>2015</v>
      </c>
      <c r="Q3" s="116">
        <v>2016</v>
      </c>
      <c r="R3" s="117">
        <v>2017</v>
      </c>
      <c r="S3" s="124" t="s">
        <v>94</v>
      </c>
      <c r="T3" s="115">
        <v>2013</v>
      </c>
      <c r="U3" s="116">
        <v>2014</v>
      </c>
      <c r="V3" s="116">
        <v>2015</v>
      </c>
      <c r="W3" s="116">
        <v>2016</v>
      </c>
      <c r="X3" s="117">
        <v>2017</v>
      </c>
      <c r="Y3" s="124" t="s">
        <v>94</v>
      </c>
    </row>
    <row r="4" spans="1:25" ht="15">
      <c r="A4" s="20" t="s">
        <v>3</v>
      </c>
      <c r="B4" s="3">
        <v>59825000</v>
      </c>
      <c r="C4" s="3">
        <v>66001000</v>
      </c>
      <c r="D4" s="3">
        <v>74989000</v>
      </c>
      <c r="E4" s="3">
        <v>90272000</v>
      </c>
      <c r="F4" s="3">
        <v>110855000</v>
      </c>
      <c r="H4" s="118">
        <f>B4/B$4</f>
        <v>1</v>
      </c>
      <c r="I4" s="118">
        <f t="shared" ref="I4:L4" si="0">C4/C$4</f>
        <v>1</v>
      </c>
      <c r="J4" s="118">
        <f t="shared" si="0"/>
        <v>1</v>
      </c>
      <c r="K4" s="118">
        <f t="shared" si="0"/>
        <v>1</v>
      </c>
      <c r="L4" s="118">
        <f t="shared" si="0"/>
        <v>1</v>
      </c>
      <c r="N4" s="119">
        <f>B4/$B4</f>
        <v>1</v>
      </c>
      <c r="O4" s="119">
        <f t="shared" ref="O4:R4" si="1">C4/$B4</f>
        <v>1.1032344337651483</v>
      </c>
      <c r="P4" s="119">
        <f t="shared" si="1"/>
        <v>1.253472628499791</v>
      </c>
      <c r="Q4" s="119">
        <f t="shared" si="1"/>
        <v>1.5089343919765985</v>
      </c>
      <c r="R4" s="119">
        <f t="shared" si="1"/>
        <v>1.8529878813205183</v>
      </c>
      <c r="T4" s="120">
        <f>H4/$H4</f>
        <v>1</v>
      </c>
      <c r="U4" s="120">
        <f t="shared" ref="U4:X4" si="2">I4/$H4</f>
        <v>1</v>
      </c>
      <c r="V4" s="120">
        <f t="shared" si="2"/>
        <v>1</v>
      </c>
      <c r="W4" s="120">
        <f t="shared" si="2"/>
        <v>1</v>
      </c>
      <c r="X4" s="120">
        <f t="shared" si="2"/>
        <v>1</v>
      </c>
    </row>
    <row r="5" spans="1:25" ht="15">
      <c r="A5" s="2" t="s">
        <v>4</v>
      </c>
      <c r="B5" s="3">
        <v>25858000</v>
      </c>
      <c r="C5" s="3">
        <v>25691000</v>
      </c>
      <c r="D5" s="3">
        <v>28164000</v>
      </c>
      <c r="E5" s="3">
        <v>35138000</v>
      </c>
      <c r="F5" s="3">
        <v>45583000</v>
      </c>
      <c r="H5" s="118">
        <f t="shared" ref="H5:H31" si="3">B5/B$4</f>
        <v>0.432227329711659</v>
      </c>
      <c r="I5" s="118">
        <f t="shared" ref="I5:I31" si="4">C5/C$4</f>
        <v>0.3892516780048787</v>
      </c>
      <c r="J5" s="118">
        <f t="shared" ref="J5:J31" si="5">D5/D$4</f>
        <v>0.37557508434570402</v>
      </c>
      <c r="K5" s="118">
        <f t="shared" ref="K5:K31" si="6">E5/E$4</f>
        <v>0.38924583481035097</v>
      </c>
      <c r="L5" s="118">
        <f t="shared" ref="L5:L31" si="7">F5/F$4</f>
        <v>0.41119480402327363</v>
      </c>
      <c r="N5" s="119">
        <f t="shared" ref="N5:N31" si="8">B5/$B5</f>
        <v>1</v>
      </c>
      <c r="O5" s="119">
        <f t="shared" ref="O5:O31" si="9">C5/$B5</f>
        <v>0.99354165055302035</v>
      </c>
      <c r="P5" s="119">
        <f t="shared" ref="P5:P31" si="10">D5/$B5</f>
        <v>1.0891793642199705</v>
      </c>
      <c r="Q5" s="119">
        <f t="shared" ref="Q5:Q31" si="11">E5/$B5</f>
        <v>1.3588831309459355</v>
      </c>
      <c r="R5" s="119">
        <f t="shared" ref="R5:R31" si="12">F5/$B5</f>
        <v>1.7628200170160104</v>
      </c>
      <c r="T5" s="120">
        <f t="shared" ref="T5:T31" si="13">H5/$H5</f>
        <v>1</v>
      </c>
      <c r="U5" s="120">
        <f t="shared" ref="U5:U31" si="14">I5/$H5</f>
        <v>0.90057164655587707</v>
      </c>
      <c r="V5" s="120">
        <f t="shared" ref="V5:V31" si="15">J5/$H5</f>
        <v>0.8689295158551219</v>
      </c>
      <c r="W5" s="120">
        <f t="shared" ref="W5:W31" si="16">K5/$H5</f>
        <v>0.90055812775656452</v>
      </c>
      <c r="X5" s="120">
        <f t="shared" ref="X5:X31" si="17">L5/$H5</f>
        <v>0.95133920452828313</v>
      </c>
    </row>
    <row r="6" spans="1:25">
      <c r="A6" s="12" t="s">
        <v>5</v>
      </c>
      <c r="B6" s="5">
        <f>B4-B5</f>
        <v>33967000</v>
      </c>
      <c r="C6" s="5">
        <f>C4-C5</f>
        <v>40310000</v>
      </c>
      <c r="D6" s="5">
        <f>D4-D5</f>
        <v>46825000</v>
      </c>
      <c r="E6" s="5">
        <f>E4-E5</f>
        <v>55134000</v>
      </c>
      <c r="F6" s="5">
        <f>F4-F5</f>
        <v>65272000</v>
      </c>
      <c r="H6" s="118">
        <f>B6/B$4</f>
        <v>0.567772670288341</v>
      </c>
      <c r="I6" s="118">
        <f t="shared" si="4"/>
        <v>0.6107483219951213</v>
      </c>
      <c r="J6" s="118">
        <f t="shared" si="5"/>
        <v>0.62442491565429592</v>
      </c>
      <c r="K6" s="118">
        <f t="shared" si="6"/>
        <v>0.61075416518964909</v>
      </c>
      <c r="L6" s="118">
        <f t="shared" si="7"/>
        <v>0.58880519597672631</v>
      </c>
      <c r="N6" s="119">
        <f t="shared" si="8"/>
        <v>1</v>
      </c>
      <c r="O6" s="119">
        <f t="shared" si="9"/>
        <v>1.1867400712456206</v>
      </c>
      <c r="P6" s="119">
        <f t="shared" si="10"/>
        <v>1.3785438808255071</v>
      </c>
      <c r="Q6" s="119">
        <f t="shared" si="11"/>
        <v>1.62316365884535</v>
      </c>
      <c r="R6" s="119">
        <f t="shared" si="12"/>
        <v>1.921629817175494</v>
      </c>
      <c r="T6" s="120">
        <f t="shared" si="13"/>
        <v>1</v>
      </c>
      <c r="U6" s="120">
        <f t="shared" si="14"/>
        <v>1.0756916525851012</v>
      </c>
      <c r="V6" s="120">
        <f t="shared" si="15"/>
        <v>1.0997798033096315</v>
      </c>
      <c r="W6" s="120">
        <f t="shared" si="16"/>
        <v>1.0757019440183342</v>
      </c>
      <c r="X6" s="120">
        <f t="shared" si="17"/>
        <v>1.0370439205495821</v>
      </c>
    </row>
    <row r="7" spans="1:25" ht="15">
      <c r="A7" s="2" t="s">
        <v>6</v>
      </c>
      <c r="B7" s="3">
        <v>12049000</v>
      </c>
      <c r="C7" s="3">
        <v>13982000</v>
      </c>
      <c r="D7" s="3">
        <v>15183000</v>
      </c>
      <c r="E7" s="3">
        <v>17470000</v>
      </c>
      <c r="F7" s="3">
        <v>19765000</v>
      </c>
      <c r="H7" s="118">
        <f t="shared" si="3"/>
        <v>0.20140409527789385</v>
      </c>
      <c r="I7" s="118">
        <f t="shared" si="4"/>
        <v>0.21184527507158982</v>
      </c>
      <c r="J7" s="118">
        <f t="shared" si="5"/>
        <v>0.20246969555534811</v>
      </c>
      <c r="K7" s="118">
        <f t="shared" si="6"/>
        <v>0.19352623183268344</v>
      </c>
      <c r="L7" s="118">
        <f t="shared" si="7"/>
        <v>0.17829597221595778</v>
      </c>
      <c r="N7" s="119">
        <f t="shared" si="8"/>
        <v>1</v>
      </c>
      <c r="O7" s="119">
        <f t="shared" si="9"/>
        <v>1.1604282513071624</v>
      </c>
      <c r="P7" s="119">
        <f t="shared" si="10"/>
        <v>1.2601045729936093</v>
      </c>
      <c r="Q7" s="119">
        <f t="shared" si="11"/>
        <v>1.4499128558386589</v>
      </c>
      <c r="R7" s="119">
        <f t="shared" si="12"/>
        <v>1.6403850941986886</v>
      </c>
      <c r="T7" s="120">
        <f t="shared" si="13"/>
        <v>1</v>
      </c>
      <c r="U7" s="120">
        <f t="shared" si="14"/>
        <v>1.0518419438258662</v>
      </c>
      <c r="V7" s="120">
        <f t="shared" si="15"/>
        <v>1.0052908570502699</v>
      </c>
      <c r="W7" s="120">
        <f t="shared" si="16"/>
        <v>0.96088528669518525</v>
      </c>
      <c r="X7" s="120">
        <f t="shared" si="17"/>
        <v>0.88526487989208025</v>
      </c>
    </row>
    <row r="8" spans="1:25" ht="15">
      <c r="A8" s="2" t="s">
        <v>7</v>
      </c>
      <c r="B8" s="3">
        <v>7952000</v>
      </c>
      <c r="C8" s="3">
        <v>9832000</v>
      </c>
      <c r="D8" s="3">
        <v>12282000</v>
      </c>
      <c r="E8" s="3">
        <v>13948000</v>
      </c>
      <c r="F8" s="3">
        <v>16625000</v>
      </c>
      <c r="H8" s="118">
        <f t="shared" si="3"/>
        <v>0.13292101964061848</v>
      </c>
      <c r="I8" s="118">
        <f t="shared" si="4"/>
        <v>0.14896743988727443</v>
      </c>
      <c r="J8" s="118">
        <f t="shared" si="5"/>
        <v>0.16378402165650963</v>
      </c>
      <c r="K8" s="118">
        <f t="shared" si="6"/>
        <v>0.15451081176887629</v>
      </c>
      <c r="L8" s="118">
        <f t="shared" si="7"/>
        <v>0.14997068242298497</v>
      </c>
      <c r="N8" s="119">
        <f t="shared" si="8"/>
        <v>1</v>
      </c>
      <c r="O8" s="119">
        <f t="shared" si="9"/>
        <v>1.2364185110663983</v>
      </c>
      <c r="P8" s="119">
        <f t="shared" si="10"/>
        <v>1.5445171026156941</v>
      </c>
      <c r="Q8" s="119">
        <f t="shared" si="11"/>
        <v>1.7540241448692153</v>
      </c>
      <c r="R8" s="119">
        <f t="shared" si="12"/>
        <v>2.090669014084507</v>
      </c>
      <c r="T8" s="120">
        <f t="shared" si="13"/>
        <v>1</v>
      </c>
      <c r="U8" s="120">
        <f t="shared" si="14"/>
        <v>1.1207214651982134</v>
      </c>
      <c r="V8" s="120">
        <f t="shared" si="15"/>
        <v>1.2321905301308713</v>
      </c>
      <c r="W8" s="120">
        <f t="shared" si="16"/>
        <v>1.1624257185705513</v>
      </c>
      <c r="X8" s="120">
        <f t="shared" si="17"/>
        <v>1.1282691242398235</v>
      </c>
    </row>
    <row r="9" spans="1:25" ht="15">
      <c r="A9" s="2" t="s">
        <v>8</v>
      </c>
      <c r="B9" s="3">
        <v>0</v>
      </c>
      <c r="C9" s="3">
        <v>0</v>
      </c>
      <c r="D9" s="3">
        <v>0</v>
      </c>
      <c r="E9" s="3">
        <v>0</v>
      </c>
      <c r="F9" s="3">
        <v>2736000</v>
      </c>
      <c r="H9" s="118">
        <f t="shared" si="3"/>
        <v>0</v>
      </c>
      <c r="I9" s="118">
        <f t="shared" si="4"/>
        <v>0</v>
      </c>
      <c r="J9" s="118">
        <f t="shared" si="5"/>
        <v>0</v>
      </c>
      <c r="K9" s="118">
        <f t="shared" si="6"/>
        <v>0</v>
      </c>
      <c r="L9" s="118">
        <f t="shared" si="7"/>
        <v>2.468088945018267E-2</v>
      </c>
      <c r="N9" s="119">
        <f>IFERROR(B9/$B9,0)</f>
        <v>0</v>
      </c>
      <c r="O9" s="119">
        <f t="shared" ref="O9:R9" si="18">IFERROR(C9/$B9,0)</f>
        <v>0</v>
      </c>
      <c r="P9" s="119">
        <f t="shared" si="18"/>
        <v>0</v>
      </c>
      <c r="Q9" s="119">
        <f t="shared" si="18"/>
        <v>0</v>
      </c>
      <c r="R9" s="119">
        <f t="shared" si="18"/>
        <v>0</v>
      </c>
      <c r="T9" s="120">
        <f>IFERROR(H9/$H9,0)</f>
        <v>0</v>
      </c>
      <c r="U9" s="120">
        <f t="shared" ref="U9:X9" si="19">IFERROR(I9/$H9,0)</f>
        <v>0</v>
      </c>
      <c r="V9" s="120">
        <f t="shared" si="19"/>
        <v>0</v>
      </c>
      <c r="W9" s="120">
        <f t="shared" si="19"/>
        <v>0</v>
      </c>
      <c r="X9" s="120">
        <f t="shared" si="19"/>
        <v>0</v>
      </c>
    </row>
    <row r="10" spans="1:25">
      <c r="A10" s="12" t="s">
        <v>9</v>
      </c>
      <c r="B10" s="6">
        <f>B7+B8+B9</f>
        <v>20001000</v>
      </c>
      <c r="C10" s="6">
        <f t="shared" ref="C10:F10" si="20">C7+C8+C9</f>
        <v>23814000</v>
      </c>
      <c r="D10" s="6">
        <f t="shared" si="20"/>
        <v>27465000</v>
      </c>
      <c r="E10" s="6">
        <f t="shared" si="20"/>
        <v>31418000</v>
      </c>
      <c r="F10" s="6">
        <f t="shared" si="20"/>
        <v>39126000</v>
      </c>
      <c r="H10" s="118">
        <f t="shared" si="3"/>
        <v>0.3343251149185123</v>
      </c>
      <c r="I10" s="118">
        <f t="shared" si="4"/>
        <v>0.36081271495886424</v>
      </c>
      <c r="J10" s="118">
        <f t="shared" si="5"/>
        <v>0.36625371721185773</v>
      </c>
      <c r="K10" s="118">
        <f t="shared" si="6"/>
        <v>0.34803704360155974</v>
      </c>
      <c r="L10" s="118">
        <f t="shared" si="7"/>
        <v>0.35294754408912543</v>
      </c>
      <c r="N10" s="119">
        <f t="shared" si="8"/>
        <v>1</v>
      </c>
      <c r="O10" s="119">
        <f t="shared" si="9"/>
        <v>1.1906404679766012</v>
      </c>
      <c r="P10" s="119">
        <f t="shared" si="10"/>
        <v>1.3731813409329534</v>
      </c>
      <c r="Q10" s="119">
        <f t="shared" si="11"/>
        <v>1.5708214589270537</v>
      </c>
      <c r="R10" s="119">
        <f t="shared" si="12"/>
        <v>1.9562021898905055</v>
      </c>
      <c r="T10" s="120">
        <f t="shared" si="13"/>
        <v>1</v>
      </c>
      <c r="U10" s="120">
        <f t="shared" si="14"/>
        <v>1.0792270722670894</v>
      </c>
      <c r="V10" s="120">
        <f t="shared" si="15"/>
        <v>1.0955016565271432</v>
      </c>
      <c r="W10" s="120">
        <f t="shared" si="16"/>
        <v>1.0410137559853663</v>
      </c>
      <c r="X10" s="120">
        <f t="shared" si="17"/>
        <v>1.0557015561787877</v>
      </c>
    </row>
    <row r="11" spans="1:25">
      <c r="A11" s="12" t="s">
        <v>10</v>
      </c>
      <c r="B11" s="5">
        <f>B6-B10</f>
        <v>13966000</v>
      </c>
      <c r="C11" s="5">
        <f t="shared" ref="C11:F11" si="21">C6-C10</f>
        <v>16496000</v>
      </c>
      <c r="D11" s="5">
        <f t="shared" si="21"/>
        <v>19360000</v>
      </c>
      <c r="E11" s="5">
        <f t="shared" si="21"/>
        <v>23716000</v>
      </c>
      <c r="F11" s="5">
        <f t="shared" si="21"/>
        <v>26146000</v>
      </c>
      <c r="H11" s="118">
        <f t="shared" si="3"/>
        <v>0.23344755536982867</v>
      </c>
      <c r="I11" s="118">
        <f t="shared" si="4"/>
        <v>0.24993560703625703</v>
      </c>
      <c r="J11" s="118">
        <f t="shared" si="5"/>
        <v>0.25817119844243824</v>
      </c>
      <c r="K11" s="118">
        <f t="shared" si="6"/>
        <v>0.26271712158808935</v>
      </c>
      <c r="L11" s="118">
        <f t="shared" si="7"/>
        <v>0.23585765188760091</v>
      </c>
      <c r="N11" s="119">
        <f t="shared" si="8"/>
        <v>1</v>
      </c>
      <c r="O11" s="119">
        <f t="shared" si="9"/>
        <v>1.1811542317055708</v>
      </c>
      <c r="P11" s="119">
        <f t="shared" si="10"/>
        <v>1.3862236860948016</v>
      </c>
      <c r="Q11" s="119">
        <f t="shared" si="11"/>
        <v>1.6981240154661321</v>
      </c>
      <c r="R11" s="119">
        <f t="shared" si="12"/>
        <v>1.8721180008592295</v>
      </c>
      <c r="T11" s="120">
        <f t="shared" si="13"/>
        <v>1</v>
      </c>
      <c r="U11" s="120">
        <f t="shared" si="14"/>
        <v>1.0706285042921435</v>
      </c>
      <c r="V11" s="120">
        <f t="shared" si="15"/>
        <v>1.1059066265801853</v>
      </c>
      <c r="W11" s="120">
        <f t="shared" si="16"/>
        <v>1.1253796218679253</v>
      </c>
      <c r="X11" s="120">
        <f t="shared" si="17"/>
        <v>1.0103239312742176</v>
      </c>
    </row>
    <row r="12" spans="1:25" ht="15">
      <c r="A12" s="2" t="s">
        <v>11</v>
      </c>
      <c r="B12" s="3">
        <v>702000</v>
      </c>
      <c r="C12" s="3">
        <v>645000</v>
      </c>
      <c r="D12" s="3">
        <v>895000</v>
      </c>
      <c r="E12" s="3">
        <v>1096000</v>
      </c>
      <c r="F12" s="3">
        <v>1203000</v>
      </c>
      <c r="H12" s="118">
        <f t="shared" si="3"/>
        <v>1.1734224822398663E-2</v>
      </c>
      <c r="I12" s="118">
        <f t="shared" si="4"/>
        <v>9.772579203345403E-3</v>
      </c>
      <c r="J12" s="118">
        <f t="shared" si="5"/>
        <v>1.193508381229247E-2</v>
      </c>
      <c r="K12" s="118">
        <f t="shared" si="6"/>
        <v>1.2141084721729882E-2</v>
      </c>
      <c r="L12" s="118">
        <f t="shared" si="7"/>
        <v>1.0852013892021109E-2</v>
      </c>
      <c r="N12" s="119">
        <f t="shared" si="8"/>
        <v>1</v>
      </c>
      <c r="O12" s="119">
        <f t="shared" si="9"/>
        <v>0.91880341880341876</v>
      </c>
      <c r="P12" s="119">
        <f t="shared" si="10"/>
        <v>1.274928774928775</v>
      </c>
      <c r="Q12" s="119">
        <f t="shared" si="11"/>
        <v>1.5612535612535612</v>
      </c>
      <c r="R12" s="119">
        <f t="shared" si="12"/>
        <v>1.7136752136752136</v>
      </c>
      <c r="T12" s="120">
        <f t="shared" si="13"/>
        <v>1</v>
      </c>
      <c r="U12" s="120">
        <f t="shared" si="14"/>
        <v>0.83282699549877315</v>
      </c>
      <c r="V12" s="120">
        <f t="shared" si="15"/>
        <v>1.0171173633481438</v>
      </c>
      <c r="W12" s="120">
        <f t="shared" si="16"/>
        <v>1.03467292518161</v>
      </c>
      <c r="X12" s="120">
        <f t="shared" si="17"/>
        <v>0.92481728075521774</v>
      </c>
    </row>
    <row r="13" spans="1:25" ht="15">
      <c r="A13" s="2" t="s">
        <v>12</v>
      </c>
      <c r="B13" s="3">
        <v>144000</v>
      </c>
      <c r="C13" s="3">
        <v>438000</v>
      </c>
      <c r="D13" s="3">
        <v>-334000</v>
      </c>
      <c r="E13" s="3">
        <v>-275000</v>
      </c>
      <c r="F13" s="3">
        <v>-194000</v>
      </c>
      <c r="H13" s="118">
        <f t="shared" si="3"/>
        <v>2.4070204763894693E-3</v>
      </c>
      <c r="I13" s="118">
        <f t="shared" si="4"/>
        <v>6.6362630869229253E-3</v>
      </c>
      <c r="J13" s="118">
        <f t="shared" si="5"/>
        <v>-4.4539865846990895E-3</v>
      </c>
      <c r="K13" s="118">
        <f t="shared" si="6"/>
        <v>-3.0463488124778449E-3</v>
      </c>
      <c r="L13" s="118">
        <f t="shared" si="7"/>
        <v>-1.7500338279734789E-3</v>
      </c>
      <c r="N13" s="119">
        <f t="shared" si="8"/>
        <v>1</v>
      </c>
      <c r="O13" s="119">
        <f t="shared" si="9"/>
        <v>3.0416666666666665</v>
      </c>
      <c r="P13" s="119">
        <f t="shared" si="10"/>
        <v>-2.3194444444444446</v>
      </c>
      <c r="Q13" s="119">
        <f t="shared" si="11"/>
        <v>-1.9097222222222223</v>
      </c>
      <c r="R13" s="119">
        <f t="shared" si="12"/>
        <v>-1.3472222222222223</v>
      </c>
      <c r="T13" s="120">
        <f t="shared" si="13"/>
        <v>1</v>
      </c>
      <c r="U13" s="120">
        <f t="shared" si="14"/>
        <v>2.7570447164941947</v>
      </c>
      <c r="V13" s="120">
        <f t="shared" si="15"/>
        <v>-1.8504149127057155</v>
      </c>
      <c r="W13" s="120">
        <f t="shared" si="16"/>
        <v>-1.2656098451839379</v>
      </c>
      <c r="X13" s="120">
        <f t="shared" si="17"/>
        <v>-0.72705398443412061</v>
      </c>
    </row>
    <row r="14" spans="1:25" ht="15">
      <c r="A14" s="2" t="s">
        <v>13</v>
      </c>
      <c r="B14" s="3">
        <v>-379000</v>
      </c>
      <c r="C14" s="3">
        <v>-402000</v>
      </c>
      <c r="D14" s="3">
        <v>-422000</v>
      </c>
      <c r="E14" s="3">
        <v>-475000</v>
      </c>
      <c r="F14" s="3">
        <v>-121000</v>
      </c>
      <c r="H14" s="118">
        <f t="shared" si="3"/>
        <v>-6.3351441704972838E-3</v>
      </c>
      <c r="I14" s="118">
        <f t="shared" si="4"/>
        <v>-6.0908168058059729E-3</v>
      </c>
      <c r="J14" s="118">
        <f t="shared" si="5"/>
        <v>-5.6274920321647175E-3</v>
      </c>
      <c r="K14" s="118">
        <f t="shared" si="6"/>
        <v>-5.2618752215526409E-3</v>
      </c>
      <c r="L14" s="118">
        <f t="shared" si="7"/>
        <v>-1.0915159442514996E-3</v>
      </c>
      <c r="N14" s="119">
        <f t="shared" si="8"/>
        <v>1</v>
      </c>
      <c r="O14" s="119">
        <f t="shared" si="9"/>
        <v>1.0606860158311346</v>
      </c>
      <c r="P14" s="119">
        <f t="shared" si="10"/>
        <v>1.1134564643799472</v>
      </c>
      <c r="Q14" s="119">
        <f t="shared" si="11"/>
        <v>1.2532981530343008</v>
      </c>
      <c r="R14" s="119">
        <f t="shared" si="12"/>
        <v>0.31926121372031663</v>
      </c>
      <c r="T14" s="120">
        <f t="shared" si="13"/>
        <v>1</v>
      </c>
      <c r="U14" s="120">
        <f t="shared" si="14"/>
        <v>0.96143302218296123</v>
      </c>
      <c r="V14" s="120">
        <f t="shared" si="15"/>
        <v>0.8882973900376101</v>
      </c>
      <c r="W14" s="120">
        <f t="shared" si="16"/>
        <v>0.83058492118571703</v>
      </c>
      <c r="X14" s="120">
        <f t="shared" si="17"/>
        <v>0.17229535980170438</v>
      </c>
    </row>
    <row r="15" spans="1:25" ht="15">
      <c r="A15" s="2" t="s">
        <v>14</v>
      </c>
      <c r="B15" s="3">
        <v>63000</v>
      </c>
      <c r="C15" s="3">
        <v>82000</v>
      </c>
      <c r="D15" s="3">
        <v>152000</v>
      </c>
      <c r="E15" s="3">
        <v>88000</v>
      </c>
      <c r="F15" s="3">
        <v>159000</v>
      </c>
      <c r="H15" s="118">
        <f t="shared" si="3"/>
        <v>1.0530714584203928E-3</v>
      </c>
      <c r="I15" s="118">
        <f t="shared" si="4"/>
        <v>1.2424054180997257E-3</v>
      </c>
      <c r="J15" s="118">
        <f t="shared" si="5"/>
        <v>2.026963954713358E-3</v>
      </c>
      <c r="K15" s="118">
        <f t="shared" si="6"/>
        <v>9.7483161999291031E-4</v>
      </c>
      <c r="L15" s="118">
        <f t="shared" si="7"/>
        <v>1.4343060755040368E-3</v>
      </c>
      <c r="N15" s="119">
        <f t="shared" si="8"/>
        <v>1</v>
      </c>
      <c r="O15" s="119">
        <f t="shared" si="9"/>
        <v>1.3015873015873016</v>
      </c>
      <c r="P15" s="119">
        <f t="shared" si="10"/>
        <v>2.4126984126984126</v>
      </c>
      <c r="Q15" s="119">
        <f t="shared" si="11"/>
        <v>1.3968253968253967</v>
      </c>
      <c r="R15" s="119">
        <f t="shared" si="12"/>
        <v>2.5238095238095237</v>
      </c>
      <c r="T15" s="120">
        <f t="shared" si="13"/>
        <v>1</v>
      </c>
      <c r="U15" s="120">
        <f t="shared" si="14"/>
        <v>1.179792129171684</v>
      </c>
      <c r="V15" s="120">
        <f t="shared" si="15"/>
        <v>1.9248114062020101</v>
      </c>
      <c r="W15" s="120">
        <f t="shared" si="16"/>
        <v>0.9257032010488232</v>
      </c>
      <c r="X15" s="120">
        <f t="shared" si="17"/>
        <v>1.3620216026512539</v>
      </c>
    </row>
    <row r="16" spans="1:25">
      <c r="A16" s="15" t="s">
        <v>15</v>
      </c>
      <c r="B16" s="5">
        <f>B12+B13+B14+B15</f>
        <v>530000</v>
      </c>
      <c r="C16" s="5">
        <f t="shared" ref="C16:F16" si="22">C12+C13+C14+C15</f>
        <v>763000</v>
      </c>
      <c r="D16" s="5">
        <f t="shared" si="22"/>
        <v>291000</v>
      </c>
      <c r="E16" s="5">
        <f t="shared" si="22"/>
        <v>434000</v>
      </c>
      <c r="F16" s="5">
        <f t="shared" si="22"/>
        <v>1047000</v>
      </c>
      <c r="H16" s="118">
        <f t="shared" si="3"/>
        <v>8.8591725867112406E-3</v>
      </c>
      <c r="I16" s="118">
        <f t="shared" si="4"/>
        <v>1.1560430902562082E-2</v>
      </c>
      <c r="J16" s="118">
        <f t="shared" si="5"/>
        <v>3.8805691501420207E-3</v>
      </c>
      <c r="K16" s="118">
        <f t="shared" si="6"/>
        <v>4.807692307692308E-3</v>
      </c>
      <c r="L16" s="118">
        <f t="shared" si="7"/>
        <v>9.4447701953001666E-3</v>
      </c>
      <c r="N16" s="119">
        <f t="shared" si="8"/>
        <v>1</v>
      </c>
      <c r="O16" s="119">
        <f t="shared" si="9"/>
        <v>1.439622641509434</v>
      </c>
      <c r="P16" s="119">
        <f t="shared" si="10"/>
        <v>0.54905660377358489</v>
      </c>
      <c r="Q16" s="119">
        <f t="shared" si="11"/>
        <v>0.81886792452830193</v>
      </c>
      <c r="R16" s="119">
        <f t="shared" si="12"/>
        <v>1.9754716981132074</v>
      </c>
      <c r="T16" s="120">
        <f t="shared" si="13"/>
        <v>1</v>
      </c>
      <c r="U16" s="120">
        <f t="shared" si="14"/>
        <v>1.3049109032939181</v>
      </c>
      <c r="V16" s="120">
        <f t="shared" si="15"/>
        <v>0.43802839510801206</v>
      </c>
      <c r="W16" s="120">
        <f t="shared" si="16"/>
        <v>0.54267960812772142</v>
      </c>
      <c r="X16" s="120">
        <f t="shared" si="17"/>
        <v>1.0661007111959104</v>
      </c>
    </row>
    <row r="17" spans="1:24">
      <c r="A17" s="2" t="s">
        <v>16</v>
      </c>
      <c r="B17" s="5">
        <f>B11+B16</f>
        <v>14496000</v>
      </c>
      <c r="C17" s="5">
        <f t="shared" ref="C17:F17" si="23">C11+C16</f>
        <v>17259000</v>
      </c>
      <c r="D17" s="5">
        <f t="shared" si="23"/>
        <v>19651000</v>
      </c>
      <c r="E17" s="5">
        <f t="shared" si="23"/>
        <v>24150000</v>
      </c>
      <c r="F17" s="5">
        <f t="shared" si="23"/>
        <v>27193000</v>
      </c>
      <c r="H17" s="118">
        <f t="shared" si="3"/>
        <v>0.2423067279565399</v>
      </c>
      <c r="I17" s="118">
        <f t="shared" si="4"/>
        <v>0.26149603793881909</v>
      </c>
      <c r="J17" s="118">
        <f t="shared" si="5"/>
        <v>0.26205176759258025</v>
      </c>
      <c r="K17" s="118">
        <f t="shared" si="6"/>
        <v>0.26752481389578164</v>
      </c>
      <c r="L17" s="118">
        <f t="shared" si="7"/>
        <v>0.24530242208290109</v>
      </c>
      <c r="N17" s="119">
        <f t="shared" si="8"/>
        <v>1</v>
      </c>
      <c r="O17" s="119">
        <f t="shared" si="9"/>
        <v>1.1906043046357615</v>
      </c>
      <c r="P17" s="119">
        <f t="shared" si="10"/>
        <v>1.3556153421633554</v>
      </c>
      <c r="Q17" s="119">
        <f t="shared" si="11"/>
        <v>1.6659768211920529</v>
      </c>
      <c r="R17" s="119">
        <f t="shared" si="12"/>
        <v>1.8758967991169977</v>
      </c>
      <c r="T17" s="120">
        <f t="shared" si="13"/>
        <v>1</v>
      </c>
      <c r="U17" s="120">
        <f t="shared" si="14"/>
        <v>1.0791942928869931</v>
      </c>
      <c r="V17" s="120">
        <f t="shared" si="15"/>
        <v>1.0814877894747594</v>
      </c>
      <c r="W17" s="120">
        <f t="shared" si="16"/>
        <v>1.1040750545885167</v>
      </c>
      <c r="X17" s="120">
        <f t="shared" si="17"/>
        <v>1.0123632313127455</v>
      </c>
    </row>
    <row r="18" spans="1:24" ht="15">
      <c r="A18" s="2" t="s">
        <v>17</v>
      </c>
      <c r="B18" s="3">
        <v>2282000</v>
      </c>
      <c r="C18" s="3">
        <v>3331000</v>
      </c>
      <c r="D18" s="3">
        <v>3303000</v>
      </c>
      <c r="E18" s="3">
        <v>4672000</v>
      </c>
      <c r="F18" s="3">
        <v>14531000</v>
      </c>
      <c r="H18" s="118">
        <f t="shared" si="3"/>
        <v>3.8144588382783118E-2</v>
      </c>
      <c r="I18" s="118">
        <f t="shared" si="4"/>
        <v>5.0468932288904714E-2</v>
      </c>
      <c r="J18" s="118">
        <f t="shared" si="5"/>
        <v>4.4046460147488295E-2</v>
      </c>
      <c r="K18" s="118">
        <f t="shared" si="6"/>
        <v>5.175469691598724E-2</v>
      </c>
      <c r="L18" s="118">
        <f t="shared" si="7"/>
        <v>0.13108114203238463</v>
      </c>
      <c r="N18" s="119">
        <f t="shared" si="8"/>
        <v>1</v>
      </c>
      <c r="O18" s="119">
        <f t="shared" si="9"/>
        <v>1.4596844872918493</v>
      </c>
      <c r="P18" s="119">
        <f t="shared" si="10"/>
        <v>1.4474145486415424</v>
      </c>
      <c r="Q18" s="119">
        <f t="shared" si="11"/>
        <v>2.0473269062226116</v>
      </c>
      <c r="R18" s="119">
        <f t="shared" si="12"/>
        <v>6.3676599474145483</v>
      </c>
      <c r="T18" s="120">
        <f t="shared" si="13"/>
        <v>1</v>
      </c>
      <c r="U18" s="120">
        <f t="shared" si="14"/>
        <v>1.3230954751024209</v>
      </c>
      <c r="V18" s="120">
        <f t="shared" si="15"/>
        <v>1.1547236977754107</v>
      </c>
      <c r="W18" s="120">
        <f t="shared" si="16"/>
        <v>1.3568031301485262</v>
      </c>
      <c r="X18" s="120">
        <f t="shared" si="17"/>
        <v>3.4364282743590757</v>
      </c>
    </row>
    <row r="19" spans="1:24" ht="15">
      <c r="A19" s="2" t="s">
        <v>18</v>
      </c>
      <c r="B19" s="3">
        <v>706000</v>
      </c>
      <c r="C19" s="3">
        <v>516000</v>
      </c>
      <c r="D19" s="3">
        <v>0</v>
      </c>
      <c r="E19" s="3">
        <v>0</v>
      </c>
      <c r="F19" s="3">
        <v>0</v>
      </c>
      <c r="H19" s="118">
        <f t="shared" si="3"/>
        <v>1.180108650229837E-2</v>
      </c>
      <c r="I19" s="118">
        <f t="shared" si="4"/>
        <v>7.8180633626763231E-3</v>
      </c>
      <c r="J19" s="118">
        <f t="shared" si="5"/>
        <v>0</v>
      </c>
      <c r="K19" s="118">
        <f t="shared" si="6"/>
        <v>0</v>
      </c>
      <c r="L19" s="118">
        <f t="shared" si="7"/>
        <v>0</v>
      </c>
      <c r="N19" s="119">
        <f t="shared" si="8"/>
        <v>1</v>
      </c>
      <c r="O19" s="119">
        <f t="shared" si="9"/>
        <v>0.73087818696883855</v>
      </c>
      <c r="P19" s="119">
        <f t="shared" si="10"/>
        <v>0</v>
      </c>
      <c r="Q19" s="119">
        <f t="shared" si="11"/>
        <v>0</v>
      </c>
      <c r="R19" s="119">
        <f t="shared" si="12"/>
        <v>0</v>
      </c>
      <c r="T19" s="120">
        <f t="shared" si="13"/>
        <v>1</v>
      </c>
      <c r="U19" s="120">
        <f t="shared" si="14"/>
        <v>0.66248674316163036</v>
      </c>
      <c r="V19" s="120">
        <f t="shared" si="15"/>
        <v>0</v>
      </c>
      <c r="W19" s="120">
        <f t="shared" si="16"/>
        <v>0</v>
      </c>
      <c r="X19" s="120">
        <f t="shared" si="17"/>
        <v>0</v>
      </c>
    </row>
    <row r="20" spans="1:24" ht="15">
      <c r="A20" s="2" t="s">
        <v>19</v>
      </c>
      <c r="B20" s="3">
        <v>0</v>
      </c>
      <c r="C20" s="3">
        <v>0</v>
      </c>
      <c r="D20" s="3">
        <v>0</v>
      </c>
      <c r="E20" s="3">
        <v>0</v>
      </c>
      <c r="F20" s="3">
        <v>0</v>
      </c>
      <c r="H20" s="118">
        <f t="shared" si="3"/>
        <v>0</v>
      </c>
      <c r="I20" s="118">
        <f t="shared" si="4"/>
        <v>0</v>
      </c>
      <c r="J20" s="118">
        <f t="shared" si="5"/>
        <v>0</v>
      </c>
      <c r="K20" s="118">
        <f t="shared" si="6"/>
        <v>0</v>
      </c>
      <c r="L20" s="118">
        <f t="shared" si="7"/>
        <v>0</v>
      </c>
      <c r="N20" s="119">
        <f>IFERROR(B20/$B20,0)</f>
        <v>0</v>
      </c>
      <c r="O20" s="119">
        <f t="shared" ref="O20:R20" si="24">IFERROR(C20/$B20,0)</f>
        <v>0</v>
      </c>
      <c r="P20" s="119">
        <f t="shared" si="24"/>
        <v>0</v>
      </c>
      <c r="Q20" s="119">
        <f t="shared" si="24"/>
        <v>0</v>
      </c>
      <c r="R20" s="119">
        <f t="shared" si="24"/>
        <v>0</v>
      </c>
      <c r="T20" s="120">
        <f>IFERROR(H20/$H20,0)</f>
        <v>0</v>
      </c>
      <c r="U20" s="120">
        <f t="shared" ref="U20:X20" si="25">IFERROR(I20/$H20,0)</f>
        <v>0</v>
      </c>
      <c r="V20" s="120">
        <f t="shared" si="25"/>
        <v>0</v>
      </c>
      <c r="W20" s="120">
        <f t="shared" si="25"/>
        <v>0</v>
      </c>
      <c r="X20" s="120">
        <f t="shared" si="25"/>
        <v>0</v>
      </c>
    </row>
    <row r="21" spans="1:24" ht="15">
      <c r="A21" s="2" t="s">
        <v>20</v>
      </c>
      <c r="B21" s="3">
        <v>0</v>
      </c>
      <c r="C21" s="3">
        <v>0</v>
      </c>
      <c r="D21" s="3">
        <v>0</v>
      </c>
      <c r="E21" s="3">
        <v>0</v>
      </c>
      <c r="F21" s="3">
        <v>0</v>
      </c>
      <c r="H21" s="118">
        <f t="shared" si="3"/>
        <v>0</v>
      </c>
      <c r="I21" s="118">
        <f t="shared" si="4"/>
        <v>0</v>
      </c>
      <c r="J21" s="118">
        <f t="shared" si="5"/>
        <v>0</v>
      </c>
      <c r="K21" s="118">
        <f t="shared" si="6"/>
        <v>0</v>
      </c>
      <c r="L21" s="118">
        <f t="shared" si="7"/>
        <v>0</v>
      </c>
      <c r="N21" s="119">
        <f>IFERROR(B21/$B21,0)</f>
        <v>0</v>
      </c>
      <c r="O21" s="119">
        <f t="shared" ref="O21" si="26">IFERROR(C21/$B21,0)</f>
        <v>0</v>
      </c>
      <c r="P21" s="119">
        <f t="shared" ref="P21" si="27">IFERROR(D21/$B21,0)</f>
        <v>0</v>
      </c>
      <c r="Q21" s="119">
        <f t="shared" ref="Q21" si="28">IFERROR(E21/$B21,0)</f>
        <v>0</v>
      </c>
      <c r="R21" s="119">
        <f t="shared" ref="R21" si="29">IFERROR(F21/$B21,0)</f>
        <v>0</v>
      </c>
      <c r="T21" s="120">
        <f>IFERROR(H21/$H21,0)</f>
        <v>0</v>
      </c>
      <c r="U21" s="120">
        <f t="shared" ref="U21" si="30">IFERROR(I21/$H21,0)</f>
        <v>0</v>
      </c>
      <c r="V21" s="120">
        <f t="shared" ref="V21" si="31">IFERROR(J21/$H21,0)</f>
        <v>0</v>
      </c>
      <c r="W21" s="120">
        <f t="shared" ref="W21" si="32">IFERROR(K21/$H21,0)</f>
        <v>0</v>
      </c>
      <c r="X21" s="120">
        <f t="shared" ref="X21" si="33">IFERROR(L21/$H21,0)</f>
        <v>0</v>
      </c>
    </row>
    <row r="22" spans="1:24" ht="14" thickBot="1">
      <c r="A22" s="13" t="s">
        <v>21</v>
      </c>
      <c r="B22" s="7">
        <f>B17-B18+B19</f>
        <v>12920000</v>
      </c>
      <c r="C22" s="7">
        <f t="shared" ref="C22:D22" si="34">C17-C18+C19</f>
        <v>14444000</v>
      </c>
      <c r="D22" s="7">
        <f t="shared" si="34"/>
        <v>16348000</v>
      </c>
      <c r="E22" s="7">
        <f>E17-E18+E19</f>
        <v>19478000</v>
      </c>
      <c r="F22" s="7">
        <f>F17-F18+F19</f>
        <v>12662000</v>
      </c>
      <c r="H22" s="118">
        <f t="shared" si="3"/>
        <v>0.21596322607605517</v>
      </c>
      <c r="I22" s="118">
        <f t="shared" si="4"/>
        <v>0.21884516901259071</v>
      </c>
      <c r="J22" s="118">
        <f t="shared" si="5"/>
        <v>0.21800530744509194</v>
      </c>
      <c r="K22" s="118">
        <f t="shared" si="6"/>
        <v>0.2157701169797944</v>
      </c>
      <c r="L22" s="118">
        <f t="shared" si="7"/>
        <v>0.11422128005051645</v>
      </c>
      <c r="N22" s="119">
        <f t="shared" si="8"/>
        <v>1</v>
      </c>
      <c r="O22" s="119">
        <f t="shared" si="9"/>
        <v>1.1179566563467491</v>
      </c>
      <c r="P22" s="119">
        <f t="shared" si="10"/>
        <v>1.2653250773993807</v>
      </c>
      <c r="Q22" s="119">
        <f t="shared" si="11"/>
        <v>1.5075851393188855</v>
      </c>
      <c r="R22" s="119">
        <f t="shared" si="12"/>
        <v>0.98003095975232202</v>
      </c>
      <c r="T22" s="120">
        <f t="shared" si="13"/>
        <v>1</v>
      </c>
      <c r="U22" s="120">
        <f t="shared" si="14"/>
        <v>1.013344600323393</v>
      </c>
      <c r="V22" s="120">
        <f t="shared" si="15"/>
        <v>1.0094556902401413</v>
      </c>
      <c r="W22" s="120">
        <f t="shared" si="16"/>
        <v>0.99910582417308047</v>
      </c>
      <c r="X22" s="120">
        <f t="shared" si="17"/>
        <v>0.52889226617818463</v>
      </c>
    </row>
    <row r="23" spans="1:24" ht="16" thickTop="1">
      <c r="A23" s="14" t="s">
        <v>22</v>
      </c>
      <c r="B23" s="3">
        <v>0</v>
      </c>
      <c r="C23" s="3">
        <v>0</v>
      </c>
      <c r="D23" s="3">
        <v>-522000</v>
      </c>
      <c r="E23" s="3">
        <v>0</v>
      </c>
      <c r="F23" s="3">
        <v>0</v>
      </c>
      <c r="H23" s="118">
        <f t="shared" si="3"/>
        <v>0</v>
      </c>
      <c r="I23" s="118">
        <f t="shared" si="4"/>
        <v>0</v>
      </c>
      <c r="J23" s="118">
        <f t="shared" si="5"/>
        <v>-6.9610209497392951E-3</v>
      </c>
      <c r="K23" s="118">
        <f t="shared" si="6"/>
        <v>0</v>
      </c>
      <c r="L23" s="118">
        <f t="shared" si="7"/>
        <v>0</v>
      </c>
      <c r="N23" s="119">
        <f>IFERROR(B23/$B23,0)</f>
        <v>0</v>
      </c>
      <c r="O23" s="119">
        <f t="shared" ref="O23:R23" si="35">IFERROR(C23/$B23,0)</f>
        <v>0</v>
      </c>
      <c r="P23" s="119">
        <f t="shared" si="35"/>
        <v>0</v>
      </c>
      <c r="Q23" s="119">
        <f t="shared" si="35"/>
        <v>0</v>
      </c>
      <c r="R23" s="119">
        <f t="shared" si="35"/>
        <v>0</v>
      </c>
      <c r="T23" s="120">
        <f>IFERROR(H23/$H23,0)</f>
        <v>0</v>
      </c>
      <c r="U23" s="120">
        <f t="shared" ref="U23:X23" si="36">IFERROR(I23/$H23,0)</f>
        <v>0</v>
      </c>
      <c r="V23" s="120">
        <f t="shared" si="36"/>
        <v>0</v>
      </c>
      <c r="W23" s="120">
        <f t="shared" si="36"/>
        <v>0</v>
      </c>
      <c r="X23" s="120">
        <f t="shared" si="36"/>
        <v>0</v>
      </c>
    </row>
    <row r="24" spans="1:24">
      <c r="A24" s="2" t="s">
        <v>23</v>
      </c>
      <c r="B24" s="5">
        <f>B22+B23</f>
        <v>12920000</v>
      </c>
      <c r="C24" s="5">
        <f t="shared" ref="C24:F24" si="37">C22+C23</f>
        <v>14444000</v>
      </c>
      <c r="D24" s="5">
        <f t="shared" si="37"/>
        <v>15826000</v>
      </c>
      <c r="E24" s="5">
        <f t="shared" si="37"/>
        <v>19478000</v>
      </c>
      <c r="F24" s="5">
        <f t="shared" si="37"/>
        <v>12662000</v>
      </c>
      <c r="H24" s="118">
        <f t="shared" si="3"/>
        <v>0.21596322607605517</v>
      </c>
      <c r="I24" s="118">
        <f t="shared" si="4"/>
        <v>0.21884516901259071</v>
      </c>
      <c r="J24" s="118">
        <f t="shared" si="5"/>
        <v>0.21104428649535265</v>
      </c>
      <c r="K24" s="118">
        <f t="shared" si="6"/>
        <v>0.2157701169797944</v>
      </c>
      <c r="L24" s="118">
        <f t="shared" si="7"/>
        <v>0.11422128005051645</v>
      </c>
      <c r="N24" s="119">
        <f t="shared" si="8"/>
        <v>1</v>
      </c>
      <c r="O24" s="119">
        <f t="shared" si="9"/>
        <v>1.1179566563467491</v>
      </c>
      <c r="P24" s="119">
        <f t="shared" si="10"/>
        <v>1.2249226006191951</v>
      </c>
      <c r="Q24" s="119">
        <f t="shared" si="11"/>
        <v>1.5075851393188855</v>
      </c>
      <c r="R24" s="119">
        <f t="shared" si="12"/>
        <v>0.98003095975232202</v>
      </c>
      <c r="T24" s="120">
        <f t="shared" si="13"/>
        <v>1</v>
      </c>
      <c r="U24" s="120">
        <f t="shared" si="14"/>
        <v>1.013344600323393</v>
      </c>
      <c r="V24" s="120">
        <f t="shared" si="15"/>
        <v>0.97722325383780739</v>
      </c>
      <c r="W24" s="120">
        <f t="shared" si="16"/>
        <v>0.99910582417308047</v>
      </c>
      <c r="X24" s="120">
        <f t="shared" si="17"/>
        <v>0.52889226617818463</v>
      </c>
    </row>
    <row r="25" spans="1:24" ht="15">
      <c r="A25" s="2" t="s">
        <v>24</v>
      </c>
      <c r="B25" s="3">
        <v>665692</v>
      </c>
      <c r="C25" s="3">
        <v>675935</v>
      </c>
      <c r="D25" s="3">
        <v>684626</v>
      </c>
      <c r="E25" s="3">
        <v>687778</v>
      </c>
      <c r="F25" s="3">
        <v>692901</v>
      </c>
      <c r="H25" s="118">
        <f t="shared" si="3"/>
        <v>1.1127321353949018E-2</v>
      </c>
      <c r="I25" s="118">
        <f t="shared" si="4"/>
        <v>1.0241284222966319E-2</v>
      </c>
      <c r="J25" s="118">
        <f t="shared" si="5"/>
        <v>9.1296856872341275E-3</v>
      </c>
      <c r="K25" s="118">
        <f t="shared" si="6"/>
        <v>7.6189516129032261E-3</v>
      </c>
      <c r="L25" s="118">
        <f t="shared" si="7"/>
        <v>6.2505164403951104E-3</v>
      </c>
      <c r="N25" s="119">
        <f t="shared" si="8"/>
        <v>1</v>
      </c>
      <c r="O25" s="119">
        <f t="shared" si="9"/>
        <v>1.0153869957878419</v>
      </c>
      <c r="P25" s="119">
        <f t="shared" si="10"/>
        <v>1.0284425830564285</v>
      </c>
      <c r="Q25" s="119">
        <f t="shared" si="11"/>
        <v>1.0331775055130601</v>
      </c>
      <c r="R25" s="119">
        <f t="shared" si="12"/>
        <v>1.0408732567012973</v>
      </c>
      <c r="T25" s="120">
        <f t="shared" si="13"/>
        <v>1</v>
      </c>
      <c r="U25" s="120">
        <f t="shared" si="14"/>
        <v>0.92037282803302423</v>
      </c>
      <c r="V25" s="120">
        <f t="shared" si="15"/>
        <v>0.82047470337450601</v>
      </c>
      <c r="W25" s="120">
        <f t="shared" si="16"/>
        <v>0.68470671157522622</v>
      </c>
      <c r="X25" s="120">
        <f t="shared" si="17"/>
        <v>0.56172696389116505</v>
      </c>
    </row>
    <row r="26" spans="1:24" ht="15">
      <c r="A26" s="2" t="s">
        <v>25</v>
      </c>
      <c r="B26" s="3">
        <v>19.41</v>
      </c>
      <c r="C26" s="3">
        <v>21.37</v>
      </c>
      <c r="D26" s="3">
        <v>23.87</v>
      </c>
      <c r="E26" s="3">
        <v>28.32</v>
      </c>
      <c r="F26" s="3">
        <v>18.27</v>
      </c>
      <c r="H26" s="118">
        <f t="shared" si="3"/>
        <v>3.2444630171333054E-7</v>
      </c>
      <c r="I26" s="118">
        <f t="shared" si="4"/>
        <v>3.237829729852578E-7</v>
      </c>
      <c r="J26" s="118">
        <f t="shared" si="5"/>
        <v>3.1831335262505169E-7</v>
      </c>
      <c r="K26" s="118">
        <f t="shared" si="6"/>
        <v>3.1371853952499115E-7</v>
      </c>
      <c r="L26" s="118">
        <f t="shared" si="7"/>
        <v>1.6480988678904877E-7</v>
      </c>
      <c r="N26" s="119">
        <f t="shared" si="8"/>
        <v>1</v>
      </c>
      <c r="O26" s="119">
        <f t="shared" si="9"/>
        <v>1.1009788768675941</v>
      </c>
      <c r="P26" s="119">
        <f t="shared" si="10"/>
        <v>1.2297784647089129</v>
      </c>
      <c r="Q26" s="119">
        <f t="shared" si="11"/>
        <v>1.4590417310664605</v>
      </c>
      <c r="R26" s="119">
        <f t="shared" si="12"/>
        <v>0.9412673879443586</v>
      </c>
      <c r="T26" s="120">
        <f t="shared" si="13"/>
        <v>1</v>
      </c>
      <c r="U26" s="120">
        <f t="shared" si="14"/>
        <v>0.99795550534997679</v>
      </c>
      <c r="V26" s="120">
        <f t="shared" si="15"/>
        <v>0.98109718293630699</v>
      </c>
      <c r="W26" s="120">
        <f t="shared" si="16"/>
        <v>0.96693516883475505</v>
      </c>
      <c r="X26" s="120">
        <f t="shared" si="17"/>
        <v>0.50797277059015156</v>
      </c>
    </row>
    <row r="27" spans="1:24" ht="15">
      <c r="A27" s="2" t="s">
        <v>26</v>
      </c>
      <c r="B27" s="3">
        <v>18.350000000000001</v>
      </c>
      <c r="C27" s="3">
        <v>20.61</v>
      </c>
      <c r="D27" s="3">
        <v>23.87</v>
      </c>
      <c r="E27" s="3">
        <v>28.32</v>
      </c>
      <c r="F27" s="3">
        <v>18.27</v>
      </c>
      <c r="H27" s="118">
        <f t="shared" si="3"/>
        <v>3.0672795653990811E-7</v>
      </c>
      <c r="I27" s="118">
        <f t="shared" si="4"/>
        <v>3.1226799593945547E-7</v>
      </c>
      <c r="J27" s="118">
        <f t="shared" si="5"/>
        <v>3.1831335262505169E-7</v>
      </c>
      <c r="K27" s="118">
        <f t="shared" si="6"/>
        <v>3.1371853952499115E-7</v>
      </c>
      <c r="L27" s="118">
        <f t="shared" si="7"/>
        <v>1.6480988678904877E-7</v>
      </c>
      <c r="N27" s="119">
        <f t="shared" si="8"/>
        <v>1</v>
      </c>
      <c r="O27" s="119">
        <f t="shared" si="9"/>
        <v>1.1231607629427791</v>
      </c>
      <c r="P27" s="119">
        <f t="shared" si="10"/>
        <v>1.3008174386920981</v>
      </c>
      <c r="Q27" s="119">
        <f t="shared" si="11"/>
        <v>1.5433242506811988</v>
      </c>
      <c r="R27" s="119">
        <f t="shared" si="12"/>
        <v>0.99564032697547677</v>
      </c>
      <c r="T27" s="120">
        <f t="shared" si="13"/>
        <v>1</v>
      </c>
      <c r="U27" s="120">
        <f t="shared" si="14"/>
        <v>1.0180617360805406</v>
      </c>
      <c r="V27" s="120">
        <f t="shared" si="15"/>
        <v>1.0377709166645077</v>
      </c>
      <c r="W27" s="120">
        <f t="shared" si="16"/>
        <v>1.0227908243641739</v>
      </c>
      <c r="X27" s="120">
        <f t="shared" si="17"/>
        <v>0.53731615679317934</v>
      </c>
    </row>
    <row r="28" spans="1:24" ht="15">
      <c r="A28" s="2" t="s">
        <v>27</v>
      </c>
      <c r="B28" s="3">
        <v>677618</v>
      </c>
      <c r="C28" s="3">
        <v>687070</v>
      </c>
      <c r="D28" s="3">
        <v>692930</v>
      </c>
      <c r="E28" s="3">
        <v>698706</v>
      </c>
      <c r="F28" s="3">
        <v>750730</v>
      </c>
      <c r="H28" s="118">
        <f t="shared" si="3"/>
        <v>1.1326669452569996E-2</v>
      </c>
      <c r="I28" s="118">
        <f t="shared" si="4"/>
        <v>1.040999378797291E-2</v>
      </c>
      <c r="J28" s="118">
        <f t="shared" si="5"/>
        <v>9.2404219285495207E-3</v>
      </c>
      <c r="K28" s="118">
        <f t="shared" si="6"/>
        <v>7.7400079758950724E-3</v>
      </c>
      <c r="L28" s="118">
        <f t="shared" si="7"/>
        <v>6.772179874610978E-3</v>
      </c>
      <c r="N28" s="119">
        <f t="shared" si="8"/>
        <v>1</v>
      </c>
      <c r="O28" s="119">
        <f t="shared" si="9"/>
        <v>1.013948862043216</v>
      </c>
      <c r="P28" s="119">
        <f t="shared" si="10"/>
        <v>1.0225968023281553</v>
      </c>
      <c r="Q28" s="119">
        <f t="shared" si="11"/>
        <v>1.0311207789639592</v>
      </c>
      <c r="R28" s="119">
        <f t="shared" si="12"/>
        <v>1.1078955989953041</v>
      </c>
      <c r="T28" s="120">
        <f t="shared" si="13"/>
        <v>1</v>
      </c>
      <c r="U28" s="120">
        <f t="shared" si="14"/>
        <v>0.91906926670407119</v>
      </c>
      <c r="V28" s="120">
        <f t="shared" si="15"/>
        <v>0.81581103494221674</v>
      </c>
      <c r="W28" s="120">
        <f t="shared" si="16"/>
        <v>0.68334367911998006</v>
      </c>
      <c r="X28" s="120">
        <f t="shared" si="17"/>
        <v>0.59789684010548971</v>
      </c>
    </row>
    <row r="29" spans="1:24" ht="15">
      <c r="A29" s="2" t="s">
        <v>28</v>
      </c>
      <c r="B29" s="3">
        <v>19.07</v>
      </c>
      <c r="C29" s="3">
        <v>21.02</v>
      </c>
      <c r="D29" s="3">
        <v>23.59</v>
      </c>
      <c r="E29" s="3">
        <v>27.85</v>
      </c>
      <c r="F29" s="3">
        <v>18</v>
      </c>
      <c r="H29" s="118">
        <f t="shared" si="3"/>
        <v>3.187630589218554E-7</v>
      </c>
      <c r="I29" s="118">
        <f t="shared" si="4"/>
        <v>3.1848002302995411E-7</v>
      </c>
      <c r="J29" s="118">
        <f t="shared" si="5"/>
        <v>3.1457947165584283E-7</v>
      </c>
      <c r="K29" s="118">
        <f t="shared" si="6"/>
        <v>3.0851205246366539E-7</v>
      </c>
      <c r="L29" s="118">
        <f t="shared" si="7"/>
        <v>1.623742726985702E-7</v>
      </c>
      <c r="N29" s="119">
        <f t="shared" si="8"/>
        <v>1</v>
      </c>
      <c r="O29" s="119">
        <f t="shared" si="9"/>
        <v>1.1022548505506029</v>
      </c>
      <c r="P29" s="119">
        <f t="shared" si="10"/>
        <v>1.237021499737808</v>
      </c>
      <c r="Q29" s="119">
        <f t="shared" si="11"/>
        <v>1.4604090194022024</v>
      </c>
      <c r="R29" s="119">
        <f t="shared" si="12"/>
        <v>0.94389092815941267</v>
      </c>
      <c r="T29" s="120">
        <f t="shared" si="13"/>
        <v>1</v>
      </c>
      <c r="U29" s="120">
        <f t="shared" si="14"/>
        <v>0.99911208063801815</v>
      </c>
      <c r="V29" s="120">
        <f t="shared" si="15"/>
        <v>0.98687555803937066</v>
      </c>
      <c r="W29" s="120">
        <f t="shared" si="16"/>
        <v>0.96784129725426238</v>
      </c>
      <c r="X29" s="120">
        <f t="shared" si="17"/>
        <v>0.50938861374892308</v>
      </c>
    </row>
    <row r="30" spans="1:24" ht="15">
      <c r="A30" s="2" t="s">
        <v>29</v>
      </c>
      <c r="B30" s="3">
        <v>18.03</v>
      </c>
      <c r="C30" s="3">
        <v>20.27</v>
      </c>
      <c r="D30" s="3">
        <v>23.59</v>
      </c>
      <c r="E30" s="3">
        <v>27.85</v>
      </c>
      <c r="F30" s="3">
        <v>18</v>
      </c>
      <c r="H30" s="118">
        <f t="shared" si="3"/>
        <v>3.0137902214793146E-7</v>
      </c>
      <c r="I30" s="118">
        <f t="shared" si="4"/>
        <v>3.0711655884001758E-7</v>
      </c>
      <c r="J30" s="118">
        <f t="shared" si="5"/>
        <v>3.1457947165584283E-7</v>
      </c>
      <c r="K30" s="118">
        <f t="shared" si="6"/>
        <v>3.0851205246366539E-7</v>
      </c>
      <c r="L30" s="118">
        <f t="shared" si="7"/>
        <v>1.623742726985702E-7</v>
      </c>
      <c r="N30" s="119">
        <f t="shared" si="8"/>
        <v>1</v>
      </c>
      <c r="O30" s="119">
        <f t="shared" si="9"/>
        <v>1.1242373821408762</v>
      </c>
      <c r="P30" s="119">
        <f t="shared" si="10"/>
        <v>1.3083749306711037</v>
      </c>
      <c r="Q30" s="119">
        <f t="shared" si="11"/>
        <v>1.5446478092068774</v>
      </c>
      <c r="R30" s="119">
        <f t="shared" si="12"/>
        <v>0.99833610648918458</v>
      </c>
      <c r="T30" s="120">
        <f t="shared" si="13"/>
        <v>1</v>
      </c>
      <c r="U30" s="120">
        <f t="shared" si="14"/>
        <v>1.0190376113479784</v>
      </c>
      <c r="V30" s="120">
        <f t="shared" si="15"/>
        <v>1.0438001603888407</v>
      </c>
      <c r="W30" s="120">
        <f t="shared" si="16"/>
        <v>1.023667972192944</v>
      </c>
      <c r="X30" s="120">
        <f t="shared" si="17"/>
        <v>0.5387709852574577</v>
      </c>
    </row>
    <row r="31" spans="1:24" ht="15">
      <c r="A31" s="2" t="s">
        <v>30</v>
      </c>
      <c r="B31" s="3">
        <v>671664.58400000003</v>
      </c>
      <c r="C31" s="3">
        <v>680172</v>
      </c>
      <c r="D31" s="3">
        <v>687348</v>
      </c>
      <c r="E31" s="3">
        <v>691293</v>
      </c>
      <c r="F31" s="3">
        <v>694783</v>
      </c>
      <c r="G31" s="51"/>
      <c r="H31" s="118">
        <f t="shared" si="3"/>
        <v>1.1227155603844546E-2</v>
      </c>
      <c r="I31" s="118">
        <f t="shared" si="4"/>
        <v>1.0305480219996667E-2</v>
      </c>
      <c r="J31" s="118">
        <f t="shared" si="5"/>
        <v>9.1659843443705081E-3</v>
      </c>
      <c r="K31" s="118">
        <f t="shared" si="6"/>
        <v>7.6578894895427156E-3</v>
      </c>
      <c r="L31" s="118">
        <f t="shared" si="7"/>
        <v>6.267493572685039E-3</v>
      </c>
      <c r="N31" s="119">
        <f t="shared" si="8"/>
        <v>1</v>
      </c>
      <c r="O31" s="119">
        <f t="shared" si="9"/>
        <v>1.0126661673142499</v>
      </c>
      <c r="P31" s="119">
        <f t="shared" si="10"/>
        <v>1.0233500714100476</v>
      </c>
      <c r="Q31" s="119">
        <f t="shared" si="11"/>
        <v>1.0292235387536823</v>
      </c>
      <c r="R31" s="119">
        <f t="shared" si="12"/>
        <v>1.0344195846419677</v>
      </c>
      <c r="T31" s="120">
        <f t="shared" si="13"/>
        <v>1</v>
      </c>
      <c r="U31" s="120">
        <f t="shared" si="14"/>
        <v>0.91790659928751084</v>
      </c>
      <c r="V31" s="120">
        <f t="shared" si="15"/>
        <v>0.81641198071858689</v>
      </c>
      <c r="W31" s="120">
        <f t="shared" si="16"/>
        <v>0.68208634134547874</v>
      </c>
      <c r="X31" s="120">
        <f t="shared" si="17"/>
        <v>0.55824411755180836</v>
      </c>
    </row>
    <row r="32" spans="1:24">
      <c r="A32" s="2" t="s">
        <v>127</v>
      </c>
      <c r="G32" s="51">
        <f>AVERAGE(B31:F31)</f>
        <v>685052.11679999996</v>
      </c>
    </row>
  </sheetData>
  <mergeCells count="6">
    <mergeCell ref="H2:M2"/>
    <mergeCell ref="N2:S2"/>
    <mergeCell ref="T2:Y2"/>
    <mergeCell ref="H1:Y1"/>
    <mergeCell ref="A2:F2"/>
    <mergeCell ref="A1:F1"/>
  </mergeCells>
  <printOptions gridLines="1" gridLinesSet="0"/>
  <pageMargins left="0.75" right="0.75" top="1" bottom="1" header="0.5" footer="0.5"/>
  <pageSetup fitToWidth="0" fitToHeight="0" orientation="portrait" r:id="rId1"/>
  <headerFooter alignWithMargins="0"/>
  <extLst>
    <ext xmlns:x14="http://schemas.microsoft.com/office/spreadsheetml/2009/9/main" uri="{05C60535-1F16-4fd2-B633-F4F36F0B64E0}">
      <x14:sparklineGroups xmlns:xm="http://schemas.microsoft.com/office/excel/2006/main">
        <x14:sparklineGroup displayEmptyCellsAs="gap" xr2:uid="{00000000-0003-0000-0200-000003000000}">
          <x14:colorSeries rgb="FF376092"/>
          <x14:colorNegative rgb="FFD00000"/>
          <x14:colorAxis rgb="FF000000"/>
          <x14:colorMarkers rgb="FFD00000"/>
          <x14:colorFirst rgb="FFD00000"/>
          <x14:colorLast rgb="FFD00000"/>
          <x14:colorHigh rgb="FFD00000"/>
          <x14:colorLow rgb="FFD00000"/>
          <x14:sparklines>
            <x14:sparkline>
              <xm:f>'Income Statement'!H4:L4</xm:f>
              <xm:sqref>M4</xm:sqref>
            </x14:sparkline>
            <x14:sparkline>
              <xm:f>'Income Statement'!H5:L5</xm:f>
              <xm:sqref>M5</xm:sqref>
            </x14:sparkline>
            <x14:sparkline>
              <xm:f>'Income Statement'!H6:L6</xm:f>
              <xm:sqref>M6</xm:sqref>
            </x14:sparkline>
            <x14:sparkline>
              <xm:f>'Income Statement'!H7:L7</xm:f>
              <xm:sqref>M7</xm:sqref>
            </x14:sparkline>
            <x14:sparkline>
              <xm:f>'Income Statement'!H8:L8</xm:f>
              <xm:sqref>M8</xm:sqref>
            </x14:sparkline>
            <x14:sparkline>
              <xm:f>'Income Statement'!H9:L9</xm:f>
              <xm:sqref>M9</xm:sqref>
            </x14:sparkline>
            <x14:sparkline>
              <xm:f>'Income Statement'!H10:L10</xm:f>
              <xm:sqref>M10</xm:sqref>
            </x14:sparkline>
            <x14:sparkline>
              <xm:f>'Income Statement'!H11:L11</xm:f>
              <xm:sqref>M11</xm:sqref>
            </x14:sparkline>
            <x14:sparkline>
              <xm:f>'Income Statement'!H12:L12</xm:f>
              <xm:sqref>M12</xm:sqref>
            </x14:sparkline>
            <x14:sparkline>
              <xm:f>'Income Statement'!H13:L13</xm:f>
              <xm:sqref>M13</xm:sqref>
            </x14:sparkline>
            <x14:sparkline>
              <xm:f>'Income Statement'!H14:L14</xm:f>
              <xm:sqref>M14</xm:sqref>
            </x14:sparkline>
            <x14:sparkline>
              <xm:f>'Income Statement'!H15:L15</xm:f>
              <xm:sqref>M15</xm:sqref>
            </x14:sparkline>
            <x14:sparkline>
              <xm:f>'Income Statement'!H16:L16</xm:f>
              <xm:sqref>M16</xm:sqref>
            </x14:sparkline>
            <x14:sparkline>
              <xm:f>'Income Statement'!H17:L17</xm:f>
              <xm:sqref>M17</xm:sqref>
            </x14:sparkline>
            <x14:sparkline>
              <xm:f>'Income Statement'!H18:L18</xm:f>
              <xm:sqref>M18</xm:sqref>
            </x14:sparkline>
            <x14:sparkline>
              <xm:f>'Income Statement'!H19:L19</xm:f>
              <xm:sqref>M19</xm:sqref>
            </x14:sparkline>
            <x14:sparkline>
              <xm:f>'Income Statement'!H20:L20</xm:f>
              <xm:sqref>M20</xm:sqref>
            </x14:sparkline>
            <x14:sparkline>
              <xm:f>'Income Statement'!H21:L21</xm:f>
              <xm:sqref>M21</xm:sqref>
            </x14:sparkline>
            <x14:sparkline>
              <xm:f>'Income Statement'!H22:L22</xm:f>
              <xm:sqref>M22</xm:sqref>
            </x14:sparkline>
            <x14:sparkline>
              <xm:f>'Income Statement'!H23:L23</xm:f>
              <xm:sqref>M23</xm:sqref>
            </x14:sparkline>
            <x14:sparkline>
              <xm:f>'Income Statement'!H24:L24</xm:f>
              <xm:sqref>M24</xm:sqref>
            </x14:sparkline>
            <x14:sparkline>
              <xm:f>'Income Statement'!H25:L25</xm:f>
              <xm:sqref>M25</xm:sqref>
            </x14:sparkline>
            <x14:sparkline>
              <xm:f>'Income Statement'!H26:L26</xm:f>
              <xm:sqref>M26</xm:sqref>
            </x14:sparkline>
            <x14:sparkline>
              <xm:f>'Income Statement'!H27:L27</xm:f>
              <xm:sqref>M27</xm:sqref>
            </x14:sparkline>
            <x14:sparkline>
              <xm:f>'Income Statement'!H28:L28</xm:f>
              <xm:sqref>M28</xm:sqref>
            </x14:sparkline>
            <x14:sparkline>
              <xm:f>'Income Statement'!H29:L29</xm:f>
              <xm:sqref>M29</xm:sqref>
            </x14:sparkline>
            <x14:sparkline>
              <xm:f>'Income Statement'!H30:L30</xm:f>
              <xm:sqref>M30</xm:sqref>
            </x14:sparkline>
            <x14:sparkline>
              <xm:f>'Income Statement'!H31:L31</xm:f>
              <xm:sqref>M31</xm:sqref>
            </x14:sparkline>
          </x14:sparklines>
        </x14:sparklineGroup>
        <x14:sparklineGroup displayEmptyCellsAs="gap" xr2:uid="{00000000-0003-0000-0200-000004000000}">
          <x14:colorSeries rgb="FF376092"/>
          <x14:colorNegative rgb="FFD00000"/>
          <x14:colorAxis rgb="FF000000"/>
          <x14:colorMarkers rgb="FFD00000"/>
          <x14:colorFirst rgb="FFD00000"/>
          <x14:colorLast rgb="FFD00000"/>
          <x14:colorHigh rgb="FFD00000"/>
          <x14:colorLow rgb="FFD00000"/>
          <x14:sparklines>
            <x14:sparkline>
              <xm:f>'Income Statement'!N4:R4</xm:f>
              <xm:sqref>S4</xm:sqref>
            </x14:sparkline>
            <x14:sparkline>
              <xm:f>'Income Statement'!N5:R5</xm:f>
              <xm:sqref>S5</xm:sqref>
            </x14:sparkline>
            <x14:sparkline>
              <xm:f>'Income Statement'!N6:R6</xm:f>
              <xm:sqref>S6</xm:sqref>
            </x14:sparkline>
            <x14:sparkline>
              <xm:f>'Income Statement'!N7:R7</xm:f>
              <xm:sqref>S7</xm:sqref>
            </x14:sparkline>
            <x14:sparkline>
              <xm:f>'Income Statement'!N8:R8</xm:f>
              <xm:sqref>S8</xm:sqref>
            </x14:sparkline>
            <x14:sparkline>
              <xm:f>'Income Statement'!N9:R9</xm:f>
              <xm:sqref>S9</xm:sqref>
            </x14:sparkline>
            <x14:sparkline>
              <xm:f>'Income Statement'!N10:R10</xm:f>
              <xm:sqref>S10</xm:sqref>
            </x14:sparkline>
            <x14:sparkline>
              <xm:f>'Income Statement'!N11:R11</xm:f>
              <xm:sqref>S11</xm:sqref>
            </x14:sparkline>
            <x14:sparkline>
              <xm:f>'Income Statement'!N12:R12</xm:f>
              <xm:sqref>S12</xm:sqref>
            </x14:sparkline>
            <x14:sparkline>
              <xm:f>'Income Statement'!N13:R13</xm:f>
              <xm:sqref>S13</xm:sqref>
            </x14:sparkline>
            <x14:sparkline>
              <xm:f>'Income Statement'!N14:R14</xm:f>
              <xm:sqref>S14</xm:sqref>
            </x14:sparkline>
            <x14:sparkline>
              <xm:f>'Income Statement'!N15:R15</xm:f>
              <xm:sqref>S15</xm:sqref>
            </x14:sparkline>
            <x14:sparkline>
              <xm:f>'Income Statement'!N16:R16</xm:f>
              <xm:sqref>S16</xm:sqref>
            </x14:sparkline>
            <x14:sparkline>
              <xm:f>'Income Statement'!N17:R17</xm:f>
              <xm:sqref>S17</xm:sqref>
            </x14:sparkline>
            <x14:sparkline>
              <xm:f>'Income Statement'!N18:R18</xm:f>
              <xm:sqref>S18</xm:sqref>
            </x14:sparkline>
            <x14:sparkline>
              <xm:f>'Income Statement'!N19:R19</xm:f>
              <xm:sqref>S19</xm:sqref>
            </x14:sparkline>
            <x14:sparkline>
              <xm:f>'Income Statement'!N20:R20</xm:f>
              <xm:sqref>S20</xm:sqref>
            </x14:sparkline>
            <x14:sparkline>
              <xm:f>'Income Statement'!N21:R21</xm:f>
              <xm:sqref>S21</xm:sqref>
            </x14:sparkline>
            <x14:sparkline>
              <xm:f>'Income Statement'!N22:R22</xm:f>
              <xm:sqref>S22</xm:sqref>
            </x14:sparkline>
            <x14:sparkline>
              <xm:f>'Income Statement'!N23:R23</xm:f>
              <xm:sqref>S23</xm:sqref>
            </x14:sparkline>
            <x14:sparkline>
              <xm:f>'Income Statement'!N24:R24</xm:f>
              <xm:sqref>S24</xm:sqref>
            </x14:sparkline>
            <x14:sparkline>
              <xm:f>'Income Statement'!N25:R25</xm:f>
              <xm:sqref>S25</xm:sqref>
            </x14:sparkline>
            <x14:sparkline>
              <xm:f>'Income Statement'!N26:R26</xm:f>
              <xm:sqref>S26</xm:sqref>
            </x14:sparkline>
            <x14:sparkline>
              <xm:f>'Income Statement'!N27:R27</xm:f>
              <xm:sqref>S27</xm:sqref>
            </x14:sparkline>
            <x14:sparkline>
              <xm:f>'Income Statement'!N28:R28</xm:f>
              <xm:sqref>S28</xm:sqref>
            </x14:sparkline>
            <x14:sparkline>
              <xm:f>'Income Statement'!N29:R29</xm:f>
              <xm:sqref>S29</xm:sqref>
            </x14:sparkline>
            <x14:sparkline>
              <xm:f>'Income Statement'!N30:R30</xm:f>
              <xm:sqref>S30</xm:sqref>
            </x14:sparkline>
            <x14:sparkline>
              <xm:f>'Income Statement'!N31:R31</xm:f>
              <xm:sqref>S31</xm:sqref>
            </x14:sparkline>
          </x14:sparklines>
        </x14:sparklineGroup>
        <x14:sparklineGroup displayEmptyCellsAs="gap" xr2:uid="{00000000-0003-0000-0200-000005000000}">
          <x14:colorSeries rgb="FF376092"/>
          <x14:colorNegative rgb="FFD00000"/>
          <x14:colorAxis rgb="FF000000"/>
          <x14:colorMarkers rgb="FFD00000"/>
          <x14:colorFirst rgb="FFD00000"/>
          <x14:colorLast rgb="FFD00000"/>
          <x14:colorHigh rgb="FFD00000"/>
          <x14:colorLow rgb="FFD00000"/>
          <x14:sparklines>
            <x14:sparkline>
              <xm:f>'Income Statement'!T4:X4</xm:f>
              <xm:sqref>Y4</xm:sqref>
            </x14:sparkline>
            <x14:sparkline>
              <xm:f>'Income Statement'!T5:X5</xm:f>
              <xm:sqref>Y5</xm:sqref>
            </x14:sparkline>
            <x14:sparkline>
              <xm:f>'Income Statement'!T6:X6</xm:f>
              <xm:sqref>Y6</xm:sqref>
            </x14:sparkline>
            <x14:sparkline>
              <xm:f>'Income Statement'!T7:X7</xm:f>
              <xm:sqref>Y7</xm:sqref>
            </x14:sparkline>
            <x14:sparkline>
              <xm:f>'Income Statement'!T8:X8</xm:f>
              <xm:sqref>Y8</xm:sqref>
            </x14:sparkline>
            <x14:sparkline>
              <xm:f>'Income Statement'!T9:X9</xm:f>
              <xm:sqref>Y9</xm:sqref>
            </x14:sparkline>
            <x14:sparkline>
              <xm:f>'Income Statement'!T10:X10</xm:f>
              <xm:sqref>Y10</xm:sqref>
            </x14:sparkline>
            <x14:sparkline>
              <xm:f>'Income Statement'!T11:X11</xm:f>
              <xm:sqref>Y11</xm:sqref>
            </x14:sparkline>
            <x14:sparkline>
              <xm:f>'Income Statement'!T12:X12</xm:f>
              <xm:sqref>Y12</xm:sqref>
            </x14:sparkline>
            <x14:sparkline>
              <xm:f>'Income Statement'!T13:X13</xm:f>
              <xm:sqref>Y13</xm:sqref>
            </x14:sparkline>
            <x14:sparkline>
              <xm:f>'Income Statement'!T14:X14</xm:f>
              <xm:sqref>Y14</xm:sqref>
            </x14:sparkline>
            <x14:sparkline>
              <xm:f>'Income Statement'!T15:X15</xm:f>
              <xm:sqref>Y15</xm:sqref>
            </x14:sparkline>
            <x14:sparkline>
              <xm:f>'Income Statement'!T16:X16</xm:f>
              <xm:sqref>Y16</xm:sqref>
            </x14:sparkline>
            <x14:sparkline>
              <xm:f>'Income Statement'!T17:X17</xm:f>
              <xm:sqref>Y17</xm:sqref>
            </x14:sparkline>
            <x14:sparkline>
              <xm:f>'Income Statement'!T18:X18</xm:f>
              <xm:sqref>Y18</xm:sqref>
            </x14:sparkline>
            <x14:sparkline>
              <xm:f>'Income Statement'!T19:X19</xm:f>
              <xm:sqref>Y19</xm:sqref>
            </x14:sparkline>
            <x14:sparkline>
              <xm:f>'Income Statement'!T20:X20</xm:f>
              <xm:sqref>Y20</xm:sqref>
            </x14:sparkline>
            <x14:sparkline>
              <xm:f>'Income Statement'!T21:X21</xm:f>
              <xm:sqref>Y21</xm:sqref>
            </x14:sparkline>
            <x14:sparkline>
              <xm:f>'Income Statement'!T22:X22</xm:f>
              <xm:sqref>Y22</xm:sqref>
            </x14:sparkline>
            <x14:sparkline>
              <xm:f>'Income Statement'!T23:X23</xm:f>
              <xm:sqref>Y23</xm:sqref>
            </x14:sparkline>
            <x14:sparkline>
              <xm:f>'Income Statement'!T24:X24</xm:f>
              <xm:sqref>Y24</xm:sqref>
            </x14:sparkline>
            <x14:sparkline>
              <xm:f>'Income Statement'!T25:X25</xm:f>
              <xm:sqref>Y25</xm:sqref>
            </x14:sparkline>
            <x14:sparkline>
              <xm:f>'Income Statement'!T26:X26</xm:f>
              <xm:sqref>Y26</xm:sqref>
            </x14:sparkline>
            <x14:sparkline>
              <xm:f>'Income Statement'!T27:X27</xm:f>
              <xm:sqref>Y27</xm:sqref>
            </x14:sparkline>
            <x14:sparkline>
              <xm:f>'Income Statement'!T28:X28</xm:f>
              <xm:sqref>Y28</xm:sqref>
            </x14:sparkline>
            <x14:sparkline>
              <xm:f>'Income Statement'!T29:X29</xm:f>
              <xm:sqref>Y29</xm:sqref>
            </x14:sparkline>
            <x14:sparkline>
              <xm:f>'Income Statement'!T30:X30</xm:f>
              <xm:sqref>Y30</xm:sqref>
            </x14:sparkline>
            <x14:sparkline>
              <xm:f>'Income Statement'!T31:X31</xm:f>
              <xm:sqref>Y31</xm:sqref>
            </x14:sparkline>
          </x14:sparklines>
        </x14:sparklineGroup>
      </x14:sparklineGroup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M37"/>
  <sheetViews>
    <sheetView zoomScale="109" zoomScaleNormal="120" workbookViewId="0">
      <pane xSplit="1" ySplit="3" topLeftCell="B4" activePane="bottomRight" state="frozen"/>
      <selection pane="topRight" activeCell="B1" sqref="B1"/>
      <selection pane="bottomLeft" activeCell="A4" sqref="A4"/>
      <selection pane="bottomRight" activeCell="F24" sqref="F24"/>
    </sheetView>
  </sheetViews>
  <sheetFormatPr baseColWidth="10" defaultColWidth="8.83203125" defaultRowHeight="13"/>
  <cols>
    <col min="1" max="1" width="27" bestFit="1" customWidth="1"/>
    <col min="2" max="5" width="13.33203125" bestFit="1" customWidth="1"/>
    <col min="6" max="6" width="14.33203125" bestFit="1" customWidth="1"/>
    <col min="7" max="7" width="14.83203125" bestFit="1" customWidth="1"/>
    <col min="8" max="13" width="15.5" bestFit="1" customWidth="1"/>
    <col min="14" max="195" width="12.6640625" customWidth="1"/>
  </cols>
  <sheetData>
    <row r="1" spans="1:13" ht="20" customHeight="1">
      <c r="A1" s="303" t="s">
        <v>0</v>
      </c>
      <c r="B1" s="304"/>
      <c r="C1" s="304"/>
      <c r="D1" s="304"/>
      <c r="E1" s="304"/>
      <c r="F1" s="304"/>
      <c r="G1" s="305" t="s">
        <v>97</v>
      </c>
      <c r="H1" s="306"/>
      <c r="I1" s="306"/>
      <c r="J1" s="306"/>
      <c r="K1" s="125">
        <f>Assumptions!H2</f>
        <v>0.16780707837005074</v>
      </c>
      <c r="L1" s="45"/>
      <c r="M1" s="46"/>
    </row>
    <row r="2" spans="1:13" ht="14" customHeight="1" thickBot="1">
      <c r="A2" s="301" t="s">
        <v>1</v>
      </c>
      <c r="B2" s="302"/>
      <c r="C2" s="302"/>
      <c r="D2" s="302"/>
      <c r="E2" s="302"/>
      <c r="F2" s="302"/>
      <c r="G2" s="33"/>
      <c r="H2" s="47"/>
      <c r="I2" s="47"/>
      <c r="J2" s="47"/>
      <c r="K2" s="47"/>
      <c r="L2" s="47"/>
      <c r="M2" s="34"/>
    </row>
    <row r="3" spans="1:13" ht="14" thickBot="1">
      <c r="A3" s="8"/>
      <c r="B3" s="9">
        <v>2013</v>
      </c>
      <c r="C3" s="10">
        <v>2014</v>
      </c>
      <c r="D3" s="10">
        <v>2015</v>
      </c>
      <c r="E3" s="10">
        <v>2016</v>
      </c>
      <c r="F3" s="36">
        <v>2017</v>
      </c>
      <c r="G3" s="37" t="s">
        <v>98</v>
      </c>
      <c r="H3" s="50" t="s">
        <v>99</v>
      </c>
      <c r="I3" s="38" t="s">
        <v>105</v>
      </c>
      <c r="J3" s="50" t="s">
        <v>100</v>
      </c>
      <c r="K3" s="38" t="s">
        <v>106</v>
      </c>
      <c r="L3" s="50" t="s">
        <v>101</v>
      </c>
      <c r="M3" s="39" t="s">
        <v>107</v>
      </c>
    </row>
    <row r="4" spans="1:13" ht="15">
      <c r="A4" s="2" t="s">
        <v>3</v>
      </c>
      <c r="B4" s="3">
        <v>59825000</v>
      </c>
      <c r="C4" s="3">
        <v>66001000</v>
      </c>
      <c r="D4" s="3">
        <v>74989000</v>
      </c>
      <c r="E4" s="3">
        <v>90272000</v>
      </c>
      <c r="F4" s="3">
        <v>110855000</v>
      </c>
      <c r="G4" s="35">
        <f>Assumptions!H5</f>
        <v>1</v>
      </c>
      <c r="H4" s="77">
        <f>(1+K1)*F4</f>
        <v>129457253.67271197</v>
      </c>
      <c r="I4" s="48">
        <f>H4/H$4</f>
        <v>1</v>
      </c>
      <c r="J4" s="77">
        <f>(1+K1)*H4</f>
        <v>151181097.18534029</v>
      </c>
      <c r="K4" s="48">
        <f>J4/J$4</f>
        <v>1</v>
      </c>
      <c r="L4" s="77">
        <f>(1+K1)*J4</f>
        <v>176550355.40879095</v>
      </c>
      <c r="M4" s="23">
        <f>L4/L$4</f>
        <v>1</v>
      </c>
    </row>
    <row r="5" spans="1:13" ht="15">
      <c r="A5" s="2" t="s">
        <v>4</v>
      </c>
      <c r="B5" s="3">
        <v>25858000</v>
      </c>
      <c r="C5" s="3">
        <v>25691000</v>
      </c>
      <c r="D5" s="3">
        <v>28164000</v>
      </c>
      <c r="E5" s="3">
        <v>35138000</v>
      </c>
      <c r="F5" s="3">
        <v>45583000</v>
      </c>
      <c r="G5" s="35">
        <f>Assumptions!H6</f>
        <v>0.39949894617917298</v>
      </c>
      <c r="H5" s="77">
        <f>G5*$H$4</f>
        <v>51718036.417498298</v>
      </c>
      <c r="I5" s="48">
        <f t="shared" ref="I5:I24" si="0">H5/H$4</f>
        <v>0.39949894617917292</v>
      </c>
      <c r="J5" s="77">
        <f>I5*$J$4</f>
        <v>60396689.007754572</v>
      </c>
      <c r="K5" s="48">
        <f t="shared" ref="K5:K24" si="1">J5/J$4</f>
        <v>0.39949894617917292</v>
      </c>
      <c r="L5" s="77">
        <f>K5*$L$4</f>
        <v>70531680.933370426</v>
      </c>
      <c r="M5" s="23">
        <f t="shared" ref="M5:M24" si="2">L5/L$4</f>
        <v>0.39949894617917292</v>
      </c>
    </row>
    <row r="6" spans="1:13">
      <c r="A6" s="12" t="s">
        <v>5</v>
      </c>
      <c r="B6" s="5">
        <f>B4-B5</f>
        <v>33967000</v>
      </c>
      <c r="C6" s="5">
        <f>C4-C5</f>
        <v>40310000</v>
      </c>
      <c r="D6" s="5">
        <f>D4-D5</f>
        <v>46825000</v>
      </c>
      <c r="E6" s="5">
        <f>E4-E5</f>
        <v>55134000</v>
      </c>
      <c r="F6" s="5">
        <f>F4-F5</f>
        <v>65272000</v>
      </c>
      <c r="G6" s="35">
        <f>Assumptions!H7</f>
        <v>0.60050105382082664</v>
      </c>
      <c r="H6" s="78">
        <f>H4-H5</f>
        <v>77739217.255213678</v>
      </c>
      <c r="I6" s="48">
        <f t="shared" si="0"/>
        <v>0.60050105382082708</v>
      </c>
      <c r="J6" s="78">
        <f>J4-J5</f>
        <v>90784408.177585721</v>
      </c>
      <c r="K6" s="48">
        <f t="shared" si="1"/>
        <v>0.60050105382082708</v>
      </c>
      <c r="L6" s="78">
        <f>L4-L5</f>
        <v>106018674.47542052</v>
      </c>
      <c r="M6" s="23">
        <f t="shared" si="2"/>
        <v>0.60050105382082708</v>
      </c>
    </row>
    <row r="7" spans="1:13" ht="15">
      <c r="A7" s="2" t="s">
        <v>6</v>
      </c>
      <c r="B7" s="3">
        <v>12049000</v>
      </c>
      <c r="C7" s="3">
        <v>13982000</v>
      </c>
      <c r="D7" s="3">
        <v>15183000</v>
      </c>
      <c r="E7" s="3">
        <v>17470000</v>
      </c>
      <c r="F7" s="3">
        <v>19765000</v>
      </c>
      <c r="G7" s="35">
        <f>Assumptions!H8</f>
        <v>0.19750825399069458</v>
      </c>
      <c r="H7" s="77">
        <f t="shared" ref="H7:H23" si="3">G7*$H$4</f>
        <v>25568876.139327772</v>
      </c>
      <c r="I7" s="48">
        <f t="shared" si="0"/>
        <v>0.19750825399069455</v>
      </c>
      <c r="J7" s="77">
        <f>I7*$J$4</f>
        <v>29859514.541474067</v>
      </c>
      <c r="K7" s="48">
        <f t="shared" si="1"/>
        <v>0.19750825399069455</v>
      </c>
      <c r="L7" s="77">
        <f>K7*$L$4</f>
        <v>34870152.438226879</v>
      </c>
      <c r="M7" s="23">
        <f t="shared" si="2"/>
        <v>0.19750825399069458</v>
      </c>
    </row>
    <row r="8" spans="1:13" ht="15">
      <c r="A8" s="2" t="s">
        <v>7</v>
      </c>
      <c r="B8" s="3">
        <v>7952000</v>
      </c>
      <c r="C8" s="3">
        <v>9832000</v>
      </c>
      <c r="D8" s="3">
        <v>12282000</v>
      </c>
      <c r="E8" s="3">
        <v>13948000</v>
      </c>
      <c r="F8" s="3">
        <v>16625000</v>
      </c>
      <c r="G8" s="35">
        <f>Assumptions!H9</f>
        <v>0.15003079507525274</v>
      </c>
      <c r="H8" s="77">
        <f t="shared" si="3"/>
        <v>19422574.69677566</v>
      </c>
      <c r="I8" s="48">
        <f t="shared" si="0"/>
        <v>0.15003079507525274</v>
      </c>
      <c r="J8" s="77">
        <f t="shared" ref="J8:J9" si="4">I8*$J$4</f>
        <v>22681820.211065657</v>
      </c>
      <c r="K8" s="48">
        <f t="shared" si="1"/>
        <v>0.15003079507525274</v>
      </c>
      <c r="L8" s="77">
        <f t="shared" ref="L8:L9" si="5">K8*$L$4</f>
        <v>26487990.192799356</v>
      </c>
      <c r="M8" s="23">
        <f t="shared" si="2"/>
        <v>0.15003079507525274</v>
      </c>
    </row>
    <row r="9" spans="1:13" ht="15">
      <c r="A9" s="2" t="s">
        <v>8</v>
      </c>
      <c r="B9" s="3">
        <v>0</v>
      </c>
      <c r="C9" s="3">
        <v>0</v>
      </c>
      <c r="D9" s="3">
        <v>0</v>
      </c>
      <c r="E9" s="3">
        <v>0</v>
      </c>
      <c r="F9" s="3">
        <v>2736000</v>
      </c>
      <c r="G9" s="35">
        <f>Assumptions!H10</f>
        <v>4.936177890036534E-3</v>
      </c>
      <c r="H9" s="77">
        <f t="shared" si="3"/>
        <v>639024.03328409174</v>
      </c>
      <c r="I9" s="48">
        <f t="shared" si="0"/>
        <v>4.936177890036534E-3</v>
      </c>
      <c r="J9" s="77">
        <f t="shared" si="4"/>
        <v>746256.78931774118</v>
      </c>
      <c r="K9" s="48">
        <f t="shared" si="1"/>
        <v>4.936177890036534E-3</v>
      </c>
      <c r="L9" s="77">
        <f t="shared" si="5"/>
        <v>871483.9608469659</v>
      </c>
      <c r="M9" s="23">
        <f t="shared" si="2"/>
        <v>4.936177890036534E-3</v>
      </c>
    </row>
    <row r="10" spans="1:13">
      <c r="A10" s="12" t="s">
        <v>9</v>
      </c>
      <c r="B10" s="6">
        <f>B7+B8+B9</f>
        <v>20001000</v>
      </c>
      <c r="C10" s="6">
        <f t="shared" ref="C10:E10" si="6">C7+C8+C9</f>
        <v>23814000</v>
      </c>
      <c r="D10" s="6">
        <f t="shared" si="6"/>
        <v>27465000</v>
      </c>
      <c r="E10" s="6">
        <f t="shared" si="6"/>
        <v>31418000</v>
      </c>
      <c r="F10" s="6">
        <f>F7+F8+F9</f>
        <v>39126000</v>
      </c>
      <c r="G10" s="35">
        <f>Assumptions!H11</f>
        <v>0.35247522695598393</v>
      </c>
      <c r="H10" s="79">
        <f>SUM(H7:H9)</f>
        <v>45630474.869387522</v>
      </c>
      <c r="I10" s="48">
        <f t="shared" si="0"/>
        <v>0.35247522695598382</v>
      </c>
      <c r="J10" s="79">
        <f>SUM(J7:J9)</f>
        <v>53287591.541857466</v>
      </c>
      <c r="K10" s="48">
        <f t="shared" si="1"/>
        <v>0.35247522695598382</v>
      </c>
      <c r="L10" s="79">
        <f>SUM(L7:L9)</f>
        <v>62229626.591873206</v>
      </c>
      <c r="M10" s="23">
        <f t="shared" si="2"/>
        <v>0.35247522695598388</v>
      </c>
    </row>
    <row r="11" spans="1:13">
      <c r="A11" s="12" t="s">
        <v>10</v>
      </c>
      <c r="B11" s="5">
        <f>B6-B10</f>
        <v>13966000</v>
      </c>
      <c r="C11" s="5">
        <f t="shared" ref="C11:F11" si="7">C6-C10</f>
        <v>16496000</v>
      </c>
      <c r="D11" s="5">
        <f t="shared" si="7"/>
        <v>19360000</v>
      </c>
      <c r="E11" s="5">
        <f t="shared" si="7"/>
        <v>23716000</v>
      </c>
      <c r="F11" s="5">
        <f t="shared" si="7"/>
        <v>26146000</v>
      </c>
      <c r="G11" s="35">
        <f>Assumptions!H12</f>
        <v>0.2480258268648429</v>
      </c>
      <c r="H11" s="78">
        <f t="shared" si="3"/>
        <v>32108742.385826107</v>
      </c>
      <c r="I11" s="48">
        <f t="shared" si="0"/>
        <v>0.2480258268648429</v>
      </c>
      <c r="J11" s="78">
        <f>I11*$J$4</f>
        <v>37496816.635728195</v>
      </c>
      <c r="K11" s="48">
        <f t="shared" si="1"/>
        <v>0.2480258268648429</v>
      </c>
      <c r="L11" s="78">
        <f>K11*$L$4</f>
        <v>43789047.883547261</v>
      </c>
      <c r="M11" s="23">
        <f t="shared" si="2"/>
        <v>0.2480258268648429</v>
      </c>
    </row>
    <row r="12" spans="1:13" ht="15">
      <c r="A12" s="2" t="s">
        <v>11</v>
      </c>
      <c r="B12" s="3">
        <v>702000</v>
      </c>
      <c r="C12" s="3">
        <v>645000</v>
      </c>
      <c r="D12" s="3">
        <v>895000</v>
      </c>
      <c r="E12" s="3">
        <v>1096000</v>
      </c>
      <c r="F12" s="3">
        <v>1203000</v>
      </c>
      <c r="G12" s="35">
        <f>Assumptions!H13</f>
        <v>1.1286997290357505E-2</v>
      </c>
      <c r="H12" s="77">
        <f t="shared" si="3"/>
        <v>1461183.6714210242</v>
      </c>
      <c r="I12" s="48">
        <f t="shared" si="0"/>
        <v>1.1286997290357505E-2</v>
      </c>
      <c r="J12" s="77">
        <f t="shared" ref="J12:J15" si="8">I12*$J$4</f>
        <v>1706380.6342842104</v>
      </c>
      <c r="K12" s="48">
        <f t="shared" si="1"/>
        <v>1.1286997290357505E-2</v>
      </c>
      <c r="L12" s="77">
        <f t="shared" ref="L12:L15" si="9">K12*$L$4</f>
        <v>1992723.3831106781</v>
      </c>
      <c r="M12" s="23">
        <f t="shared" si="2"/>
        <v>1.1286997290357505E-2</v>
      </c>
    </row>
    <row r="13" spans="1:13" ht="15">
      <c r="A13" s="2" t="s">
        <v>12</v>
      </c>
      <c r="B13" s="3">
        <v>144000</v>
      </c>
      <c r="C13" s="3">
        <v>438000</v>
      </c>
      <c r="D13" s="3">
        <v>-334000</v>
      </c>
      <c r="E13" s="3">
        <v>-275000</v>
      </c>
      <c r="F13" s="3">
        <v>-194000</v>
      </c>
      <c r="G13" s="35">
        <f>Assumptions!H14</f>
        <v>-4.141713236760383E-5</v>
      </c>
      <c r="H13" s="77">
        <f t="shared" si="3"/>
        <v>-5361.7482113091783</v>
      </c>
      <c r="I13" s="48">
        <f t="shared" si="0"/>
        <v>-4.141713236760383E-5</v>
      </c>
      <c r="J13" s="77">
        <f t="shared" si="8"/>
        <v>-6261.4875136048177</v>
      </c>
      <c r="K13" s="48">
        <f t="shared" si="1"/>
        <v>-4.141713236760383E-5</v>
      </c>
      <c r="L13" s="77">
        <f t="shared" si="9"/>
        <v>-7312.2094395133954</v>
      </c>
      <c r="M13" s="23">
        <f t="shared" si="2"/>
        <v>-4.141713236760383E-5</v>
      </c>
    </row>
    <row r="14" spans="1:13" ht="15">
      <c r="A14" s="2" t="s">
        <v>13</v>
      </c>
      <c r="B14" s="3">
        <v>-379000</v>
      </c>
      <c r="C14" s="3">
        <v>-402000</v>
      </c>
      <c r="D14" s="3">
        <v>-422000</v>
      </c>
      <c r="E14" s="3">
        <v>-475000</v>
      </c>
      <c r="F14" s="3">
        <v>-121000</v>
      </c>
      <c r="G14" s="35">
        <f>Assumptions!H15</f>
        <v>-4.8813688348544231E-3</v>
      </c>
      <c r="H14" s="77">
        <f t="shared" si="3"/>
        <v>-631928.60352381947</v>
      </c>
      <c r="I14" s="48">
        <f t="shared" si="0"/>
        <v>-4.8813688348544231E-3</v>
      </c>
      <c r="J14" s="77">
        <f t="shared" si="8"/>
        <v>-737970.69621961785</v>
      </c>
      <c r="K14" s="48">
        <f t="shared" si="1"/>
        <v>-4.8813688348544231E-3</v>
      </c>
      <c r="L14" s="77">
        <f t="shared" si="9"/>
        <v>-861807.40267494414</v>
      </c>
      <c r="M14" s="23">
        <f t="shared" si="2"/>
        <v>-4.8813688348544231E-3</v>
      </c>
    </row>
    <row r="15" spans="1:13" ht="15">
      <c r="A15" s="2" t="s">
        <v>14</v>
      </c>
      <c r="B15" s="3">
        <v>63000</v>
      </c>
      <c r="C15" s="3">
        <v>82000</v>
      </c>
      <c r="D15" s="3">
        <v>152000</v>
      </c>
      <c r="E15" s="3">
        <v>88000</v>
      </c>
      <c r="F15" s="3">
        <v>159000</v>
      </c>
      <c r="G15" s="35">
        <f>Assumptions!H16</f>
        <v>1.3463157053460848E-3</v>
      </c>
      <c r="H15" s="77">
        <f t="shared" si="3"/>
        <v>174290.33379054425</v>
      </c>
      <c r="I15" s="48">
        <f t="shared" si="0"/>
        <v>1.3463157053460848E-3</v>
      </c>
      <c r="J15" s="77">
        <f t="shared" si="8"/>
        <v>203537.4854920764</v>
      </c>
      <c r="K15" s="48">
        <f t="shared" si="1"/>
        <v>1.3463157053460848E-3</v>
      </c>
      <c r="L15" s="77">
        <f t="shared" si="9"/>
        <v>237692.51627128833</v>
      </c>
      <c r="M15" s="23">
        <f t="shared" si="2"/>
        <v>1.3463157053460848E-3</v>
      </c>
    </row>
    <row r="16" spans="1:13">
      <c r="A16" s="15" t="s">
        <v>15</v>
      </c>
      <c r="B16" s="5">
        <f>B12+B13+B14+B15</f>
        <v>530000</v>
      </c>
      <c r="C16" s="5">
        <f t="shared" ref="C16:E16" si="10">C12+C13+C14+C15</f>
        <v>763000</v>
      </c>
      <c r="D16" s="5">
        <f t="shared" si="10"/>
        <v>291000</v>
      </c>
      <c r="E16" s="5">
        <f t="shared" si="10"/>
        <v>434000</v>
      </c>
      <c r="F16" s="5">
        <f>F12+F13+F14+F15</f>
        <v>1047000</v>
      </c>
      <c r="G16" s="35">
        <f>Assumptions!H17</f>
        <v>7.7105270284815643E-3</v>
      </c>
      <c r="H16" s="78">
        <f>SUM(H12:H15)</f>
        <v>998183.65347643988</v>
      </c>
      <c r="I16" s="48">
        <f t="shared" si="0"/>
        <v>7.7105270284815643E-3</v>
      </c>
      <c r="J16" s="78">
        <f>SUM(J12:J15)</f>
        <v>1165685.9360430641</v>
      </c>
      <c r="K16" s="48">
        <f t="shared" si="1"/>
        <v>7.7105270284815626E-3</v>
      </c>
      <c r="L16" s="78">
        <f>SUM(L12:L15)</f>
        <v>1361296.2872675087</v>
      </c>
      <c r="M16" s="23">
        <f t="shared" si="2"/>
        <v>7.7105270284815626E-3</v>
      </c>
    </row>
    <row r="17" spans="1:13">
      <c r="A17" s="2" t="s">
        <v>16</v>
      </c>
      <c r="B17" s="5">
        <f>B11+B16</f>
        <v>14496000</v>
      </c>
      <c r="C17" s="5">
        <f t="shared" ref="C17:F17" si="11">C11+C16</f>
        <v>17259000</v>
      </c>
      <c r="D17" s="5">
        <f t="shared" si="11"/>
        <v>19651000</v>
      </c>
      <c r="E17" s="5">
        <f t="shared" si="11"/>
        <v>24150000</v>
      </c>
      <c r="F17" s="5">
        <f t="shared" si="11"/>
        <v>27193000</v>
      </c>
      <c r="G17" s="35">
        <f>Assumptions!H18</f>
        <v>0.25573635389332444</v>
      </c>
      <c r="H17" s="78">
        <f t="shared" si="3"/>
        <v>33106926.039302543</v>
      </c>
      <c r="I17" s="48">
        <f t="shared" si="0"/>
        <v>0.25573635389332444</v>
      </c>
      <c r="J17" s="78">
        <f>I17*$J$4</f>
        <v>38662502.571771257</v>
      </c>
      <c r="K17" s="48">
        <f t="shared" si="1"/>
        <v>0.25573635389332444</v>
      </c>
      <c r="L17" s="78">
        <f>K17*$L$4</f>
        <v>45150344.170814767</v>
      </c>
      <c r="M17" s="23">
        <f t="shared" si="2"/>
        <v>0.25573635389332444</v>
      </c>
    </row>
    <row r="18" spans="1:13" ht="15">
      <c r="A18" s="2" t="s">
        <v>17</v>
      </c>
      <c r="B18" s="3">
        <v>2282000</v>
      </c>
      <c r="C18" s="3">
        <v>3331000</v>
      </c>
      <c r="D18" s="3">
        <v>3303000</v>
      </c>
      <c r="E18" s="3">
        <v>4672000</v>
      </c>
      <c r="F18" s="3">
        <v>14531000</v>
      </c>
      <c r="G18" s="35">
        <f>Assumptions!H19</f>
        <v>6.3099163953509604E-2</v>
      </c>
      <c r="H18" s="77">
        <f t="shared" si="3"/>
        <v>8168644.474465536</v>
      </c>
      <c r="I18" s="48">
        <f t="shared" si="0"/>
        <v>6.3099163953509604E-2</v>
      </c>
      <c r="J18" s="77">
        <f t="shared" ref="J18:J21" si="12">I18*$J$4</f>
        <v>9539400.8379692566</v>
      </c>
      <c r="K18" s="48">
        <f t="shared" si="1"/>
        <v>6.3099163953509604E-2</v>
      </c>
      <c r="L18" s="77">
        <f t="shared" ref="L18:L21" si="13">K18*$L$4</f>
        <v>11140179.821989691</v>
      </c>
      <c r="M18" s="23">
        <f t="shared" si="2"/>
        <v>6.3099163953509604E-2</v>
      </c>
    </row>
    <row r="19" spans="1:13" ht="15">
      <c r="A19" s="2" t="s">
        <v>18</v>
      </c>
      <c r="B19" s="3">
        <v>706000</v>
      </c>
      <c r="C19" s="3">
        <v>516000</v>
      </c>
      <c r="D19" s="3">
        <v>0</v>
      </c>
      <c r="E19" s="3">
        <v>0</v>
      </c>
      <c r="F19" s="3">
        <v>0</v>
      </c>
      <c r="G19" s="35">
        <f>Assumptions!H20</f>
        <v>3.9238299729949383E-3</v>
      </c>
      <c r="H19" s="77">
        <f t="shared" si="3"/>
        <v>507968.2521825963</v>
      </c>
      <c r="I19" s="48">
        <f t="shared" si="0"/>
        <v>3.9238299729949383E-3</v>
      </c>
      <c r="J19" s="77">
        <f t="shared" si="12"/>
        <v>593208.92048609897</v>
      </c>
      <c r="K19" s="48">
        <f t="shared" si="1"/>
        <v>3.9238299729949383E-3</v>
      </c>
      <c r="L19" s="77">
        <f t="shared" si="13"/>
        <v>692753.57629592298</v>
      </c>
      <c r="M19" s="23">
        <f t="shared" si="2"/>
        <v>3.9238299729949383E-3</v>
      </c>
    </row>
    <row r="20" spans="1:13" ht="15">
      <c r="A20" s="2" t="s">
        <v>19</v>
      </c>
      <c r="B20" s="3">
        <v>0</v>
      </c>
      <c r="C20" s="3">
        <v>0</v>
      </c>
      <c r="D20" s="3">
        <v>0</v>
      </c>
      <c r="E20" s="3">
        <v>0</v>
      </c>
      <c r="F20" s="3">
        <v>0</v>
      </c>
      <c r="G20" s="35">
        <f>Assumptions!H21</f>
        <v>0</v>
      </c>
      <c r="H20" s="77">
        <f t="shared" si="3"/>
        <v>0</v>
      </c>
      <c r="I20" s="48">
        <f t="shared" si="0"/>
        <v>0</v>
      </c>
      <c r="J20" s="77">
        <f t="shared" si="12"/>
        <v>0</v>
      </c>
      <c r="K20" s="48">
        <f t="shared" si="1"/>
        <v>0</v>
      </c>
      <c r="L20" s="77">
        <f t="shared" si="13"/>
        <v>0</v>
      </c>
      <c r="M20" s="23">
        <f t="shared" si="2"/>
        <v>0</v>
      </c>
    </row>
    <row r="21" spans="1:13" ht="15">
      <c r="A21" s="2" t="s">
        <v>20</v>
      </c>
      <c r="B21" s="3">
        <v>0</v>
      </c>
      <c r="C21" s="3">
        <v>0</v>
      </c>
      <c r="D21" s="3">
        <v>0</v>
      </c>
      <c r="E21" s="3">
        <v>0</v>
      </c>
      <c r="F21" s="3">
        <v>0</v>
      </c>
      <c r="G21" s="35">
        <f>Assumptions!H22</f>
        <v>0</v>
      </c>
      <c r="H21" s="77">
        <f t="shared" si="3"/>
        <v>0</v>
      </c>
      <c r="I21" s="48">
        <f t="shared" si="0"/>
        <v>0</v>
      </c>
      <c r="J21" s="77">
        <f t="shared" si="12"/>
        <v>0</v>
      </c>
      <c r="K21" s="48">
        <f t="shared" si="1"/>
        <v>0</v>
      </c>
      <c r="L21" s="77">
        <f t="shared" si="13"/>
        <v>0</v>
      </c>
      <c r="M21" s="23">
        <f t="shared" si="2"/>
        <v>0</v>
      </c>
    </row>
    <row r="22" spans="1:13" ht="14" thickBot="1">
      <c r="A22" s="13" t="s">
        <v>21</v>
      </c>
      <c r="B22" s="7">
        <f>B17-B18+B19</f>
        <v>12920000</v>
      </c>
      <c r="C22" s="7">
        <f t="shared" ref="C22:D22" si="14">C17-C18+C19</f>
        <v>14444000</v>
      </c>
      <c r="D22" s="7">
        <f t="shared" si="14"/>
        <v>16348000</v>
      </c>
      <c r="E22" s="7">
        <f>E17-E18+E19</f>
        <v>19478000</v>
      </c>
      <c r="F22" s="7">
        <f>F17-F18+F19</f>
        <v>12662000</v>
      </c>
      <c r="G22" s="35">
        <f>Assumptions!H23</f>
        <v>0.19656101991280975</v>
      </c>
      <c r="H22" s="80">
        <f>H17-H18+H19</f>
        <v>25446249.817019604</v>
      </c>
      <c r="I22" s="48">
        <f t="shared" si="0"/>
        <v>0.19656101991280978</v>
      </c>
      <c r="J22" s="80">
        <f>(J17-J18)+J19</f>
        <v>29716310.654288098</v>
      </c>
      <c r="K22" s="48">
        <f t="shared" si="1"/>
        <v>0.19656101991280975</v>
      </c>
      <c r="L22" s="80">
        <f>(L17-L18)+L19</f>
        <v>34702917.925120994</v>
      </c>
      <c r="M22" s="23">
        <f t="shared" si="2"/>
        <v>0.19656101991280975</v>
      </c>
    </row>
    <row r="23" spans="1:13" ht="16" thickTop="1">
      <c r="A23" s="14" t="s">
        <v>22</v>
      </c>
      <c r="B23" s="3">
        <v>0</v>
      </c>
      <c r="C23" s="3">
        <v>0</v>
      </c>
      <c r="D23" s="3">
        <v>-522000</v>
      </c>
      <c r="E23" s="3">
        <v>0</v>
      </c>
      <c r="F23" s="3">
        <v>0</v>
      </c>
      <c r="G23" s="35">
        <f>Assumptions!H24</f>
        <v>-1.3922041899478591E-3</v>
      </c>
      <c r="H23" s="77">
        <f t="shared" si="3"/>
        <v>-180230.93098229246</v>
      </c>
      <c r="I23" s="48">
        <f t="shared" si="0"/>
        <v>-1.3922041899478591E-3</v>
      </c>
      <c r="J23" s="77">
        <f>I23*$J$4</f>
        <v>-210474.95694234522</v>
      </c>
      <c r="K23" s="49">
        <f>J23/J$4</f>
        <v>-1.3922041899478591E-3</v>
      </c>
      <c r="L23" s="77">
        <f>K23*$L$4</f>
        <v>-245794.14453690243</v>
      </c>
      <c r="M23" s="23">
        <f t="shared" si="2"/>
        <v>-1.3922041899478591E-3</v>
      </c>
    </row>
    <row r="24" spans="1:13">
      <c r="A24" s="2" t="s">
        <v>23</v>
      </c>
      <c r="B24" s="5">
        <f>B22+B23</f>
        <v>12920000</v>
      </c>
      <c r="C24" s="5">
        <f t="shared" ref="C24:E24" si="15">C22+C23</f>
        <v>14444000</v>
      </c>
      <c r="D24" s="5">
        <f t="shared" si="15"/>
        <v>15826000</v>
      </c>
      <c r="E24" s="5">
        <f t="shared" si="15"/>
        <v>19478000</v>
      </c>
      <c r="F24" s="5">
        <f>F22+F23</f>
        <v>12662000</v>
      </c>
      <c r="G24" s="35">
        <f>Assumptions!H25</f>
        <v>0.19516881572286188</v>
      </c>
      <c r="H24" s="78">
        <f>H22+H23</f>
        <v>25266018.886037312</v>
      </c>
      <c r="I24" s="48">
        <f t="shared" si="0"/>
        <v>0.19516881572286193</v>
      </c>
      <c r="J24" s="78">
        <f>J22+J23</f>
        <v>29505835.697345752</v>
      </c>
      <c r="K24" s="48">
        <f t="shared" si="1"/>
        <v>0.19516881572286188</v>
      </c>
      <c r="L24" s="78">
        <f>L22+L23</f>
        <v>34457123.780584089</v>
      </c>
      <c r="M24" s="23">
        <f t="shared" si="2"/>
        <v>0.19516881572286188</v>
      </c>
    </row>
    <row r="25" spans="1:13" ht="15">
      <c r="A25" s="2" t="s">
        <v>24</v>
      </c>
      <c r="B25" s="3">
        <v>665692</v>
      </c>
      <c r="C25" s="3">
        <v>675935</v>
      </c>
      <c r="D25" s="3">
        <v>684626</v>
      </c>
      <c r="E25" s="3">
        <v>687778</v>
      </c>
      <c r="F25" s="3">
        <v>692901</v>
      </c>
    </row>
    <row r="26" spans="1:13" ht="15">
      <c r="A26" s="2" t="s">
        <v>25</v>
      </c>
      <c r="B26" s="3">
        <v>19.41</v>
      </c>
      <c r="C26" s="3">
        <v>21.37</v>
      </c>
      <c r="D26" s="3">
        <v>23.87</v>
      </c>
      <c r="E26" s="3">
        <v>28.32</v>
      </c>
      <c r="F26" s="3">
        <v>18.27</v>
      </c>
    </row>
    <row r="27" spans="1:13" ht="15">
      <c r="A27" s="2" t="s">
        <v>26</v>
      </c>
      <c r="B27" s="3">
        <v>18.350000000000001</v>
      </c>
      <c r="C27" s="3">
        <v>20.61</v>
      </c>
      <c r="D27" s="3">
        <v>23.87</v>
      </c>
      <c r="E27" s="3">
        <v>28.32</v>
      </c>
      <c r="F27" s="3">
        <v>18.27</v>
      </c>
      <c r="H27" s="32"/>
      <c r="J27" s="32"/>
    </row>
    <row r="28" spans="1:13" ht="15">
      <c r="A28" s="2" t="s">
        <v>27</v>
      </c>
      <c r="B28" s="3">
        <v>677618</v>
      </c>
      <c r="C28" s="3">
        <v>687070</v>
      </c>
      <c r="D28" s="3">
        <v>692930</v>
      </c>
      <c r="E28" s="3">
        <v>698706</v>
      </c>
      <c r="F28" s="3">
        <v>750730</v>
      </c>
    </row>
    <row r="29" spans="1:13" ht="15">
      <c r="A29" s="2" t="s">
        <v>28</v>
      </c>
      <c r="B29" s="3">
        <v>19.07</v>
      </c>
      <c r="C29" s="3">
        <v>21.02</v>
      </c>
      <c r="D29" s="3">
        <v>23.59</v>
      </c>
      <c r="E29" s="3">
        <v>27.85</v>
      </c>
      <c r="F29" s="3">
        <v>18</v>
      </c>
    </row>
    <row r="30" spans="1:13" ht="15">
      <c r="A30" s="2" t="s">
        <v>29</v>
      </c>
      <c r="B30" s="3">
        <v>18.03</v>
      </c>
      <c r="C30" s="3">
        <v>20.27</v>
      </c>
      <c r="D30" s="3">
        <v>23.59</v>
      </c>
      <c r="E30" s="3">
        <v>27.85</v>
      </c>
      <c r="F30" s="3">
        <v>18</v>
      </c>
    </row>
    <row r="31" spans="1:13" ht="15">
      <c r="A31" s="2" t="s">
        <v>30</v>
      </c>
      <c r="B31" s="3">
        <v>671664.58400000003</v>
      </c>
      <c r="C31" s="3">
        <v>680172</v>
      </c>
      <c r="D31" s="3">
        <v>687348</v>
      </c>
      <c r="E31" s="3">
        <v>691293</v>
      </c>
      <c r="F31" s="3">
        <v>694783</v>
      </c>
      <c r="H31" s="3">
        <f>'Income Statement'!G32</f>
        <v>685052.11679999996</v>
      </c>
      <c r="I31" s="3"/>
      <c r="J31" s="3">
        <f>H31</f>
        <v>685052.11679999996</v>
      </c>
      <c r="K31" s="3"/>
      <c r="L31" s="3">
        <f>J31</f>
        <v>685052.11679999996</v>
      </c>
    </row>
    <row r="32" spans="1:13" ht="14" thickBot="1">
      <c r="A32" s="40" t="s">
        <v>104</v>
      </c>
      <c r="B32" s="41"/>
      <c r="C32" s="41"/>
      <c r="D32" s="41"/>
      <c r="E32" s="41"/>
      <c r="F32" s="41"/>
      <c r="G32" s="41"/>
      <c r="H32" s="42">
        <f>H22-H24</f>
        <v>180230.9309822917</v>
      </c>
      <c r="I32" s="41"/>
      <c r="J32" s="42">
        <f>J22-J24</f>
        <v>210474.95694234595</v>
      </c>
      <c r="K32" s="41"/>
      <c r="L32" s="42">
        <f>L22-L24</f>
        <v>245794.14453690499</v>
      </c>
      <c r="M32" s="41"/>
    </row>
    <row r="33" spans="1:6" ht="14" thickTop="1">
      <c r="A33" s="85" t="s">
        <v>131</v>
      </c>
      <c r="B33" s="86">
        <v>566.12090000000001</v>
      </c>
      <c r="C33" s="86">
        <v>530.66</v>
      </c>
      <c r="D33" s="86">
        <v>778.01</v>
      </c>
      <c r="E33" s="86">
        <v>792.45</v>
      </c>
      <c r="F33" s="86">
        <v>1052.7</v>
      </c>
    </row>
    <row r="37" spans="1:6">
      <c r="B37" s="223"/>
    </row>
  </sheetData>
  <mergeCells count="3">
    <mergeCell ref="A1:F1"/>
    <mergeCell ref="A2:F2"/>
    <mergeCell ref="G1:J1"/>
  </mergeCells>
  <printOptions gridLines="1" gridLinesSet="0"/>
  <pageMargins left="0.75" right="0.75" top="1" bottom="1" header="0.5" footer="0.5"/>
  <pageSetup paperSize="0" fitToWidth="0" fitToHeight="0" orientation="portrait"/>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Y37"/>
  <sheetViews>
    <sheetView zoomScaleNormal="100" workbookViewId="0">
      <pane xSplit="1" ySplit="3" topLeftCell="B4" activePane="bottomRight" state="frozen"/>
      <selection pane="topRight" activeCell="B1" sqref="B1"/>
      <selection pane="bottomLeft" activeCell="A4" sqref="A4"/>
      <selection pane="bottomRight" activeCell="D42" sqref="D42"/>
    </sheetView>
  </sheetViews>
  <sheetFormatPr baseColWidth="10" defaultColWidth="8.83203125" defaultRowHeight="13"/>
  <cols>
    <col min="1" max="1" width="32.5" bestFit="1" customWidth="1"/>
    <col min="2" max="4" width="14" bestFit="1" customWidth="1"/>
    <col min="5" max="6" width="15.1640625" bestFit="1" customWidth="1"/>
    <col min="7" max="192" width="12.6640625" customWidth="1"/>
  </cols>
  <sheetData>
    <row r="1" spans="1:25" ht="21" thickBot="1">
      <c r="A1" s="310" t="s">
        <v>0</v>
      </c>
      <c r="B1" s="311"/>
      <c r="C1" s="311"/>
      <c r="D1" s="311"/>
      <c r="E1" s="311"/>
      <c r="F1" s="312"/>
      <c r="H1" s="299" t="s">
        <v>0</v>
      </c>
      <c r="I1" s="300"/>
      <c r="J1" s="300"/>
      <c r="K1" s="300"/>
      <c r="L1" s="300"/>
      <c r="M1" s="300"/>
      <c r="N1" s="300"/>
      <c r="O1" s="300"/>
      <c r="P1" s="300"/>
      <c r="Q1" s="300"/>
      <c r="R1" s="300"/>
      <c r="S1" s="300"/>
      <c r="T1" s="300"/>
      <c r="U1" s="300"/>
      <c r="V1" s="300"/>
      <c r="W1" s="300"/>
      <c r="X1" s="300"/>
      <c r="Y1" s="300"/>
    </row>
    <row r="2" spans="1:25" ht="14" thickBot="1">
      <c r="A2" s="307" t="s">
        <v>31</v>
      </c>
      <c r="B2" s="308"/>
      <c r="C2" s="308"/>
      <c r="D2" s="308"/>
      <c r="E2" s="308"/>
      <c r="F2" s="309"/>
      <c r="H2" s="296" t="s">
        <v>154</v>
      </c>
      <c r="I2" s="297"/>
      <c r="J2" s="297"/>
      <c r="K2" s="297"/>
      <c r="L2" s="297"/>
      <c r="M2" s="298"/>
      <c r="N2" s="296" t="s">
        <v>155</v>
      </c>
      <c r="O2" s="297"/>
      <c r="P2" s="297"/>
      <c r="Q2" s="297"/>
      <c r="R2" s="297"/>
      <c r="S2" s="298"/>
      <c r="T2" s="296" t="s">
        <v>156</v>
      </c>
      <c r="U2" s="297"/>
      <c r="V2" s="297"/>
      <c r="W2" s="297"/>
      <c r="X2" s="297"/>
      <c r="Y2" s="298"/>
    </row>
    <row r="3" spans="1:25" ht="14" thickBot="1">
      <c r="A3" s="8"/>
      <c r="B3" s="9">
        <v>2013</v>
      </c>
      <c r="C3" s="10">
        <v>2014</v>
      </c>
      <c r="D3" s="10">
        <v>2015</v>
      </c>
      <c r="E3" s="10">
        <v>2016</v>
      </c>
      <c r="F3" s="11">
        <v>2017</v>
      </c>
      <c r="H3" s="9">
        <v>2013</v>
      </c>
      <c r="I3" s="10">
        <v>2014</v>
      </c>
      <c r="J3" s="10">
        <v>2015</v>
      </c>
      <c r="K3" s="10">
        <v>2016</v>
      </c>
      <c r="L3" s="11">
        <v>2017</v>
      </c>
      <c r="M3" s="124" t="s">
        <v>92</v>
      </c>
      <c r="N3" s="115">
        <v>2013</v>
      </c>
      <c r="O3" s="116">
        <v>2014</v>
      </c>
      <c r="P3" s="116">
        <v>2015</v>
      </c>
      <c r="Q3" s="116">
        <v>2016</v>
      </c>
      <c r="R3" s="117">
        <v>2017</v>
      </c>
      <c r="S3" s="124" t="s">
        <v>94</v>
      </c>
      <c r="T3" s="115">
        <v>2013</v>
      </c>
      <c r="U3" s="116">
        <v>2014</v>
      </c>
      <c r="V3" s="116">
        <v>2015</v>
      </c>
      <c r="W3" s="116">
        <v>2016</v>
      </c>
      <c r="X3" s="117">
        <v>2017</v>
      </c>
      <c r="Y3" s="124" t="s">
        <v>94</v>
      </c>
    </row>
    <row r="4" spans="1:25" ht="15">
      <c r="A4" s="2" t="s">
        <v>32</v>
      </c>
      <c r="B4" s="18">
        <v>18898000</v>
      </c>
      <c r="C4" s="18">
        <v>18347000</v>
      </c>
      <c r="D4" s="18">
        <v>16549000</v>
      </c>
      <c r="E4" s="18">
        <v>12918000</v>
      </c>
      <c r="F4" s="18">
        <v>10715000</v>
      </c>
      <c r="H4" s="121">
        <f>B4/B$19</f>
        <v>0.17037504507753334</v>
      </c>
      <c r="I4" s="121">
        <f t="shared" ref="I4:L4" si="0">C4/C$19</f>
        <v>0.13991138767510847</v>
      </c>
      <c r="J4" s="121">
        <f t="shared" si="0"/>
        <v>0.11222628355972088</v>
      </c>
      <c r="K4" s="121">
        <f t="shared" si="0"/>
        <v>7.7123769380944132E-2</v>
      </c>
      <c r="L4" s="121">
        <f t="shared" si="0"/>
        <v>5.4309536480904232E-2</v>
      </c>
      <c r="N4" s="122">
        <f>B4/$B4</f>
        <v>1</v>
      </c>
      <c r="O4" s="122">
        <f t="shared" ref="O4:R4" si="1">C4/$B4</f>
        <v>0.9708434755000529</v>
      </c>
      <c r="P4" s="122">
        <f t="shared" si="1"/>
        <v>0.87570113239496239</v>
      </c>
      <c r="Q4" s="122">
        <f t="shared" si="1"/>
        <v>0.6835643983490316</v>
      </c>
      <c r="R4" s="122">
        <f t="shared" si="1"/>
        <v>0.56699121600169333</v>
      </c>
      <c r="T4" s="123">
        <f>H4/$H4</f>
        <v>1</v>
      </c>
      <c r="U4" s="123">
        <f t="shared" ref="U4:X4" si="2">I4/$H4</f>
        <v>0.82119648221626795</v>
      </c>
      <c r="V4" s="123">
        <f t="shared" si="2"/>
        <v>0.65870141668135462</v>
      </c>
      <c r="W4" s="123">
        <f t="shared" si="2"/>
        <v>0.45267057359161411</v>
      </c>
      <c r="X4" s="123">
        <f t="shared" si="2"/>
        <v>0.31876461987839444</v>
      </c>
    </row>
    <row r="5" spans="1:25" ht="15">
      <c r="A5" s="2" t="s">
        <v>33</v>
      </c>
      <c r="B5" s="18">
        <v>39819000</v>
      </c>
      <c r="C5" s="18">
        <v>46048000</v>
      </c>
      <c r="D5" s="18">
        <v>56517000</v>
      </c>
      <c r="E5" s="18">
        <v>73415000</v>
      </c>
      <c r="F5" s="18">
        <v>91156000</v>
      </c>
      <c r="H5" s="121">
        <f t="shared" ref="H5:H36" si="3">B5/B$19</f>
        <v>0.35898846015146052</v>
      </c>
      <c r="I5" s="121">
        <f t="shared" ref="I5:I36" si="4">C5/C$19</f>
        <v>0.35115493430334088</v>
      </c>
      <c r="J5" s="121">
        <f t="shared" ref="J5:J36" si="5">D5/D$19</f>
        <v>0.38326744020452863</v>
      </c>
      <c r="K5" s="121">
        <f t="shared" ref="K5:K36" si="6">E5/E$19</f>
        <v>0.43830635772581</v>
      </c>
      <c r="L5" s="121">
        <f t="shared" ref="L5:L36" si="7">F5/F$19</f>
        <v>0.4620289414328797</v>
      </c>
      <c r="N5" s="122">
        <f t="shared" ref="N5:N36" si="8">B5/$B5</f>
        <v>1</v>
      </c>
      <c r="O5" s="122">
        <f t="shared" ref="O5:O36" si="9">C5/$B5</f>
        <v>1.1564328586855521</v>
      </c>
      <c r="P5" s="122">
        <f t="shared" ref="P5:P36" si="10">D5/$B5</f>
        <v>1.4193475476531303</v>
      </c>
      <c r="Q5" s="122">
        <f t="shared" ref="Q5:Q36" si="11">E5/$B5</f>
        <v>1.8437178231497526</v>
      </c>
      <c r="R5" s="122">
        <f t="shared" ref="R5:R36" si="12">F5/$B5</f>
        <v>2.2892588965066927</v>
      </c>
      <c r="T5" s="123">
        <f t="shared" ref="T5:T36" si="13">H5/$H5</f>
        <v>1</v>
      </c>
      <c r="U5" s="123">
        <f t="shared" ref="U5:U36" si="14">I5/$H5</f>
        <v>0.97817889231087096</v>
      </c>
      <c r="V5" s="123">
        <f t="shared" ref="V5:V36" si="15">J5/$H5</f>
        <v>1.067631644880241</v>
      </c>
      <c r="W5" s="123">
        <f t="shared" ref="W5:W36" si="16">K5/$H5</f>
        <v>1.2209483211267698</v>
      </c>
      <c r="X5" s="123">
        <f t="shared" ref="X5:X36" si="17">L5/$H5</f>
        <v>1.2870300656403981</v>
      </c>
    </row>
    <row r="6" spans="1:25">
      <c r="A6" s="12" t="s">
        <v>34</v>
      </c>
      <c r="B6" s="5">
        <f>B4+B5</f>
        <v>58717000</v>
      </c>
      <c r="C6" s="5">
        <f t="shared" ref="C6:F6" si="18">C4+C5</f>
        <v>64395000</v>
      </c>
      <c r="D6" s="5">
        <f t="shared" si="18"/>
        <v>73066000</v>
      </c>
      <c r="E6" s="5">
        <f t="shared" si="18"/>
        <v>86333000</v>
      </c>
      <c r="F6" s="5">
        <f t="shared" si="18"/>
        <v>101871000</v>
      </c>
      <c r="H6" s="121">
        <f t="shared" si="3"/>
        <v>0.52936350522899389</v>
      </c>
      <c r="I6" s="121">
        <f t="shared" si="4"/>
        <v>0.49106632197844935</v>
      </c>
      <c r="J6" s="121">
        <f t="shared" si="5"/>
        <v>0.49549372376424955</v>
      </c>
      <c r="K6" s="121">
        <f t="shared" si="6"/>
        <v>0.51543012710675418</v>
      </c>
      <c r="L6" s="121">
        <f t="shared" si="7"/>
        <v>0.51633847791378396</v>
      </c>
      <c r="N6" s="122">
        <f t="shared" si="8"/>
        <v>1</v>
      </c>
      <c r="O6" s="122">
        <f t="shared" si="9"/>
        <v>1.0967011257387127</v>
      </c>
      <c r="P6" s="122">
        <f t="shared" si="10"/>
        <v>1.2443755641466696</v>
      </c>
      <c r="Q6" s="122">
        <f t="shared" si="11"/>
        <v>1.4703237563227005</v>
      </c>
      <c r="R6" s="122">
        <f t="shared" si="12"/>
        <v>1.7349489926256449</v>
      </c>
      <c r="T6" s="123">
        <f t="shared" si="13"/>
        <v>1</v>
      </c>
      <c r="U6" s="123">
        <f t="shared" si="14"/>
        <v>0.9276542812788392</v>
      </c>
      <c r="V6" s="123">
        <f t="shared" si="15"/>
        <v>0.93601791372056742</v>
      </c>
      <c r="W6" s="123">
        <f t="shared" si="16"/>
        <v>0.97367899754212872</v>
      </c>
      <c r="X6" s="123">
        <f t="shared" si="17"/>
        <v>0.97539492770742564</v>
      </c>
    </row>
    <row r="7" spans="1:25" ht="15">
      <c r="A7" s="2" t="s">
        <v>35</v>
      </c>
      <c r="B7" s="18">
        <v>8982000</v>
      </c>
      <c r="C7" s="18">
        <v>10258000</v>
      </c>
      <c r="D7" s="18">
        <v>12006000</v>
      </c>
      <c r="E7" s="18">
        <v>14137000</v>
      </c>
      <c r="F7" s="18">
        <v>18336000</v>
      </c>
      <c r="H7" s="121">
        <f t="shared" si="3"/>
        <v>8.0977280923187886E-2</v>
      </c>
      <c r="I7" s="121">
        <f t="shared" si="4"/>
        <v>7.8225923299245798E-2</v>
      </c>
      <c r="J7" s="121">
        <f t="shared" si="5"/>
        <v>8.1418137677080726E-2</v>
      </c>
      <c r="K7" s="121">
        <f t="shared" si="6"/>
        <v>8.4401511668865711E-2</v>
      </c>
      <c r="L7" s="121">
        <f t="shared" si="7"/>
        <v>9.2936972553790007E-2</v>
      </c>
      <c r="N7" s="122">
        <f t="shared" si="8"/>
        <v>1</v>
      </c>
      <c r="O7" s="122">
        <f t="shared" si="9"/>
        <v>1.1420619015809397</v>
      </c>
      <c r="P7" s="122">
        <f t="shared" si="10"/>
        <v>1.3366733466933867</v>
      </c>
      <c r="Q7" s="122">
        <f t="shared" si="11"/>
        <v>1.5739256290358494</v>
      </c>
      <c r="R7" s="122">
        <f t="shared" si="12"/>
        <v>2.0414161656646628</v>
      </c>
      <c r="T7" s="123">
        <f t="shared" si="13"/>
        <v>1</v>
      </c>
      <c r="U7" s="123">
        <f t="shared" si="14"/>
        <v>0.96602309200092895</v>
      </c>
      <c r="V7" s="123">
        <f t="shared" si="15"/>
        <v>1.005444202977265</v>
      </c>
      <c r="W7" s="123">
        <f t="shared" si="16"/>
        <v>1.0422863142185019</v>
      </c>
      <c r="X7" s="123">
        <f t="shared" si="17"/>
        <v>1.1476919389519469</v>
      </c>
    </row>
    <row r="8" spans="1:25" ht="15">
      <c r="A8" s="2" t="s">
        <v>36</v>
      </c>
      <c r="B8" s="18">
        <v>426000</v>
      </c>
      <c r="C8" s="18" t="s">
        <v>2</v>
      </c>
      <c r="D8" s="18" t="s">
        <v>2</v>
      </c>
      <c r="E8" s="18">
        <v>268000</v>
      </c>
      <c r="F8" s="18">
        <v>749000</v>
      </c>
      <c r="H8" s="121">
        <f t="shared" si="3"/>
        <v>3.840605842048323E-3</v>
      </c>
      <c r="I8" s="121">
        <f>IFERROR(C8/C$19,0)</f>
        <v>0</v>
      </c>
      <c r="J8" s="121">
        <f>IFERROR(D8/D$19,0)</f>
        <v>0</v>
      </c>
      <c r="K8" s="121">
        <f t="shared" si="6"/>
        <v>1.6000286572296818E-3</v>
      </c>
      <c r="L8" s="121">
        <f t="shared" si="7"/>
        <v>3.7963455738868192E-3</v>
      </c>
      <c r="N8" s="122">
        <f t="shared" si="8"/>
        <v>1</v>
      </c>
      <c r="O8" s="122">
        <f>IFERROR(C8/$B8,0)</f>
        <v>0</v>
      </c>
      <c r="P8" s="122">
        <f>IFERROR(D8/$B8,0)</f>
        <v>0</v>
      </c>
      <c r="Q8" s="122">
        <f t="shared" si="11"/>
        <v>0.62910798122065725</v>
      </c>
      <c r="R8" s="122">
        <f t="shared" si="12"/>
        <v>1.7582159624413145</v>
      </c>
      <c r="T8" s="123">
        <f t="shared" si="13"/>
        <v>1</v>
      </c>
      <c r="U8" s="123">
        <f t="shared" si="14"/>
        <v>0</v>
      </c>
      <c r="V8" s="123">
        <f t="shared" si="15"/>
        <v>0</v>
      </c>
      <c r="W8" s="123">
        <f t="shared" si="16"/>
        <v>0.41660840061013216</v>
      </c>
      <c r="X8" s="123">
        <f t="shared" si="17"/>
        <v>0.98847570670311269</v>
      </c>
    </row>
    <row r="9" spans="1:25" ht="15">
      <c r="A9" s="2" t="s">
        <v>37</v>
      </c>
      <c r="B9" s="18">
        <v>1934000</v>
      </c>
      <c r="C9" s="18">
        <v>2620000</v>
      </c>
      <c r="D9" s="18">
        <v>1903000</v>
      </c>
      <c r="E9" s="18">
        <v>95000</v>
      </c>
      <c r="F9" s="18">
        <v>369000</v>
      </c>
      <c r="H9" s="121">
        <f t="shared" si="3"/>
        <v>1.7435989902632527E-2</v>
      </c>
      <c r="I9" s="121">
        <f t="shared" si="4"/>
        <v>1.9979715250928447E-2</v>
      </c>
      <c r="J9" s="121">
        <f t="shared" si="5"/>
        <v>1.2905107113067183E-2</v>
      </c>
      <c r="K9" s="121">
        <f t="shared" si="6"/>
        <v>5.6717433745082004E-4</v>
      </c>
      <c r="L9" s="121">
        <f t="shared" si="7"/>
        <v>1.8702957500190071E-3</v>
      </c>
      <c r="N9" s="122">
        <f t="shared" si="8"/>
        <v>1</v>
      </c>
      <c r="O9" s="122">
        <f t="shared" si="9"/>
        <v>1.3547052740434333</v>
      </c>
      <c r="P9" s="122">
        <f t="shared" si="10"/>
        <v>0.983971044467425</v>
      </c>
      <c r="Q9" s="122">
        <f t="shared" si="11"/>
        <v>4.9120992761116859E-2</v>
      </c>
      <c r="R9" s="122">
        <f t="shared" si="12"/>
        <v>0.19079627714581179</v>
      </c>
      <c r="T9" s="123">
        <f t="shared" si="13"/>
        <v>1</v>
      </c>
      <c r="U9" s="123">
        <f t="shared" si="14"/>
        <v>1.1458893565837556</v>
      </c>
      <c r="V9" s="123">
        <f t="shared" si="15"/>
        <v>0.74014192398211587</v>
      </c>
      <c r="W9" s="123">
        <f t="shared" si="16"/>
        <v>3.2528943903849514E-2</v>
      </c>
      <c r="X9" s="123">
        <f t="shared" si="17"/>
        <v>0.10726639327409943</v>
      </c>
    </row>
    <row r="10" spans="1:25" ht="15">
      <c r="A10" s="2" t="s">
        <v>38</v>
      </c>
      <c r="B10" s="18">
        <v>2827000</v>
      </c>
      <c r="C10" s="18">
        <v>3412000</v>
      </c>
      <c r="D10" s="18">
        <v>3139000</v>
      </c>
      <c r="E10" s="18">
        <v>4575000</v>
      </c>
      <c r="F10" s="18">
        <v>2983000</v>
      </c>
      <c r="H10" s="121">
        <f t="shared" si="3"/>
        <v>2.5486837360259647E-2</v>
      </c>
      <c r="I10" s="121">
        <f t="shared" si="4"/>
        <v>2.601938489930071E-2</v>
      </c>
      <c r="J10" s="121">
        <f t="shared" si="5"/>
        <v>2.1286984355185438E-2</v>
      </c>
      <c r="K10" s="121">
        <f t="shared" si="6"/>
        <v>2.7313922040394754E-2</v>
      </c>
      <c r="L10" s="121">
        <f t="shared" si="7"/>
        <v>1.5119491117362325E-2</v>
      </c>
      <c r="N10" s="122">
        <f t="shared" si="8"/>
        <v>1</v>
      </c>
      <c r="O10" s="122">
        <f t="shared" si="9"/>
        <v>1.2069331446763354</v>
      </c>
      <c r="P10" s="122">
        <f t="shared" si="10"/>
        <v>1.1103643438273789</v>
      </c>
      <c r="Q10" s="122">
        <f t="shared" si="11"/>
        <v>1.6183233109303148</v>
      </c>
      <c r="R10" s="122">
        <f t="shared" si="12"/>
        <v>1.0551821719136893</v>
      </c>
      <c r="T10" s="123">
        <f t="shared" si="13"/>
        <v>1</v>
      </c>
      <c r="U10" s="123">
        <f t="shared" si="14"/>
        <v>1.0208950028406207</v>
      </c>
      <c r="V10" s="123">
        <f t="shared" si="15"/>
        <v>0.83521482301986871</v>
      </c>
      <c r="W10" s="123">
        <f t="shared" si="16"/>
        <v>1.0716873833465108</v>
      </c>
      <c r="X10" s="123">
        <f t="shared" si="17"/>
        <v>0.59322743358253593</v>
      </c>
    </row>
    <row r="11" spans="1:25">
      <c r="A11" s="12" t="s">
        <v>39</v>
      </c>
      <c r="B11" s="5">
        <f>SUM(B6:B10)</f>
        <v>72886000</v>
      </c>
      <c r="C11" s="5">
        <f t="shared" ref="C11:F11" si="19">SUM(C6:C10)</f>
        <v>80685000</v>
      </c>
      <c r="D11" s="5">
        <f t="shared" si="19"/>
        <v>90114000</v>
      </c>
      <c r="E11" s="5">
        <f t="shared" si="19"/>
        <v>105408000</v>
      </c>
      <c r="F11" s="5">
        <f t="shared" si="19"/>
        <v>124308000</v>
      </c>
      <c r="H11" s="121">
        <f t="shared" si="3"/>
        <v>0.65710421925712226</v>
      </c>
      <c r="I11" s="121">
        <f t="shared" si="4"/>
        <v>0.6152913454279243</v>
      </c>
      <c r="J11" s="121">
        <f t="shared" si="5"/>
        <v>0.61110395290958286</v>
      </c>
      <c r="K11" s="121">
        <f t="shared" si="6"/>
        <v>0.62931276381069512</v>
      </c>
      <c r="L11" s="121">
        <f t="shared" si="7"/>
        <v>0.63006158290884207</v>
      </c>
      <c r="N11" s="122">
        <f t="shared" si="8"/>
        <v>1</v>
      </c>
      <c r="O11" s="122">
        <f t="shared" si="9"/>
        <v>1.1070027165710836</v>
      </c>
      <c r="P11" s="122">
        <f t="shared" si="10"/>
        <v>1.2363691243860275</v>
      </c>
      <c r="Q11" s="122">
        <f t="shared" si="11"/>
        <v>1.446203660510935</v>
      </c>
      <c r="R11" s="122">
        <f t="shared" si="12"/>
        <v>1.7055127184918915</v>
      </c>
      <c r="T11" s="123">
        <f t="shared" si="13"/>
        <v>1</v>
      </c>
      <c r="U11" s="123">
        <f t="shared" si="14"/>
        <v>0.93636797237968006</v>
      </c>
      <c r="V11" s="123">
        <f t="shared" si="15"/>
        <v>0.92999547864790122</v>
      </c>
      <c r="W11" s="123">
        <f t="shared" si="16"/>
        <v>0.95770616801419073</v>
      </c>
      <c r="X11" s="123">
        <f t="shared" si="17"/>
        <v>0.95884574234076181</v>
      </c>
    </row>
    <row r="12" spans="1:25" ht="15">
      <c r="A12" s="2" t="s">
        <v>40</v>
      </c>
      <c r="B12" s="18">
        <v>23837000</v>
      </c>
      <c r="C12" s="18">
        <v>32746000</v>
      </c>
      <c r="D12" s="18">
        <v>40146000</v>
      </c>
      <c r="E12" s="18">
        <v>47527000</v>
      </c>
      <c r="F12" s="18">
        <v>59647000</v>
      </c>
      <c r="H12" s="121">
        <f t="shared" si="3"/>
        <v>0.21490263252794808</v>
      </c>
      <c r="I12" s="121">
        <f t="shared" si="4"/>
        <v>0.24971593725454311</v>
      </c>
      <c r="J12" s="121">
        <f t="shared" si="5"/>
        <v>0.27224825547093806</v>
      </c>
      <c r="K12" s="121">
        <f t="shared" si="6"/>
        <v>0.28374836564236972</v>
      </c>
      <c r="L12" s="121">
        <f t="shared" si="7"/>
        <v>0.30232393116906153</v>
      </c>
      <c r="N12" s="122">
        <f t="shared" si="8"/>
        <v>1</v>
      </c>
      <c r="O12" s="122">
        <f t="shared" si="9"/>
        <v>1.3737466963124554</v>
      </c>
      <c r="P12" s="122">
        <f t="shared" si="10"/>
        <v>1.6841884465327013</v>
      </c>
      <c r="Q12" s="122">
        <f t="shared" si="11"/>
        <v>1.9938331165834626</v>
      </c>
      <c r="R12" s="122">
        <f t="shared" si="12"/>
        <v>2.502286361538784</v>
      </c>
      <c r="T12" s="123">
        <f t="shared" si="13"/>
        <v>1</v>
      </c>
      <c r="U12" s="123">
        <f t="shared" si="14"/>
        <v>1.1619957108811478</v>
      </c>
      <c r="V12" s="123">
        <f t="shared" si="15"/>
        <v>1.2668446741132042</v>
      </c>
      <c r="W12" s="123">
        <f t="shared" si="16"/>
        <v>1.3203577932227901</v>
      </c>
      <c r="X12" s="123">
        <f t="shared" si="17"/>
        <v>1.4067949173667955</v>
      </c>
    </row>
    <row r="13" spans="1:25" ht="15">
      <c r="A13" s="2" t="s">
        <v>41</v>
      </c>
      <c r="B13" s="18">
        <v>7313000</v>
      </c>
      <c r="C13" s="18">
        <v>8863000</v>
      </c>
      <c r="D13" s="18">
        <v>11130000</v>
      </c>
      <c r="E13" s="18">
        <v>13293000</v>
      </c>
      <c r="F13" s="18">
        <v>17264000</v>
      </c>
      <c r="H13" s="121">
        <f t="shared" si="3"/>
        <v>6.5930400288496213E-2</v>
      </c>
      <c r="I13" s="121">
        <f t="shared" si="4"/>
        <v>6.7587868804953752E-2</v>
      </c>
      <c r="J13" s="121">
        <f t="shared" si="5"/>
        <v>7.547758390354059E-2</v>
      </c>
      <c r="K13" s="121">
        <f t="shared" si="6"/>
        <v>7.9362615449828949E-2</v>
      </c>
      <c r="L13" s="121">
        <f t="shared" si="7"/>
        <v>8.7503484629615547E-2</v>
      </c>
      <c r="N13" s="122">
        <f t="shared" si="8"/>
        <v>1</v>
      </c>
      <c r="O13" s="122">
        <f t="shared" si="9"/>
        <v>1.2119513195678928</v>
      </c>
      <c r="P13" s="122">
        <f t="shared" si="10"/>
        <v>1.5219472172842883</v>
      </c>
      <c r="Q13" s="122">
        <f t="shared" si="11"/>
        <v>1.8177218651716123</v>
      </c>
      <c r="R13" s="122">
        <f t="shared" si="12"/>
        <v>2.3607274716258719</v>
      </c>
      <c r="T13" s="123">
        <f t="shared" si="13"/>
        <v>1</v>
      </c>
      <c r="U13" s="123">
        <f t="shared" si="14"/>
        <v>1.0251396701552673</v>
      </c>
      <c r="V13" s="123">
        <f t="shared" si="15"/>
        <v>1.1448070021305514</v>
      </c>
      <c r="W13" s="123">
        <f t="shared" si="16"/>
        <v>1.203733256624508</v>
      </c>
      <c r="X13" s="123">
        <f t="shared" si="17"/>
        <v>1.3272099706162939</v>
      </c>
    </row>
    <row r="14" spans="1:25">
      <c r="A14" s="12" t="s">
        <v>42</v>
      </c>
      <c r="B14" s="5">
        <f>B12-B13</f>
        <v>16524000</v>
      </c>
      <c r="C14" s="5">
        <f t="shared" ref="C14:F14" si="20">C12-C13</f>
        <v>23883000</v>
      </c>
      <c r="D14" s="5">
        <f t="shared" si="20"/>
        <v>29016000</v>
      </c>
      <c r="E14" s="5">
        <f t="shared" si="20"/>
        <v>34234000</v>
      </c>
      <c r="F14" s="5">
        <f t="shared" si="20"/>
        <v>42383000</v>
      </c>
      <c r="H14" s="121">
        <f t="shared" si="3"/>
        <v>0.14897223223945186</v>
      </c>
      <c r="I14" s="121">
        <f t="shared" si="4"/>
        <v>0.18212806844958934</v>
      </c>
      <c r="J14" s="121">
        <f t="shared" si="5"/>
        <v>0.19677067156739747</v>
      </c>
      <c r="K14" s="121">
        <f t="shared" si="6"/>
        <v>0.20438575019254077</v>
      </c>
      <c r="L14" s="121">
        <f t="shared" si="7"/>
        <v>0.21482044653944601</v>
      </c>
      <c r="N14" s="122">
        <f t="shared" si="8"/>
        <v>1</v>
      </c>
      <c r="O14" s="122">
        <f t="shared" si="9"/>
        <v>1.4453522149600582</v>
      </c>
      <c r="P14" s="122">
        <f t="shared" si="10"/>
        <v>1.7559912854030502</v>
      </c>
      <c r="Q14" s="122">
        <f t="shared" si="11"/>
        <v>2.071774388767853</v>
      </c>
      <c r="R14" s="122">
        <f t="shared" si="12"/>
        <v>2.5649358508835634</v>
      </c>
      <c r="T14" s="123">
        <f t="shared" si="13"/>
        <v>1</v>
      </c>
      <c r="U14" s="123">
        <f t="shared" si="14"/>
        <v>1.2225638678545419</v>
      </c>
      <c r="V14" s="123">
        <f t="shared" si="15"/>
        <v>1.3208546895579598</v>
      </c>
      <c r="W14" s="123">
        <f t="shared" si="16"/>
        <v>1.3719721260806477</v>
      </c>
      <c r="X14" s="123">
        <f t="shared" si="17"/>
        <v>1.4420166987506264</v>
      </c>
    </row>
    <row r="15" spans="1:25" ht="15">
      <c r="A15" s="2" t="s">
        <v>43</v>
      </c>
      <c r="B15" s="18">
        <v>1976000</v>
      </c>
      <c r="C15" s="18">
        <v>3079000</v>
      </c>
      <c r="D15" s="18">
        <v>5183000</v>
      </c>
      <c r="E15" s="18">
        <v>5878000</v>
      </c>
      <c r="F15" s="18">
        <v>7813000</v>
      </c>
      <c r="H15" s="121">
        <f t="shared" si="3"/>
        <v>1.7814641182834476E-2</v>
      </c>
      <c r="I15" s="121">
        <f t="shared" si="4"/>
        <v>2.3479978342598736E-2</v>
      </c>
      <c r="J15" s="121">
        <f t="shared" si="5"/>
        <v>3.5148276493445728E-2</v>
      </c>
      <c r="K15" s="121">
        <f t="shared" si="6"/>
        <v>3.5093165847746528E-2</v>
      </c>
      <c r="L15" s="121">
        <f t="shared" si="7"/>
        <v>3.9600598089155829E-2</v>
      </c>
      <c r="N15" s="122">
        <f t="shared" si="8"/>
        <v>1</v>
      </c>
      <c r="O15" s="122">
        <f t="shared" si="9"/>
        <v>1.5581983805668016</v>
      </c>
      <c r="P15" s="122">
        <f t="shared" si="10"/>
        <v>2.6229757085020244</v>
      </c>
      <c r="Q15" s="122">
        <f t="shared" si="11"/>
        <v>2.9746963562753037</v>
      </c>
      <c r="R15" s="122">
        <f t="shared" si="12"/>
        <v>3.9539473684210527</v>
      </c>
      <c r="T15" s="123">
        <f t="shared" si="13"/>
        <v>1</v>
      </c>
      <c r="U15" s="123">
        <f t="shared" si="14"/>
        <v>1.3180157883406132</v>
      </c>
      <c r="V15" s="123">
        <f t="shared" si="15"/>
        <v>1.9729994072130568</v>
      </c>
      <c r="W15" s="123">
        <f t="shared" si="16"/>
        <v>1.9699058480931402</v>
      </c>
      <c r="X15" s="123">
        <f t="shared" si="17"/>
        <v>2.2229242611584841</v>
      </c>
    </row>
    <row r="16" spans="1:25" ht="15">
      <c r="A16" s="2" t="s">
        <v>44</v>
      </c>
      <c r="B16" s="18">
        <v>17558000</v>
      </c>
      <c r="C16" s="18">
        <v>20206000</v>
      </c>
      <c r="D16" s="18">
        <v>19716000</v>
      </c>
      <c r="E16" s="18">
        <v>19775000</v>
      </c>
      <c r="F16" s="18">
        <v>19439000</v>
      </c>
      <c r="H16" s="121">
        <f t="shared" si="3"/>
        <v>0.15829426613775693</v>
      </c>
      <c r="I16" s="121">
        <f t="shared" si="4"/>
        <v>0.15408783448864893</v>
      </c>
      <c r="J16" s="121">
        <f t="shared" si="5"/>
        <v>0.13370314862912905</v>
      </c>
      <c r="K16" s="121">
        <f t="shared" si="6"/>
        <v>0.11806181603252595</v>
      </c>
      <c r="L16" s="121">
        <f t="shared" si="7"/>
        <v>9.8527585595174744E-2</v>
      </c>
      <c r="N16" s="122">
        <f t="shared" si="8"/>
        <v>1</v>
      </c>
      <c r="O16" s="122">
        <f t="shared" si="9"/>
        <v>1.1508144435584919</v>
      </c>
      <c r="P16" s="122">
        <f t="shared" si="10"/>
        <v>1.122906937008771</v>
      </c>
      <c r="Q16" s="122">
        <f t="shared" si="11"/>
        <v>1.1262672286137374</v>
      </c>
      <c r="R16" s="122">
        <f t="shared" si="12"/>
        <v>1.1071306526939286</v>
      </c>
      <c r="T16" s="123">
        <f t="shared" si="13"/>
        <v>1</v>
      </c>
      <c r="U16" s="123">
        <f t="shared" si="14"/>
        <v>0.97342650652015839</v>
      </c>
      <c r="V16" s="123">
        <f t="shared" si="15"/>
        <v>0.84464934764454924</v>
      </c>
      <c r="W16" s="123">
        <f t="shared" si="16"/>
        <v>0.74583760304862623</v>
      </c>
      <c r="X16" s="123">
        <f t="shared" si="17"/>
        <v>0.62243306721817881</v>
      </c>
    </row>
    <row r="17" spans="1:24" ht="15">
      <c r="A17" s="2" t="s">
        <v>45</v>
      </c>
      <c r="B17" s="18" t="s">
        <v>2</v>
      </c>
      <c r="C17" s="18" t="s">
        <v>2</v>
      </c>
      <c r="D17" s="18">
        <v>251000</v>
      </c>
      <c r="E17" s="18">
        <v>383000</v>
      </c>
      <c r="F17" s="18">
        <v>680000</v>
      </c>
      <c r="H17" s="121">
        <f>IFERROR(B17/B$19,0)</f>
        <v>0</v>
      </c>
      <c r="I17" s="121">
        <f>IFERROR(C17/C$19,0)</f>
        <v>0</v>
      </c>
      <c r="J17" s="121">
        <f t="shared" si="5"/>
        <v>1.7021449739253092E-3</v>
      </c>
      <c r="K17" s="121">
        <f t="shared" si="6"/>
        <v>2.2866081183543587E-3</v>
      </c>
      <c r="L17" s="121">
        <f t="shared" si="7"/>
        <v>3.446615474289769E-3</v>
      </c>
      <c r="N17" s="122">
        <f>IFERROR(B17/$B17,0)</f>
        <v>0</v>
      </c>
      <c r="O17" s="122">
        <f t="shared" ref="O17:R17" si="21">IFERROR(C17/$B17,0)</f>
        <v>0</v>
      </c>
      <c r="P17" s="122">
        <f t="shared" si="21"/>
        <v>0</v>
      </c>
      <c r="Q17" s="122">
        <f t="shared" si="21"/>
        <v>0</v>
      </c>
      <c r="R17" s="122">
        <f t="shared" si="21"/>
        <v>0</v>
      </c>
      <c r="T17" s="123">
        <f>IFERROR(H17/$H17,0)</f>
        <v>0</v>
      </c>
      <c r="U17" s="123">
        <f t="shared" ref="U17:X17" si="22">IFERROR(I17/$H17,0)</f>
        <v>0</v>
      </c>
      <c r="V17" s="123">
        <f t="shared" si="22"/>
        <v>0</v>
      </c>
      <c r="W17" s="123">
        <f t="shared" si="22"/>
        <v>0</v>
      </c>
      <c r="X17" s="123">
        <f t="shared" si="22"/>
        <v>0</v>
      </c>
    </row>
    <row r="18" spans="1:24" ht="15">
      <c r="A18" s="2" t="s">
        <v>46</v>
      </c>
      <c r="B18" s="18">
        <v>1976000</v>
      </c>
      <c r="C18" s="18">
        <v>3280000</v>
      </c>
      <c r="D18" s="18">
        <v>3181000</v>
      </c>
      <c r="E18" s="18">
        <v>1819000</v>
      </c>
      <c r="F18" s="18">
        <v>2672000</v>
      </c>
      <c r="H18" s="121">
        <f t="shared" si="3"/>
        <v>1.7814641182834476E-2</v>
      </c>
      <c r="I18" s="121">
        <f t="shared" si="4"/>
        <v>2.5012773291238667E-2</v>
      </c>
      <c r="J18" s="121">
        <f t="shared" si="5"/>
        <v>2.1571805426519555E-2</v>
      </c>
      <c r="K18" s="121">
        <f t="shared" si="6"/>
        <v>1.0859895998137281E-2</v>
      </c>
      <c r="L18" s="121">
        <f t="shared" si="7"/>
        <v>1.3543171393091564E-2</v>
      </c>
      <c r="N18" s="122">
        <f t="shared" si="8"/>
        <v>1</v>
      </c>
      <c r="O18" s="122">
        <f t="shared" si="9"/>
        <v>1.6599190283400809</v>
      </c>
      <c r="P18" s="122">
        <f t="shared" si="10"/>
        <v>1.6098178137651822</v>
      </c>
      <c r="Q18" s="122">
        <f t="shared" si="11"/>
        <v>0.92054655870445345</v>
      </c>
      <c r="R18" s="122">
        <f t="shared" si="12"/>
        <v>1.3522267206477734</v>
      </c>
      <c r="T18" s="123">
        <f t="shared" si="13"/>
        <v>1</v>
      </c>
      <c r="U18" s="123">
        <f t="shared" si="14"/>
        <v>1.4040570918341058</v>
      </c>
      <c r="V18" s="123">
        <f t="shared" si="15"/>
        <v>1.2109031669582737</v>
      </c>
      <c r="W18" s="123">
        <f t="shared" si="16"/>
        <v>0.60960509317479106</v>
      </c>
      <c r="X18" s="123">
        <f t="shared" si="17"/>
        <v>0.76022700957576739</v>
      </c>
    </row>
    <row r="19" spans="1:24" ht="14" thickBot="1">
      <c r="A19" s="13" t="s">
        <v>47</v>
      </c>
      <c r="B19" s="7">
        <f>SUM(B14:B18)+B11</f>
        <v>110920000</v>
      </c>
      <c r="C19" s="7">
        <f t="shared" ref="C19:F19" si="23">SUM(C14:C18)+C11</f>
        <v>131133000</v>
      </c>
      <c r="D19" s="7">
        <f t="shared" si="23"/>
        <v>147461000</v>
      </c>
      <c r="E19" s="7">
        <f t="shared" si="23"/>
        <v>167497000</v>
      </c>
      <c r="F19" s="7">
        <f t="shared" si="23"/>
        <v>197295000</v>
      </c>
      <c r="H19" s="121">
        <f t="shared" si="3"/>
        <v>1</v>
      </c>
      <c r="I19" s="121">
        <f t="shared" si="4"/>
        <v>1</v>
      </c>
      <c r="J19" s="121">
        <f t="shared" si="5"/>
        <v>1</v>
      </c>
      <c r="K19" s="121">
        <f t="shared" si="6"/>
        <v>1</v>
      </c>
      <c r="L19" s="121">
        <f t="shared" si="7"/>
        <v>1</v>
      </c>
      <c r="N19" s="122">
        <f t="shared" si="8"/>
        <v>1</v>
      </c>
      <c r="O19" s="122">
        <f t="shared" si="9"/>
        <v>1.1822304363505229</v>
      </c>
      <c r="P19" s="122">
        <f t="shared" si="10"/>
        <v>1.3294356292823657</v>
      </c>
      <c r="Q19" s="122">
        <f t="shared" si="11"/>
        <v>1.5100703209520374</v>
      </c>
      <c r="R19" s="122">
        <f t="shared" si="12"/>
        <v>1.7787143887486476</v>
      </c>
      <c r="T19" s="123">
        <f t="shared" si="13"/>
        <v>1</v>
      </c>
      <c r="U19" s="123">
        <f t="shared" si="14"/>
        <v>1</v>
      </c>
      <c r="V19" s="123">
        <f t="shared" si="15"/>
        <v>1</v>
      </c>
      <c r="W19" s="123">
        <f t="shared" si="16"/>
        <v>1</v>
      </c>
      <c r="X19" s="123">
        <f t="shared" si="17"/>
        <v>1</v>
      </c>
    </row>
    <row r="20" spans="1:24" ht="16" thickTop="1">
      <c r="A20" s="2" t="s">
        <v>48</v>
      </c>
      <c r="B20" s="18">
        <v>6684000</v>
      </c>
      <c r="C20" s="18">
        <v>6736000</v>
      </c>
      <c r="D20" s="18">
        <v>7799000</v>
      </c>
      <c r="E20" s="18">
        <v>8959000</v>
      </c>
      <c r="F20" s="18">
        <v>11693000</v>
      </c>
      <c r="H20" s="121">
        <f t="shared" si="3"/>
        <v>6.0259646592138477E-2</v>
      </c>
      <c r="I20" s="121">
        <f t="shared" si="4"/>
        <v>5.1367695393226727E-2</v>
      </c>
      <c r="J20" s="121">
        <f t="shared" si="5"/>
        <v>5.2888560365113489E-2</v>
      </c>
      <c r="K20" s="121">
        <f t="shared" si="6"/>
        <v>5.3487525149704174E-2</v>
      </c>
      <c r="L20" s="121">
        <f t="shared" si="7"/>
        <v>5.9266580501279809E-2</v>
      </c>
      <c r="N20" s="122">
        <f t="shared" si="8"/>
        <v>1</v>
      </c>
      <c r="O20" s="122">
        <f t="shared" si="9"/>
        <v>1.0077797725912627</v>
      </c>
      <c r="P20" s="122">
        <f t="shared" si="10"/>
        <v>1.1668162776780371</v>
      </c>
      <c r="Q20" s="122">
        <f t="shared" si="11"/>
        <v>1.3403650508677438</v>
      </c>
      <c r="R20" s="122">
        <f t="shared" si="12"/>
        <v>1.7494015559545182</v>
      </c>
      <c r="T20" s="123">
        <f t="shared" si="13"/>
        <v>1</v>
      </c>
      <c r="U20" s="123">
        <f t="shared" si="14"/>
        <v>0.85243937358119515</v>
      </c>
      <c r="V20" s="123">
        <f t="shared" si="15"/>
        <v>0.87767790480227237</v>
      </c>
      <c r="W20" s="123">
        <f t="shared" si="16"/>
        <v>0.88761763758306211</v>
      </c>
      <c r="X20" s="123">
        <f t="shared" si="17"/>
        <v>0.98352021382435018</v>
      </c>
    </row>
    <row r="21" spans="1:24" ht="15">
      <c r="A21" s="2" t="s">
        <v>49</v>
      </c>
      <c r="B21" s="18">
        <v>2453000</v>
      </c>
      <c r="C21" s="18">
        <v>1715000</v>
      </c>
      <c r="D21" s="18">
        <v>1931000</v>
      </c>
      <c r="E21" s="18">
        <v>2041000</v>
      </c>
      <c r="F21" s="18">
        <v>3137000</v>
      </c>
      <c r="H21" s="121">
        <f t="shared" si="3"/>
        <v>2.2115037865128022E-2</v>
      </c>
      <c r="I21" s="121">
        <f t="shared" si="4"/>
        <v>1.3078325059290949E-2</v>
      </c>
      <c r="J21" s="121">
        <f t="shared" si="5"/>
        <v>1.3094987827289928E-2</v>
      </c>
      <c r="K21" s="121">
        <f t="shared" si="6"/>
        <v>1.2185292870917091E-2</v>
      </c>
      <c r="L21" s="121">
        <f t="shared" si="7"/>
        <v>1.5900048151245596E-2</v>
      </c>
      <c r="N21" s="122">
        <f t="shared" si="8"/>
        <v>1</v>
      </c>
      <c r="O21" s="122">
        <f t="shared" si="9"/>
        <v>0.69914390542193228</v>
      </c>
      <c r="P21" s="122">
        <f t="shared" si="10"/>
        <v>0.78719934773746436</v>
      </c>
      <c r="Q21" s="122">
        <f t="shared" si="11"/>
        <v>0.83204239706481864</v>
      </c>
      <c r="R21" s="122">
        <f t="shared" si="12"/>
        <v>1.2788422339991847</v>
      </c>
      <c r="T21" s="123">
        <f t="shared" si="13"/>
        <v>1</v>
      </c>
      <c r="U21" s="123">
        <f t="shared" si="14"/>
        <v>0.59137701409561838</v>
      </c>
      <c r="V21" s="123">
        <f t="shared" si="15"/>
        <v>0.59213047281002806</v>
      </c>
      <c r="W21" s="123">
        <f t="shared" si="16"/>
        <v>0.55099579504367047</v>
      </c>
      <c r="X21" s="123">
        <f t="shared" si="17"/>
        <v>0.71896997184515343</v>
      </c>
    </row>
    <row r="22" spans="1:24">
      <c r="A22" s="12" t="s">
        <v>50</v>
      </c>
      <c r="B22" s="5">
        <f>B20-B21</f>
        <v>4231000</v>
      </c>
      <c r="C22" s="5">
        <f t="shared" ref="C22:F22" si="24">C20-C21</f>
        <v>5021000</v>
      </c>
      <c r="D22" s="5">
        <f t="shared" si="24"/>
        <v>5868000</v>
      </c>
      <c r="E22" s="5">
        <f t="shared" si="24"/>
        <v>6918000</v>
      </c>
      <c r="F22" s="5">
        <f t="shared" si="24"/>
        <v>8556000</v>
      </c>
      <c r="H22" s="121">
        <f t="shared" si="3"/>
        <v>3.8144608727010455E-2</v>
      </c>
      <c r="I22" s="121">
        <f t="shared" si="4"/>
        <v>3.8289370333935778E-2</v>
      </c>
      <c r="J22" s="121">
        <f t="shared" si="5"/>
        <v>3.9793572537823563E-2</v>
      </c>
      <c r="K22" s="121">
        <f t="shared" si="6"/>
        <v>4.1302232278787085E-2</v>
      </c>
      <c r="L22" s="121">
        <f t="shared" si="7"/>
        <v>4.3366532350034216E-2</v>
      </c>
      <c r="N22" s="122">
        <f t="shared" si="8"/>
        <v>1</v>
      </c>
      <c r="O22" s="122">
        <f t="shared" si="9"/>
        <v>1.1867170881588276</v>
      </c>
      <c r="P22" s="122">
        <f t="shared" si="10"/>
        <v>1.3869061687544315</v>
      </c>
      <c r="Q22" s="122">
        <f t="shared" si="11"/>
        <v>1.6350744504845189</v>
      </c>
      <c r="R22" s="122">
        <f t="shared" si="12"/>
        <v>2.0222169699834556</v>
      </c>
      <c r="T22" s="123">
        <f t="shared" si="13"/>
        <v>1</v>
      </c>
      <c r="U22" s="123">
        <f t="shared" si="14"/>
        <v>1.0037950738454637</v>
      </c>
      <c r="V22" s="123">
        <f t="shared" si="15"/>
        <v>1.0432292757965942</v>
      </c>
      <c r="W22" s="123">
        <f t="shared" si="16"/>
        <v>1.0827803366492705</v>
      </c>
      <c r="X22" s="123">
        <f t="shared" si="17"/>
        <v>1.1368980780585667</v>
      </c>
    </row>
    <row r="23" spans="1:24" ht="15">
      <c r="A23" s="2" t="s">
        <v>51</v>
      </c>
      <c r="B23" s="18">
        <v>3009000</v>
      </c>
      <c r="C23" s="18">
        <v>2009000</v>
      </c>
      <c r="D23" s="18">
        <v>3225000</v>
      </c>
      <c r="E23" s="18">
        <v>0</v>
      </c>
      <c r="F23" s="18" t="s">
        <v>2</v>
      </c>
      <c r="H23" s="121">
        <f t="shared" si="3"/>
        <v>2.7127659574468086E-2</v>
      </c>
      <c r="I23" s="121">
        <f t="shared" si="4"/>
        <v>1.5320323640883683E-2</v>
      </c>
      <c r="J23" s="121">
        <f t="shared" si="5"/>
        <v>2.1870189406012437E-2</v>
      </c>
      <c r="K23" s="121">
        <f t="shared" si="6"/>
        <v>0</v>
      </c>
      <c r="L23" s="121">
        <f>IFERROR(F23/F$19,0)</f>
        <v>0</v>
      </c>
      <c r="N23" s="122">
        <f t="shared" si="8"/>
        <v>1</v>
      </c>
      <c r="O23" s="122">
        <f t="shared" si="9"/>
        <v>0.66766367563974738</v>
      </c>
      <c r="P23" s="122">
        <f t="shared" si="10"/>
        <v>1.0717846460618146</v>
      </c>
      <c r="Q23" s="122">
        <f t="shared" si="11"/>
        <v>0</v>
      </c>
      <c r="R23" s="122">
        <f>IFERROR(F23/$B23,0)</f>
        <v>0</v>
      </c>
      <c r="T23" s="123">
        <f t="shared" si="13"/>
        <v>1</v>
      </c>
      <c r="U23" s="123">
        <f t="shared" si="14"/>
        <v>0.56474918519335926</v>
      </c>
      <c r="V23" s="123">
        <f t="shared" si="15"/>
        <v>0.80619521731967414</v>
      </c>
      <c r="W23" s="123">
        <f t="shared" si="16"/>
        <v>0</v>
      </c>
      <c r="X23" s="123">
        <f t="shared" si="17"/>
        <v>0</v>
      </c>
    </row>
    <row r="24" spans="1:24" ht="15">
      <c r="A24" s="2" t="s">
        <v>52</v>
      </c>
      <c r="B24" s="18">
        <v>6215000</v>
      </c>
      <c r="C24" s="18">
        <v>8060000</v>
      </c>
      <c r="D24" s="18">
        <v>8286000</v>
      </c>
      <c r="E24" s="18">
        <v>7797000</v>
      </c>
      <c r="F24" s="18">
        <v>12490000</v>
      </c>
      <c r="H24" s="121">
        <f t="shared" si="3"/>
        <v>5.6031373963216731E-2</v>
      </c>
      <c r="I24" s="121">
        <f t="shared" si="4"/>
        <v>6.1464314855909648E-2</v>
      </c>
      <c r="J24" s="121">
        <f t="shared" si="5"/>
        <v>5.6191128501773352E-2</v>
      </c>
      <c r="K24" s="121">
        <f t="shared" si="6"/>
        <v>4.6550087464253091E-2</v>
      </c>
      <c r="L24" s="121">
        <f t="shared" si="7"/>
        <v>6.3306216579234145E-2</v>
      </c>
      <c r="N24" s="122">
        <f t="shared" si="8"/>
        <v>1</v>
      </c>
      <c r="O24" s="122">
        <f t="shared" si="9"/>
        <v>1.2968624296057925</v>
      </c>
      <c r="P24" s="122">
        <f t="shared" si="10"/>
        <v>1.3332260659694288</v>
      </c>
      <c r="Q24" s="122">
        <f t="shared" si="11"/>
        <v>1.2545454545454546</v>
      </c>
      <c r="R24" s="122">
        <f t="shared" si="12"/>
        <v>2.0096540627514079</v>
      </c>
      <c r="T24" s="123">
        <f t="shared" si="13"/>
        <v>1</v>
      </c>
      <c r="U24" s="123">
        <f t="shared" si="14"/>
        <v>1.0969624784903458</v>
      </c>
      <c r="V24" s="123">
        <f t="shared" si="15"/>
        <v>1.0028511622553018</v>
      </c>
      <c r="W24" s="123">
        <f t="shared" si="16"/>
        <v>0.83078611448671813</v>
      </c>
      <c r="X24" s="123">
        <f t="shared" si="17"/>
        <v>1.1298351637922206</v>
      </c>
    </row>
    <row r="25" spans="1:24">
      <c r="A25" s="12" t="s">
        <v>53</v>
      </c>
      <c r="B25" s="5">
        <f>SUM(B21:B24)</f>
        <v>15908000</v>
      </c>
      <c r="C25" s="5">
        <f t="shared" ref="C25:F25" si="25">SUM(C21:C24)</f>
        <v>16805000</v>
      </c>
      <c r="D25" s="5">
        <f t="shared" si="25"/>
        <v>19310000</v>
      </c>
      <c r="E25" s="5">
        <f t="shared" si="25"/>
        <v>16756000</v>
      </c>
      <c r="F25" s="5">
        <f t="shared" si="25"/>
        <v>24183000</v>
      </c>
      <c r="H25" s="121">
        <f t="shared" si="3"/>
        <v>0.14341868012982328</v>
      </c>
      <c r="I25" s="121">
        <f t="shared" si="4"/>
        <v>0.12815233389002006</v>
      </c>
      <c r="J25" s="121">
        <f t="shared" si="5"/>
        <v>0.13094987827289928</v>
      </c>
      <c r="K25" s="121">
        <f t="shared" si="6"/>
        <v>0.10003761261395726</v>
      </c>
      <c r="L25" s="121">
        <f t="shared" si="7"/>
        <v>0.12257279708051395</v>
      </c>
      <c r="N25" s="122">
        <f t="shared" si="8"/>
        <v>1</v>
      </c>
      <c r="O25" s="122">
        <f t="shared" si="9"/>
        <v>1.0563867236610511</v>
      </c>
      <c r="P25" s="122">
        <f t="shared" si="10"/>
        <v>1.2138546643198391</v>
      </c>
      <c r="Q25" s="122">
        <f t="shared" si="11"/>
        <v>1.0533065124465677</v>
      </c>
      <c r="R25" s="122">
        <f t="shared" si="12"/>
        <v>1.5201785265275334</v>
      </c>
      <c r="T25" s="123">
        <f t="shared" si="13"/>
        <v>1</v>
      </c>
      <c r="U25" s="123">
        <f t="shared" si="14"/>
        <v>0.89355399013584524</v>
      </c>
      <c r="V25" s="123">
        <f t="shared" si="15"/>
        <v>0.913060126856298</v>
      </c>
      <c r="W25" s="123">
        <f t="shared" si="16"/>
        <v>0.69752149806010433</v>
      </c>
      <c r="X25" s="123">
        <f t="shared" si="17"/>
        <v>0.8546501541470084</v>
      </c>
    </row>
    <row r="26" spans="1:24" ht="15">
      <c r="A26" s="2" t="s">
        <v>54</v>
      </c>
      <c r="B26" s="18">
        <v>2236000</v>
      </c>
      <c r="C26" s="18">
        <v>3228000</v>
      </c>
      <c r="D26" s="18">
        <v>1995000</v>
      </c>
      <c r="E26" s="18">
        <v>3935000</v>
      </c>
      <c r="F26" s="18">
        <v>3969000</v>
      </c>
      <c r="H26" s="121">
        <f t="shared" si="3"/>
        <v>2.015867291741796E-2</v>
      </c>
      <c r="I26" s="121">
        <f t="shared" si="4"/>
        <v>2.4616229324426347E-2</v>
      </c>
      <c r="J26" s="121">
        <f t="shared" si="5"/>
        <v>1.3529000888370484E-2</v>
      </c>
      <c r="K26" s="121">
        <f t="shared" si="6"/>
        <v>2.3492958082831333E-2</v>
      </c>
      <c r="L26" s="121">
        <f t="shared" si="7"/>
        <v>2.0117083555082491E-2</v>
      </c>
      <c r="N26" s="122">
        <f t="shared" si="8"/>
        <v>1</v>
      </c>
      <c r="O26" s="122">
        <f t="shared" si="9"/>
        <v>1.443649373881932</v>
      </c>
      <c r="P26" s="122">
        <f t="shared" si="10"/>
        <v>0.89221824686940965</v>
      </c>
      <c r="Q26" s="122">
        <f t="shared" si="11"/>
        <v>1.7598389982110911</v>
      </c>
      <c r="R26" s="122">
        <f t="shared" si="12"/>
        <v>1.7750447227191413</v>
      </c>
      <c r="T26" s="123">
        <f t="shared" si="13"/>
        <v>1</v>
      </c>
      <c r="U26" s="123">
        <f t="shared" si="14"/>
        <v>1.2211235047698437</v>
      </c>
      <c r="V26" s="123">
        <f t="shared" si="15"/>
        <v>0.67112557179698307</v>
      </c>
      <c r="W26" s="123">
        <f t="shared" si="16"/>
        <v>1.1654020172395578</v>
      </c>
      <c r="X26" s="123">
        <f t="shared" si="17"/>
        <v>0.99793689978969136</v>
      </c>
    </row>
    <row r="27" spans="1:24" ht="15">
      <c r="A27" s="2" t="s">
        <v>55</v>
      </c>
      <c r="B27" s="18">
        <v>2086000</v>
      </c>
      <c r="C27" s="18">
        <v>2075000</v>
      </c>
      <c r="D27" s="18">
        <v>340000</v>
      </c>
      <c r="E27" s="18">
        <v>428000</v>
      </c>
      <c r="F27" s="18">
        <v>770000</v>
      </c>
      <c r="H27" s="121">
        <f t="shared" si="3"/>
        <v>1.8806346916696717E-2</v>
      </c>
      <c r="I27" s="121">
        <f t="shared" si="4"/>
        <v>1.5823629444914705E-2</v>
      </c>
      <c r="J27" s="121">
        <f t="shared" si="5"/>
        <v>2.3056943869904584E-3</v>
      </c>
      <c r="K27" s="121">
        <f t="shared" si="6"/>
        <v>2.5552696466205364E-3</v>
      </c>
      <c r="L27" s="121">
        <f t="shared" si="7"/>
        <v>3.9027851694163561E-3</v>
      </c>
      <c r="N27" s="122">
        <f t="shared" si="8"/>
        <v>1</v>
      </c>
      <c r="O27" s="122">
        <f t="shared" si="9"/>
        <v>0.99472674976030684</v>
      </c>
      <c r="P27" s="122">
        <f t="shared" si="10"/>
        <v>0.16299137104506231</v>
      </c>
      <c r="Q27" s="122">
        <f t="shared" si="11"/>
        <v>0.20517737296260785</v>
      </c>
      <c r="R27" s="122">
        <f t="shared" si="12"/>
        <v>0.36912751677852351</v>
      </c>
      <c r="T27" s="123">
        <f t="shared" si="13"/>
        <v>1</v>
      </c>
      <c r="U27" s="123">
        <f t="shared" si="14"/>
        <v>0.84139835955414155</v>
      </c>
      <c r="V27" s="123">
        <f t="shared" si="15"/>
        <v>0.1226019278067985</v>
      </c>
      <c r="W27" s="123">
        <f t="shared" si="16"/>
        <v>0.13587272732653399</v>
      </c>
      <c r="X27" s="123">
        <f t="shared" si="17"/>
        <v>0.2075248950103846</v>
      </c>
    </row>
    <row r="28" spans="1:24" ht="15">
      <c r="A28" s="2" t="s">
        <v>56</v>
      </c>
      <c r="B28" s="18">
        <v>0</v>
      </c>
      <c r="C28" s="18">
        <v>0</v>
      </c>
      <c r="D28" s="18">
        <v>0</v>
      </c>
      <c r="E28" s="18">
        <v>0</v>
      </c>
      <c r="F28" s="18">
        <v>0</v>
      </c>
      <c r="H28" s="121">
        <f t="shared" si="3"/>
        <v>0</v>
      </c>
      <c r="I28" s="121">
        <f t="shared" si="4"/>
        <v>0</v>
      </c>
      <c r="J28" s="121">
        <f t="shared" si="5"/>
        <v>0</v>
      </c>
      <c r="K28" s="121">
        <f t="shared" si="6"/>
        <v>0</v>
      </c>
      <c r="L28" s="121">
        <f t="shared" si="7"/>
        <v>0</v>
      </c>
      <c r="N28" s="122">
        <f>IFERROR(B28/$B28,0)</f>
        <v>0</v>
      </c>
      <c r="O28" s="122">
        <f t="shared" ref="O28:R28" si="26">IFERROR(C28/$B28,0)</f>
        <v>0</v>
      </c>
      <c r="P28" s="122">
        <f t="shared" si="26"/>
        <v>0</v>
      </c>
      <c r="Q28" s="122">
        <f t="shared" si="26"/>
        <v>0</v>
      </c>
      <c r="R28" s="122">
        <f t="shared" si="26"/>
        <v>0</v>
      </c>
      <c r="T28" s="123">
        <f>IFERROR(H28/$H28,0)</f>
        <v>0</v>
      </c>
      <c r="U28" s="123">
        <f t="shared" ref="U28:X28" si="27">IFERROR(I28/$H28,0)</f>
        <v>0</v>
      </c>
      <c r="V28" s="123">
        <f t="shared" si="27"/>
        <v>0</v>
      </c>
      <c r="W28" s="123">
        <f t="shared" si="27"/>
        <v>0</v>
      </c>
      <c r="X28" s="123">
        <f t="shared" si="27"/>
        <v>0</v>
      </c>
    </row>
    <row r="29" spans="1:24" ht="15">
      <c r="A29" s="2" t="s">
        <v>57</v>
      </c>
      <c r="B29" s="18">
        <v>3381000</v>
      </c>
      <c r="C29" s="18">
        <v>4525000</v>
      </c>
      <c r="D29" s="18">
        <v>5485000</v>
      </c>
      <c r="E29" s="18">
        <v>7342000</v>
      </c>
      <c r="F29" s="18">
        <v>15871000</v>
      </c>
      <c r="H29" s="121">
        <f t="shared" si="3"/>
        <v>3.0481428056256761E-2</v>
      </c>
      <c r="I29" s="121">
        <f t="shared" si="4"/>
        <v>3.4506950958187489E-2</v>
      </c>
      <c r="J29" s="121">
        <f t="shared" si="5"/>
        <v>3.7196275625419606E-2</v>
      </c>
      <c r="K29" s="121">
        <f t="shared" si="6"/>
        <v>4.3833620900672846E-2</v>
      </c>
      <c r="L29" s="121">
        <f t="shared" si="7"/>
        <v>8.0442991459489591E-2</v>
      </c>
      <c r="N29" s="122">
        <f t="shared" si="8"/>
        <v>1</v>
      </c>
      <c r="O29" s="122">
        <f t="shared" si="9"/>
        <v>1.3383614315291334</v>
      </c>
      <c r="P29" s="122">
        <f t="shared" si="10"/>
        <v>1.6223010943507838</v>
      </c>
      <c r="Q29" s="122">
        <f t="shared" si="11"/>
        <v>2.1715468796214137</v>
      </c>
      <c r="R29" s="122">
        <f t="shared" si="12"/>
        <v>4.6941733215025137</v>
      </c>
      <c r="T29" s="123">
        <f t="shared" si="13"/>
        <v>1</v>
      </c>
      <c r="U29" s="123">
        <f t="shared" si="14"/>
        <v>1.1320647738190348</v>
      </c>
      <c r="V29" s="123">
        <f t="shared" si="15"/>
        <v>1.2202930767144462</v>
      </c>
      <c r="W29" s="123">
        <f t="shared" si="16"/>
        <v>1.43804354637759</v>
      </c>
      <c r="X29" s="123">
        <f t="shared" si="17"/>
        <v>2.6390821096381503</v>
      </c>
    </row>
    <row r="30" spans="1:24">
      <c r="A30" s="15" t="s">
        <v>58</v>
      </c>
      <c r="B30" s="6">
        <f>SUM(B25:B29)</f>
        <v>23611000</v>
      </c>
      <c r="C30" s="6">
        <f t="shared" ref="C30:F30" si="28">SUM(C25:C29)</f>
        <v>26633000</v>
      </c>
      <c r="D30" s="6">
        <f t="shared" si="28"/>
        <v>27130000</v>
      </c>
      <c r="E30" s="6">
        <f t="shared" si="28"/>
        <v>28461000</v>
      </c>
      <c r="F30" s="6">
        <f t="shared" si="28"/>
        <v>44793000</v>
      </c>
      <c r="H30" s="121">
        <f t="shared" si="3"/>
        <v>0.21286512802019472</v>
      </c>
      <c r="I30" s="121">
        <f t="shared" si="4"/>
        <v>0.20309914361754861</v>
      </c>
      <c r="J30" s="121">
        <f t="shared" si="5"/>
        <v>0.18398084917367982</v>
      </c>
      <c r="K30" s="121">
        <f t="shared" si="6"/>
        <v>0.16991946124408197</v>
      </c>
      <c r="L30" s="121">
        <f t="shared" si="7"/>
        <v>0.22703565726450239</v>
      </c>
      <c r="N30" s="122">
        <f t="shared" si="8"/>
        <v>1</v>
      </c>
      <c r="O30" s="122">
        <f t="shared" si="9"/>
        <v>1.127991190546779</v>
      </c>
      <c r="P30" s="122">
        <f t="shared" si="10"/>
        <v>1.1490407013680064</v>
      </c>
      <c r="Q30" s="122">
        <f t="shared" si="11"/>
        <v>1.2054127313540299</v>
      </c>
      <c r="R30" s="122">
        <f t="shared" si="12"/>
        <v>1.8971242217610436</v>
      </c>
      <c r="T30" s="123">
        <f t="shared" si="13"/>
        <v>1</v>
      </c>
      <c r="U30" s="123">
        <f t="shared" si="14"/>
        <v>0.95412125746721832</v>
      </c>
      <c r="V30" s="123">
        <f t="shared" si="15"/>
        <v>0.86430713609523391</v>
      </c>
      <c r="W30" s="123">
        <f t="shared" si="16"/>
        <v>0.79824940244773934</v>
      </c>
      <c r="X30" s="123">
        <f t="shared" si="17"/>
        <v>1.0665704588445473</v>
      </c>
    </row>
    <row r="31" spans="1:24" ht="15">
      <c r="A31" s="2" t="s">
        <v>59</v>
      </c>
      <c r="B31" s="18">
        <v>61262000</v>
      </c>
      <c r="C31" s="18">
        <v>75706000</v>
      </c>
      <c r="D31" s="18">
        <v>89223000</v>
      </c>
      <c r="E31" s="18">
        <v>105131000</v>
      </c>
      <c r="F31" s="18">
        <v>113247000</v>
      </c>
      <c r="H31" s="121">
        <f t="shared" si="3"/>
        <v>0.55230796970789764</v>
      </c>
      <c r="I31" s="121">
        <f t="shared" si="4"/>
        <v>0.57732226060564462</v>
      </c>
      <c r="J31" s="121">
        <f t="shared" si="5"/>
        <v>0.60506167732485194</v>
      </c>
      <c r="K31" s="121">
        <f t="shared" si="6"/>
        <v>0.62765900284781218</v>
      </c>
      <c r="L31" s="121">
        <f t="shared" si="7"/>
        <v>0.57399832737778456</v>
      </c>
      <c r="N31" s="122">
        <f t="shared" si="8"/>
        <v>1</v>
      </c>
      <c r="O31" s="122">
        <f t="shared" si="9"/>
        <v>1.23577421566387</v>
      </c>
      <c r="P31" s="122">
        <f t="shared" si="10"/>
        <v>1.4564167020338872</v>
      </c>
      <c r="Q31" s="122">
        <f t="shared" si="11"/>
        <v>1.7160882765825471</v>
      </c>
      <c r="R31" s="122">
        <f t="shared" si="12"/>
        <v>1.8485684437334726</v>
      </c>
      <c r="T31" s="123">
        <f t="shared" si="13"/>
        <v>1</v>
      </c>
      <c r="U31" s="123">
        <f t="shared" si="14"/>
        <v>1.0452904760924895</v>
      </c>
      <c r="V31" s="123">
        <f t="shared" si="15"/>
        <v>1.0955150215283955</v>
      </c>
      <c r="W31" s="123">
        <f t="shared" si="16"/>
        <v>1.136429378666699</v>
      </c>
      <c r="X31" s="123">
        <f t="shared" si="17"/>
        <v>1.0392722156107188</v>
      </c>
    </row>
    <row r="32" spans="1:24" ht="15">
      <c r="A32" s="2" t="s">
        <v>60</v>
      </c>
      <c r="B32" s="18">
        <v>125000</v>
      </c>
      <c r="C32" s="18">
        <v>27000</v>
      </c>
      <c r="D32" s="18">
        <v>-1874000</v>
      </c>
      <c r="E32" s="18">
        <v>-2402000</v>
      </c>
      <c r="F32" s="18">
        <v>-992000</v>
      </c>
      <c r="H32" s="121">
        <f t="shared" si="3"/>
        <v>1.1269383339343672E-3</v>
      </c>
      <c r="I32" s="121">
        <f t="shared" si="4"/>
        <v>2.0589782892178169E-4</v>
      </c>
      <c r="J32" s="121">
        <f t="shared" si="5"/>
        <v>-1.2708444944765057E-2</v>
      </c>
      <c r="K32" s="121">
        <f t="shared" si="6"/>
        <v>-1.4340555353230207E-2</v>
      </c>
      <c r="L32" s="121">
        <f t="shared" si="7"/>
        <v>-5.0280037507286048E-3</v>
      </c>
      <c r="N32" s="122">
        <f t="shared" si="8"/>
        <v>1</v>
      </c>
      <c r="O32" s="122">
        <f t="shared" si="9"/>
        <v>0.216</v>
      </c>
      <c r="P32" s="122">
        <f t="shared" si="10"/>
        <v>-14.992000000000001</v>
      </c>
      <c r="Q32" s="122">
        <f t="shared" si="11"/>
        <v>-19.216000000000001</v>
      </c>
      <c r="R32" s="122">
        <f t="shared" si="12"/>
        <v>-7.9359999999999999</v>
      </c>
      <c r="T32" s="123">
        <f t="shared" si="13"/>
        <v>1</v>
      </c>
      <c r="U32" s="123">
        <f t="shared" si="14"/>
        <v>0.18270549747203219</v>
      </c>
      <c r="V32" s="123">
        <f t="shared" si="15"/>
        <v>-11.27696570618672</v>
      </c>
      <c r="W32" s="123">
        <f t="shared" si="16"/>
        <v>-12.725235198242355</v>
      </c>
      <c r="X32" s="123">
        <f t="shared" si="17"/>
        <v>-4.4616494082465348</v>
      </c>
    </row>
    <row r="33" spans="1:24" ht="15">
      <c r="A33" s="2" t="s">
        <v>61</v>
      </c>
      <c r="B33" s="18">
        <v>16000</v>
      </c>
      <c r="C33" s="18">
        <v>-980000</v>
      </c>
      <c r="D33" s="18">
        <v>-2047000</v>
      </c>
      <c r="E33" s="18">
        <v>-2646000</v>
      </c>
      <c r="F33" s="18">
        <v>-1103000</v>
      </c>
      <c r="H33" s="121">
        <f t="shared" si="3"/>
        <v>1.4424810674359899E-4</v>
      </c>
      <c r="I33" s="121">
        <f t="shared" si="4"/>
        <v>-7.473328605309114E-3</v>
      </c>
      <c r="J33" s="121">
        <f t="shared" si="5"/>
        <v>-1.3881636500498437E-2</v>
      </c>
      <c r="K33" s="121">
        <f t="shared" si="6"/>
        <v>-1.5797297862051262E-2</v>
      </c>
      <c r="L33" s="121">
        <f t="shared" si="7"/>
        <v>-5.5906130413847285E-3</v>
      </c>
      <c r="N33" s="122">
        <f t="shared" si="8"/>
        <v>1</v>
      </c>
      <c r="O33" s="122">
        <f t="shared" si="9"/>
        <v>-61.25</v>
      </c>
      <c r="P33" s="122">
        <f t="shared" si="10"/>
        <v>-127.9375</v>
      </c>
      <c r="Q33" s="122">
        <f t="shared" si="11"/>
        <v>-165.375</v>
      </c>
      <c r="R33" s="122">
        <f t="shared" si="12"/>
        <v>-68.9375</v>
      </c>
      <c r="T33" s="123">
        <f t="shared" si="13"/>
        <v>1</v>
      </c>
      <c r="U33" s="123">
        <f t="shared" si="14"/>
        <v>-51.80885055630543</v>
      </c>
      <c r="V33" s="123">
        <f t="shared" si="15"/>
        <v>-96.23444503970542</v>
      </c>
      <c r="W33" s="123">
        <f t="shared" si="16"/>
        <v>-109.51476742867037</v>
      </c>
      <c r="X33" s="123">
        <f t="shared" si="17"/>
        <v>-38.756924909399629</v>
      </c>
    </row>
    <row r="34" spans="1:24" ht="15">
      <c r="A34" s="2" t="s">
        <v>62</v>
      </c>
      <c r="B34" s="18">
        <v>25906000</v>
      </c>
      <c r="C34" s="18">
        <v>29747000</v>
      </c>
      <c r="D34" s="18">
        <v>35029000</v>
      </c>
      <c r="E34" s="18">
        <v>38953000</v>
      </c>
      <c r="F34" s="18">
        <v>41350000</v>
      </c>
      <c r="H34" s="121">
        <f t="shared" si="3"/>
        <v>0.23355571583122972</v>
      </c>
      <c r="I34" s="121">
        <f t="shared" si="4"/>
        <v>0.22684602655319408</v>
      </c>
      <c r="J34" s="121">
        <f t="shared" si="5"/>
        <v>0.23754755494673169</v>
      </c>
      <c r="K34" s="121">
        <f t="shared" si="6"/>
        <v>0.23255938912338728</v>
      </c>
      <c r="L34" s="121">
        <f t="shared" si="7"/>
        <v>0.20958463214982639</v>
      </c>
      <c r="N34" s="122">
        <f t="shared" si="8"/>
        <v>1</v>
      </c>
      <c r="O34" s="122">
        <f t="shared" si="9"/>
        <v>1.1482668107774261</v>
      </c>
      <c r="P34" s="122">
        <f t="shared" si="10"/>
        <v>1.3521578012815565</v>
      </c>
      <c r="Q34" s="122">
        <f t="shared" si="11"/>
        <v>1.5036285030494867</v>
      </c>
      <c r="R34" s="122">
        <f t="shared" si="12"/>
        <v>1.5961553308113949</v>
      </c>
      <c r="T34" s="123">
        <f t="shared" si="13"/>
        <v>1</v>
      </c>
      <c r="U34" s="123">
        <f t="shared" si="14"/>
        <v>0.97127156895237732</v>
      </c>
      <c r="V34" s="123">
        <f t="shared" si="15"/>
        <v>1.0170915924763173</v>
      </c>
      <c r="W34" s="123">
        <f t="shared" si="16"/>
        <v>0.99573409409272429</v>
      </c>
      <c r="X34" s="123">
        <f t="shared" si="17"/>
        <v>0.89736460271978469</v>
      </c>
    </row>
    <row r="35" spans="1:24">
      <c r="A35" s="12" t="s">
        <v>63</v>
      </c>
      <c r="B35" s="5">
        <f>SUM(B31:B34)</f>
        <v>87309000</v>
      </c>
      <c r="C35" s="5">
        <f t="shared" ref="C35:F35" si="29">SUM(C31:C34)</f>
        <v>104500000</v>
      </c>
      <c r="D35" s="5">
        <f t="shared" si="29"/>
        <v>120331000</v>
      </c>
      <c r="E35" s="5">
        <f t="shared" si="29"/>
        <v>139036000</v>
      </c>
      <c r="F35" s="5">
        <f t="shared" si="29"/>
        <v>152502000</v>
      </c>
      <c r="H35" s="121">
        <f t="shared" si="3"/>
        <v>0.78713487197980525</v>
      </c>
      <c r="I35" s="121">
        <f t="shared" si="4"/>
        <v>0.79690085638245145</v>
      </c>
      <c r="J35" s="121">
        <f t="shared" si="5"/>
        <v>0.81601915082632015</v>
      </c>
      <c r="K35" s="121">
        <f t="shared" si="6"/>
        <v>0.83008053875591803</v>
      </c>
      <c r="L35" s="121">
        <f t="shared" si="7"/>
        <v>0.77296434273549763</v>
      </c>
      <c r="N35" s="122">
        <f t="shared" si="8"/>
        <v>1</v>
      </c>
      <c r="O35" s="122">
        <f t="shared" si="9"/>
        <v>1.196898372447285</v>
      </c>
      <c r="P35" s="122">
        <f t="shared" si="10"/>
        <v>1.3782198856933421</v>
      </c>
      <c r="Q35" s="122">
        <f t="shared" si="11"/>
        <v>1.592458967574935</v>
      </c>
      <c r="R35" s="122">
        <f t="shared" si="12"/>
        <v>1.7466927808129746</v>
      </c>
      <c r="T35" s="123">
        <f t="shared" si="13"/>
        <v>1</v>
      </c>
      <c r="U35" s="123">
        <f t="shared" si="14"/>
        <v>1.0124070025992913</v>
      </c>
      <c r="V35" s="123">
        <f t="shared" si="15"/>
        <v>1.0366954633503469</v>
      </c>
      <c r="W35" s="123">
        <f t="shared" si="16"/>
        <v>1.0545594767871174</v>
      </c>
      <c r="X35" s="123">
        <f t="shared" si="17"/>
        <v>0.9819973301288687</v>
      </c>
    </row>
    <row r="36" spans="1:24" ht="14" thickBot="1">
      <c r="A36" s="13" t="s">
        <v>64</v>
      </c>
      <c r="B36" s="7">
        <f>B35+B30</f>
        <v>110920000</v>
      </c>
      <c r="C36" s="7">
        <f t="shared" ref="C36:F36" si="30">C35+C30</f>
        <v>131133000</v>
      </c>
      <c r="D36" s="59">
        <f t="shared" si="30"/>
        <v>147461000</v>
      </c>
      <c r="E36" s="7">
        <f t="shared" si="30"/>
        <v>167497000</v>
      </c>
      <c r="F36" s="7">
        <f t="shared" si="30"/>
        <v>197295000</v>
      </c>
      <c r="H36" s="121">
        <f t="shared" si="3"/>
        <v>1</v>
      </c>
      <c r="I36" s="121">
        <f t="shared" si="4"/>
        <v>1</v>
      </c>
      <c r="J36" s="121">
        <f t="shared" si="5"/>
        <v>1</v>
      </c>
      <c r="K36" s="121">
        <f t="shared" si="6"/>
        <v>1</v>
      </c>
      <c r="L36" s="121">
        <f t="shared" si="7"/>
        <v>1</v>
      </c>
      <c r="N36" s="122">
        <f t="shared" si="8"/>
        <v>1</v>
      </c>
      <c r="O36" s="122">
        <f t="shared" si="9"/>
        <v>1.1822304363505229</v>
      </c>
      <c r="P36" s="122">
        <f t="shared" si="10"/>
        <v>1.3294356292823657</v>
      </c>
      <c r="Q36" s="122">
        <f t="shared" si="11"/>
        <v>1.5100703209520374</v>
      </c>
      <c r="R36" s="122">
        <f t="shared" si="12"/>
        <v>1.7787143887486476</v>
      </c>
      <c r="T36" s="123">
        <f t="shared" si="13"/>
        <v>1</v>
      </c>
      <c r="U36" s="123">
        <f t="shared" si="14"/>
        <v>1</v>
      </c>
      <c r="V36" s="123">
        <f t="shared" si="15"/>
        <v>1</v>
      </c>
      <c r="W36" s="123">
        <f t="shared" si="16"/>
        <v>1</v>
      </c>
      <c r="X36" s="123">
        <f t="shared" si="17"/>
        <v>1</v>
      </c>
    </row>
    <row r="37" spans="1:24" ht="14" thickTop="1"/>
  </sheetData>
  <mergeCells count="6">
    <mergeCell ref="A2:F2"/>
    <mergeCell ref="A1:F1"/>
    <mergeCell ref="H1:Y1"/>
    <mergeCell ref="H2:M2"/>
    <mergeCell ref="N2:S2"/>
    <mergeCell ref="T2:Y2"/>
  </mergeCells>
  <printOptions gridLines="1" gridLinesSet="0"/>
  <pageMargins left="0.75" right="0.75" top="1" bottom="1" header="0.5" footer="0.5"/>
  <pageSetup fitToWidth="0" fitToHeight="0" orientation="portrait" r:id="rId1"/>
  <headerFooter alignWithMargins="0"/>
  <extLst>
    <ext xmlns:x14="http://schemas.microsoft.com/office/spreadsheetml/2009/9/main" uri="{05C60535-1F16-4fd2-B633-F4F36F0B64E0}">
      <x14:sparklineGroups xmlns:xm="http://schemas.microsoft.com/office/excel/2006/main">
        <x14:sparklineGroup displayEmptyCellsAs="gap" xr2:uid="{00000000-0003-0000-0400-000006000000}">
          <x14:colorSeries rgb="FF376092"/>
          <x14:colorNegative rgb="FFD00000"/>
          <x14:colorAxis rgb="FF000000"/>
          <x14:colorMarkers rgb="FFD00000"/>
          <x14:colorFirst rgb="FFD00000"/>
          <x14:colorLast rgb="FFD00000"/>
          <x14:colorHigh rgb="FFD00000"/>
          <x14:colorLow rgb="FFD00000"/>
          <x14:sparklines>
            <x14:sparkline>
              <xm:f>'Balance Sheet'!H4:L4</xm:f>
              <xm:sqref>M4</xm:sqref>
            </x14:sparkline>
            <x14:sparkline>
              <xm:f>'Balance Sheet'!H5:L5</xm:f>
              <xm:sqref>M5</xm:sqref>
            </x14:sparkline>
            <x14:sparkline>
              <xm:f>'Balance Sheet'!H6:L6</xm:f>
              <xm:sqref>M6</xm:sqref>
            </x14:sparkline>
            <x14:sparkline>
              <xm:f>'Balance Sheet'!H7:L7</xm:f>
              <xm:sqref>M7</xm:sqref>
            </x14:sparkline>
            <x14:sparkline>
              <xm:f>'Balance Sheet'!H8:L8</xm:f>
              <xm:sqref>M8</xm:sqref>
            </x14:sparkline>
            <x14:sparkline>
              <xm:f>'Balance Sheet'!H9:L9</xm:f>
              <xm:sqref>M9</xm:sqref>
            </x14:sparkline>
            <x14:sparkline>
              <xm:f>'Balance Sheet'!H10:L10</xm:f>
              <xm:sqref>M10</xm:sqref>
            </x14:sparkline>
            <x14:sparkline>
              <xm:f>'Balance Sheet'!H11:L11</xm:f>
              <xm:sqref>M11</xm:sqref>
            </x14:sparkline>
            <x14:sparkline>
              <xm:f>'Balance Sheet'!H12:L12</xm:f>
              <xm:sqref>M12</xm:sqref>
            </x14:sparkline>
            <x14:sparkline>
              <xm:f>'Balance Sheet'!H13:L13</xm:f>
              <xm:sqref>M13</xm:sqref>
            </x14:sparkline>
            <x14:sparkline>
              <xm:f>'Balance Sheet'!H14:L14</xm:f>
              <xm:sqref>M14</xm:sqref>
            </x14:sparkline>
            <x14:sparkline>
              <xm:f>'Balance Sheet'!H15:L15</xm:f>
              <xm:sqref>M15</xm:sqref>
            </x14:sparkline>
            <x14:sparkline>
              <xm:f>'Balance Sheet'!H16:L16</xm:f>
              <xm:sqref>M16</xm:sqref>
            </x14:sparkline>
            <x14:sparkline>
              <xm:f>'Balance Sheet'!H17:L17</xm:f>
              <xm:sqref>M17</xm:sqref>
            </x14:sparkline>
            <x14:sparkline>
              <xm:f>'Balance Sheet'!H18:L18</xm:f>
              <xm:sqref>M18</xm:sqref>
            </x14:sparkline>
            <x14:sparkline>
              <xm:f>'Balance Sheet'!H19:L19</xm:f>
              <xm:sqref>M19</xm:sqref>
            </x14:sparkline>
            <x14:sparkline>
              <xm:f>'Balance Sheet'!H20:L20</xm:f>
              <xm:sqref>M20</xm:sqref>
            </x14:sparkline>
            <x14:sparkline>
              <xm:f>'Balance Sheet'!H21:L21</xm:f>
              <xm:sqref>M21</xm:sqref>
            </x14:sparkline>
            <x14:sparkline>
              <xm:f>'Balance Sheet'!H22:L22</xm:f>
              <xm:sqref>M22</xm:sqref>
            </x14:sparkline>
            <x14:sparkline>
              <xm:f>'Balance Sheet'!H23:L23</xm:f>
              <xm:sqref>M23</xm:sqref>
            </x14:sparkline>
            <x14:sparkline>
              <xm:f>'Balance Sheet'!H24:L24</xm:f>
              <xm:sqref>M24</xm:sqref>
            </x14:sparkline>
            <x14:sparkline>
              <xm:f>'Balance Sheet'!H25:L25</xm:f>
              <xm:sqref>M25</xm:sqref>
            </x14:sparkline>
            <x14:sparkline>
              <xm:f>'Balance Sheet'!H26:L26</xm:f>
              <xm:sqref>M26</xm:sqref>
            </x14:sparkline>
            <x14:sparkline>
              <xm:f>'Balance Sheet'!H27:L27</xm:f>
              <xm:sqref>M27</xm:sqref>
            </x14:sparkline>
            <x14:sparkline>
              <xm:f>'Balance Sheet'!H28:L28</xm:f>
              <xm:sqref>M28</xm:sqref>
            </x14:sparkline>
            <x14:sparkline>
              <xm:f>'Balance Sheet'!H29:L29</xm:f>
              <xm:sqref>M29</xm:sqref>
            </x14:sparkline>
            <x14:sparkline>
              <xm:f>'Balance Sheet'!H30:L30</xm:f>
              <xm:sqref>M30</xm:sqref>
            </x14:sparkline>
            <x14:sparkline>
              <xm:f>'Balance Sheet'!H31:L31</xm:f>
              <xm:sqref>M31</xm:sqref>
            </x14:sparkline>
            <x14:sparkline>
              <xm:f>'Balance Sheet'!H32:L32</xm:f>
              <xm:sqref>M32</xm:sqref>
            </x14:sparkline>
            <x14:sparkline>
              <xm:f>'Balance Sheet'!H33:L33</xm:f>
              <xm:sqref>M33</xm:sqref>
            </x14:sparkline>
            <x14:sparkline>
              <xm:f>'Balance Sheet'!H34:L34</xm:f>
              <xm:sqref>M34</xm:sqref>
            </x14:sparkline>
            <x14:sparkline>
              <xm:f>'Balance Sheet'!H35:L35</xm:f>
              <xm:sqref>M35</xm:sqref>
            </x14:sparkline>
            <x14:sparkline>
              <xm:f>'Balance Sheet'!H36:L36</xm:f>
              <xm:sqref>M36</xm:sqref>
            </x14:sparkline>
          </x14:sparklines>
        </x14:sparklineGroup>
        <x14:sparklineGroup displayEmptyCellsAs="gap" xr2:uid="{00000000-0003-0000-0400-000007000000}">
          <x14:colorSeries rgb="FF376092"/>
          <x14:colorNegative rgb="FFD00000"/>
          <x14:colorAxis rgb="FF000000"/>
          <x14:colorMarkers rgb="FFD00000"/>
          <x14:colorFirst rgb="FFD00000"/>
          <x14:colorLast rgb="FFD00000"/>
          <x14:colorHigh rgb="FFD00000"/>
          <x14:colorLow rgb="FFD00000"/>
          <x14:sparklines>
            <x14:sparkline>
              <xm:f>'Balance Sheet'!N4:R4</xm:f>
              <xm:sqref>S4</xm:sqref>
            </x14:sparkline>
            <x14:sparkline>
              <xm:f>'Balance Sheet'!N5:R5</xm:f>
              <xm:sqref>S5</xm:sqref>
            </x14:sparkline>
            <x14:sparkline>
              <xm:f>'Balance Sheet'!N6:R6</xm:f>
              <xm:sqref>S6</xm:sqref>
            </x14:sparkline>
            <x14:sparkline>
              <xm:f>'Balance Sheet'!N7:R7</xm:f>
              <xm:sqref>S7</xm:sqref>
            </x14:sparkline>
            <x14:sparkline>
              <xm:f>'Balance Sheet'!N8:R8</xm:f>
              <xm:sqref>S8</xm:sqref>
            </x14:sparkline>
            <x14:sparkline>
              <xm:f>'Balance Sheet'!N9:R9</xm:f>
              <xm:sqref>S9</xm:sqref>
            </x14:sparkline>
            <x14:sparkline>
              <xm:f>'Balance Sheet'!N10:R10</xm:f>
              <xm:sqref>S10</xm:sqref>
            </x14:sparkline>
            <x14:sparkline>
              <xm:f>'Balance Sheet'!N11:R11</xm:f>
              <xm:sqref>S11</xm:sqref>
            </x14:sparkline>
            <x14:sparkline>
              <xm:f>'Balance Sheet'!N12:R12</xm:f>
              <xm:sqref>S12</xm:sqref>
            </x14:sparkline>
            <x14:sparkline>
              <xm:f>'Balance Sheet'!N13:R13</xm:f>
              <xm:sqref>S13</xm:sqref>
            </x14:sparkline>
            <x14:sparkline>
              <xm:f>'Balance Sheet'!N14:R14</xm:f>
              <xm:sqref>S14</xm:sqref>
            </x14:sparkline>
            <x14:sparkline>
              <xm:f>'Balance Sheet'!N15:R15</xm:f>
              <xm:sqref>S15</xm:sqref>
            </x14:sparkline>
            <x14:sparkline>
              <xm:f>'Balance Sheet'!N16:R16</xm:f>
              <xm:sqref>S16</xm:sqref>
            </x14:sparkline>
            <x14:sparkline>
              <xm:f>'Balance Sheet'!N17:R17</xm:f>
              <xm:sqref>S17</xm:sqref>
            </x14:sparkline>
            <x14:sparkline>
              <xm:f>'Balance Sheet'!N18:R18</xm:f>
              <xm:sqref>S18</xm:sqref>
            </x14:sparkline>
            <x14:sparkline>
              <xm:f>'Balance Sheet'!N19:R19</xm:f>
              <xm:sqref>S19</xm:sqref>
            </x14:sparkline>
            <x14:sparkline>
              <xm:f>'Balance Sheet'!N20:R20</xm:f>
              <xm:sqref>S20</xm:sqref>
            </x14:sparkline>
            <x14:sparkline>
              <xm:f>'Balance Sheet'!N21:R21</xm:f>
              <xm:sqref>S21</xm:sqref>
            </x14:sparkline>
            <x14:sparkline>
              <xm:f>'Balance Sheet'!N22:R22</xm:f>
              <xm:sqref>S22</xm:sqref>
            </x14:sparkline>
            <x14:sparkline>
              <xm:f>'Balance Sheet'!N23:R23</xm:f>
              <xm:sqref>S23</xm:sqref>
            </x14:sparkline>
            <x14:sparkline>
              <xm:f>'Balance Sheet'!N24:R24</xm:f>
              <xm:sqref>S24</xm:sqref>
            </x14:sparkline>
            <x14:sparkline>
              <xm:f>'Balance Sheet'!N25:R25</xm:f>
              <xm:sqref>S25</xm:sqref>
            </x14:sparkline>
            <x14:sparkline>
              <xm:f>'Balance Sheet'!N26:R26</xm:f>
              <xm:sqref>S26</xm:sqref>
            </x14:sparkline>
            <x14:sparkline>
              <xm:f>'Balance Sheet'!N27:R27</xm:f>
              <xm:sqref>S27</xm:sqref>
            </x14:sparkline>
            <x14:sparkline>
              <xm:f>'Balance Sheet'!N28:R28</xm:f>
              <xm:sqref>S28</xm:sqref>
            </x14:sparkline>
            <x14:sparkline>
              <xm:f>'Balance Sheet'!N29:R29</xm:f>
              <xm:sqref>S29</xm:sqref>
            </x14:sparkline>
            <x14:sparkline>
              <xm:f>'Balance Sheet'!N30:R30</xm:f>
              <xm:sqref>S30</xm:sqref>
            </x14:sparkline>
            <x14:sparkline>
              <xm:f>'Balance Sheet'!N31:R31</xm:f>
              <xm:sqref>S31</xm:sqref>
            </x14:sparkline>
            <x14:sparkline>
              <xm:f>'Balance Sheet'!N32:R32</xm:f>
              <xm:sqref>S32</xm:sqref>
            </x14:sparkline>
            <x14:sparkline>
              <xm:f>'Balance Sheet'!N33:R33</xm:f>
              <xm:sqref>S33</xm:sqref>
            </x14:sparkline>
            <x14:sparkline>
              <xm:f>'Balance Sheet'!N34:R34</xm:f>
              <xm:sqref>S34</xm:sqref>
            </x14:sparkline>
            <x14:sparkline>
              <xm:f>'Balance Sheet'!N35:R35</xm:f>
              <xm:sqref>S35</xm:sqref>
            </x14:sparkline>
            <x14:sparkline>
              <xm:f>'Balance Sheet'!N36:R36</xm:f>
              <xm:sqref>S36</xm:sqref>
            </x14:sparkline>
          </x14:sparklines>
        </x14:sparklineGroup>
        <x14:sparklineGroup displayEmptyCellsAs="gap" xr2:uid="{00000000-0003-0000-0400-000008000000}">
          <x14:colorSeries rgb="FF376092"/>
          <x14:colorNegative rgb="FFD00000"/>
          <x14:colorAxis rgb="FF000000"/>
          <x14:colorMarkers rgb="FFD00000"/>
          <x14:colorFirst rgb="FFD00000"/>
          <x14:colorLast rgb="FFD00000"/>
          <x14:colorHigh rgb="FFD00000"/>
          <x14:colorLow rgb="FFD00000"/>
          <x14:sparklines>
            <x14:sparkline>
              <xm:f>'Balance Sheet'!T4:X4</xm:f>
              <xm:sqref>Y4</xm:sqref>
            </x14:sparkline>
            <x14:sparkline>
              <xm:f>'Balance Sheet'!T5:X5</xm:f>
              <xm:sqref>Y5</xm:sqref>
            </x14:sparkline>
            <x14:sparkline>
              <xm:f>'Balance Sheet'!T6:X6</xm:f>
              <xm:sqref>Y6</xm:sqref>
            </x14:sparkline>
            <x14:sparkline>
              <xm:f>'Balance Sheet'!T7:X7</xm:f>
              <xm:sqref>Y7</xm:sqref>
            </x14:sparkline>
            <x14:sparkline>
              <xm:f>'Balance Sheet'!T8:X8</xm:f>
              <xm:sqref>Y8</xm:sqref>
            </x14:sparkline>
            <x14:sparkline>
              <xm:f>'Balance Sheet'!T9:X9</xm:f>
              <xm:sqref>Y9</xm:sqref>
            </x14:sparkline>
            <x14:sparkline>
              <xm:f>'Balance Sheet'!T10:X10</xm:f>
              <xm:sqref>Y10</xm:sqref>
            </x14:sparkline>
            <x14:sparkline>
              <xm:f>'Balance Sheet'!T11:X11</xm:f>
              <xm:sqref>Y11</xm:sqref>
            </x14:sparkline>
            <x14:sparkline>
              <xm:f>'Balance Sheet'!T12:X12</xm:f>
              <xm:sqref>Y12</xm:sqref>
            </x14:sparkline>
            <x14:sparkline>
              <xm:f>'Balance Sheet'!T13:X13</xm:f>
              <xm:sqref>Y13</xm:sqref>
            </x14:sparkline>
            <x14:sparkline>
              <xm:f>'Balance Sheet'!T14:X14</xm:f>
              <xm:sqref>Y14</xm:sqref>
            </x14:sparkline>
            <x14:sparkline>
              <xm:f>'Balance Sheet'!T15:X15</xm:f>
              <xm:sqref>Y15</xm:sqref>
            </x14:sparkline>
            <x14:sparkline>
              <xm:f>'Balance Sheet'!T16:X16</xm:f>
              <xm:sqref>Y16</xm:sqref>
            </x14:sparkline>
            <x14:sparkline>
              <xm:f>'Balance Sheet'!T17:X17</xm:f>
              <xm:sqref>Y17</xm:sqref>
            </x14:sparkline>
            <x14:sparkline>
              <xm:f>'Balance Sheet'!T18:X18</xm:f>
              <xm:sqref>Y18</xm:sqref>
            </x14:sparkline>
            <x14:sparkline>
              <xm:f>'Balance Sheet'!T19:X19</xm:f>
              <xm:sqref>Y19</xm:sqref>
            </x14:sparkline>
            <x14:sparkline>
              <xm:f>'Balance Sheet'!T20:X20</xm:f>
              <xm:sqref>Y20</xm:sqref>
            </x14:sparkline>
            <x14:sparkline>
              <xm:f>'Balance Sheet'!T21:X21</xm:f>
              <xm:sqref>Y21</xm:sqref>
            </x14:sparkline>
            <x14:sparkline>
              <xm:f>'Balance Sheet'!T22:X22</xm:f>
              <xm:sqref>Y22</xm:sqref>
            </x14:sparkline>
            <x14:sparkline>
              <xm:f>'Balance Sheet'!T23:X23</xm:f>
              <xm:sqref>Y23</xm:sqref>
            </x14:sparkline>
            <x14:sparkline>
              <xm:f>'Balance Sheet'!T24:X24</xm:f>
              <xm:sqref>Y24</xm:sqref>
            </x14:sparkline>
            <x14:sparkline>
              <xm:f>'Balance Sheet'!T25:X25</xm:f>
              <xm:sqref>Y25</xm:sqref>
            </x14:sparkline>
            <x14:sparkline>
              <xm:f>'Balance Sheet'!T26:X26</xm:f>
              <xm:sqref>Y26</xm:sqref>
            </x14:sparkline>
            <x14:sparkline>
              <xm:f>'Balance Sheet'!T27:X27</xm:f>
              <xm:sqref>Y27</xm:sqref>
            </x14:sparkline>
            <x14:sparkline>
              <xm:f>'Balance Sheet'!T28:X28</xm:f>
              <xm:sqref>Y28</xm:sqref>
            </x14:sparkline>
            <x14:sparkline>
              <xm:f>'Balance Sheet'!T29:X29</xm:f>
              <xm:sqref>Y29</xm:sqref>
            </x14:sparkline>
            <x14:sparkline>
              <xm:f>'Balance Sheet'!T30:X30</xm:f>
              <xm:sqref>Y30</xm:sqref>
            </x14:sparkline>
            <x14:sparkline>
              <xm:f>'Balance Sheet'!T31:X31</xm:f>
              <xm:sqref>Y31</xm:sqref>
            </x14:sparkline>
            <x14:sparkline>
              <xm:f>'Balance Sheet'!T32:X32</xm:f>
              <xm:sqref>Y32</xm:sqref>
            </x14:sparkline>
            <x14:sparkline>
              <xm:f>'Balance Sheet'!T33:X33</xm:f>
              <xm:sqref>Y33</xm:sqref>
            </x14:sparkline>
            <x14:sparkline>
              <xm:f>'Balance Sheet'!T34:X34</xm:f>
              <xm:sqref>Y34</xm:sqref>
            </x14:sparkline>
            <x14:sparkline>
              <xm:f>'Balance Sheet'!T35:X35</xm:f>
              <xm:sqref>Y35</xm:sqref>
            </x14:sparkline>
            <x14:sparkline>
              <xm:f>'Balance Sheet'!T36:X36</xm:f>
              <xm:sqref>Y36</xm:sqref>
            </x14:sparkline>
          </x14:sparklines>
        </x14:sparklineGroup>
      </x14:sparklineGroup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P38"/>
  <sheetViews>
    <sheetView zoomScaleNormal="100" workbookViewId="0">
      <pane xSplit="1" ySplit="3" topLeftCell="B4" activePane="bottomRight" state="frozen"/>
      <selection pane="topRight" activeCell="B1" sqref="B1"/>
      <selection pane="bottomLeft" activeCell="A4" sqref="A4"/>
      <selection pane="bottomRight" activeCell="A38" sqref="A38"/>
    </sheetView>
  </sheetViews>
  <sheetFormatPr baseColWidth="10" defaultColWidth="8.83203125" defaultRowHeight="13"/>
  <cols>
    <col min="1" max="1" width="35.5" bestFit="1" customWidth="1"/>
    <col min="2" max="6" width="15.5" bestFit="1" customWidth="1"/>
    <col min="7" max="7" width="14.6640625" bestFit="1" customWidth="1"/>
    <col min="8" max="8" width="15.33203125" bestFit="1" customWidth="1"/>
    <col min="9" max="9" width="15.1640625" bestFit="1" customWidth="1"/>
    <col min="10" max="10" width="15.33203125" bestFit="1" customWidth="1"/>
    <col min="11" max="11" width="14.33203125" bestFit="1" customWidth="1"/>
    <col min="12" max="12" width="15.1640625" bestFit="1" customWidth="1"/>
    <col min="13" max="13" width="15.33203125" bestFit="1" customWidth="1"/>
    <col min="14" max="14" width="14.33203125" bestFit="1" customWidth="1"/>
    <col min="15" max="15" width="15.1640625" bestFit="1" customWidth="1"/>
    <col min="16" max="16" width="15.33203125" bestFit="1" customWidth="1"/>
    <col min="17" max="195" width="12.6640625" customWidth="1"/>
  </cols>
  <sheetData>
    <row r="1" spans="1:16" ht="21" thickBot="1">
      <c r="A1" s="310" t="s">
        <v>0</v>
      </c>
      <c r="B1" s="311"/>
      <c r="C1" s="311"/>
      <c r="D1" s="311"/>
      <c r="E1" s="311"/>
      <c r="F1" s="312"/>
      <c r="G1" s="305" t="s">
        <v>97</v>
      </c>
      <c r="H1" s="306"/>
      <c r="I1" s="306"/>
      <c r="J1" s="306"/>
      <c r="K1" s="306"/>
      <c r="L1" s="43"/>
      <c r="M1" s="44">
        <f>Assumptions!H2</f>
        <v>0.16780707837005074</v>
      </c>
      <c r="N1" s="45"/>
      <c r="O1" s="45"/>
      <c r="P1" s="46"/>
    </row>
    <row r="2" spans="1:16" ht="14" thickBot="1">
      <c r="A2" s="307" t="s">
        <v>31</v>
      </c>
      <c r="B2" s="308"/>
      <c r="C2" s="308"/>
      <c r="D2" s="308"/>
      <c r="E2" s="308"/>
      <c r="F2" s="309"/>
      <c r="G2" s="33"/>
      <c r="H2" s="47"/>
      <c r="I2" s="47"/>
      <c r="J2" s="47"/>
      <c r="K2" s="47"/>
      <c r="L2" s="47"/>
      <c r="M2" s="47"/>
      <c r="N2" s="47"/>
      <c r="O2" s="47"/>
      <c r="P2" s="34"/>
    </row>
    <row r="3" spans="1:16" ht="14" thickBot="1">
      <c r="A3" s="8"/>
      <c r="B3" s="9">
        <v>2013</v>
      </c>
      <c r="C3" s="10">
        <v>2014</v>
      </c>
      <c r="D3" s="10">
        <v>2015</v>
      </c>
      <c r="E3" s="10">
        <v>2016</v>
      </c>
      <c r="F3" s="11">
        <v>2017</v>
      </c>
      <c r="G3" s="37" t="s">
        <v>98</v>
      </c>
      <c r="H3" s="50" t="s">
        <v>99</v>
      </c>
      <c r="I3" s="50" t="s">
        <v>108</v>
      </c>
      <c r="J3" s="38" t="s">
        <v>105</v>
      </c>
      <c r="K3" s="50" t="s">
        <v>100</v>
      </c>
      <c r="L3" s="50" t="s">
        <v>110</v>
      </c>
      <c r="M3" s="38" t="s">
        <v>106</v>
      </c>
      <c r="N3" s="50" t="s">
        <v>101</v>
      </c>
      <c r="O3" s="50" t="s">
        <v>111</v>
      </c>
      <c r="P3" s="39" t="s">
        <v>107</v>
      </c>
    </row>
    <row r="4" spans="1:16" ht="15">
      <c r="A4" s="2" t="s">
        <v>32</v>
      </c>
      <c r="B4" s="18">
        <v>18898000</v>
      </c>
      <c r="C4" s="18">
        <v>18347000</v>
      </c>
      <c r="D4" s="18">
        <v>16549000</v>
      </c>
      <c r="E4" s="18">
        <v>12918000</v>
      </c>
      <c r="F4" s="18">
        <v>10715000</v>
      </c>
      <c r="G4" s="35">
        <f>Assumptions!H29</f>
        <v>0.21086259817900679</v>
      </c>
      <c r="H4" s="57">
        <f>G4*'Pro-Forma IS'!$H$4</f>
        <v>27297692.862546816</v>
      </c>
      <c r="I4" s="51">
        <f>H4</f>
        <v>27297692.862546816</v>
      </c>
      <c r="J4" s="48">
        <f>H4/'Pro-Forma IS'!H$4</f>
        <v>0.21086259817900679</v>
      </c>
      <c r="K4" s="57">
        <f>J4*'Pro-Forma IS'!$J$4</f>
        <v>31878438.948053785</v>
      </c>
      <c r="L4" s="51">
        <f>K4</f>
        <v>31878438.948053785</v>
      </c>
      <c r="M4" s="48">
        <f>K4/'Pro-Forma IS'!J$4</f>
        <v>0.21086259817900679</v>
      </c>
      <c r="N4" s="57">
        <f>M4*'Pro-Forma IS'!$L$4</f>
        <v>37227866.650924727</v>
      </c>
      <c r="O4" s="51">
        <f>N4</f>
        <v>37227866.650924727</v>
      </c>
      <c r="P4" s="48">
        <f>N4/'Pro-Forma IS'!L$4</f>
        <v>0.21086259817900682</v>
      </c>
    </row>
    <row r="5" spans="1:16" ht="15">
      <c r="A5" s="2" t="s">
        <v>33</v>
      </c>
      <c r="B5" s="18">
        <v>39819000</v>
      </c>
      <c r="C5" s="18">
        <v>46048000</v>
      </c>
      <c r="D5" s="18">
        <v>56517000</v>
      </c>
      <c r="E5" s="18">
        <v>73415000</v>
      </c>
      <c r="F5" s="18">
        <v>91156000</v>
      </c>
      <c r="G5" s="35">
        <f>Assumptions!H30</f>
        <v>0.75050240034931337</v>
      </c>
      <c r="H5" s="57">
        <f>G5*'Pro-Forma IS'!$H$4</f>
        <v>97157979.624000296</v>
      </c>
      <c r="I5" s="51">
        <f t="shared" ref="I5:I34" si="0">H5</f>
        <v>97157979.624000296</v>
      </c>
      <c r="J5" s="48">
        <f>H5/'Pro-Forma IS'!H$4</f>
        <v>0.75050240034931337</v>
      </c>
      <c r="K5" s="57">
        <f>J5*'Pro-Forma IS'!$J$4</f>
        <v>113461776.32504071</v>
      </c>
      <c r="L5" s="51">
        <f t="shared" ref="L5:L34" si="1">K5</f>
        <v>113461776.32504071</v>
      </c>
      <c r="M5" s="48">
        <f>K5/'Pro-Forma IS'!J$4</f>
        <v>0.75050240034931337</v>
      </c>
      <c r="N5" s="57">
        <f>M5*'Pro-Forma IS'!$L$4</f>
        <v>132501465.51682198</v>
      </c>
      <c r="O5" s="51">
        <f t="shared" ref="O5:O34" si="2">N5</f>
        <v>132501465.51682198</v>
      </c>
      <c r="P5" s="48">
        <f>N5/'Pro-Forma IS'!L$4</f>
        <v>0.75050240034931337</v>
      </c>
    </row>
    <row r="6" spans="1:16">
      <c r="A6" s="12" t="s">
        <v>34</v>
      </c>
      <c r="B6" s="5">
        <f>B4+B5</f>
        <v>58717000</v>
      </c>
      <c r="C6" s="5">
        <f t="shared" ref="C6:F6" si="3">C4+C5</f>
        <v>64395000</v>
      </c>
      <c r="D6" s="5">
        <f t="shared" si="3"/>
        <v>73066000</v>
      </c>
      <c r="E6" s="5">
        <f t="shared" si="3"/>
        <v>86333000</v>
      </c>
      <c r="F6" s="5">
        <f t="shared" si="3"/>
        <v>101871000</v>
      </c>
      <c r="G6" s="35">
        <f>Assumptions!H31</f>
        <v>0.96136499852832036</v>
      </c>
      <c r="H6" s="58">
        <f>H4+H5</f>
        <v>124455672.48654711</v>
      </c>
      <c r="I6" s="5">
        <f>I4+I5</f>
        <v>124455672.48654711</v>
      </c>
      <c r="J6" s="48">
        <f>H6/'Pro-Forma IS'!H$4</f>
        <v>0.96136499852832014</v>
      </c>
      <c r="K6" s="58">
        <f>K4+K5</f>
        <v>145340215.27309451</v>
      </c>
      <c r="L6" s="58">
        <f>L4+L5</f>
        <v>145340215.27309451</v>
      </c>
      <c r="M6" s="48">
        <f>K6/'Pro-Forma IS'!J$4</f>
        <v>0.96136499852832025</v>
      </c>
      <c r="N6" s="58">
        <f>N4+N5</f>
        <v>169729332.16774672</v>
      </c>
      <c r="O6" s="58">
        <f>O4+O5</f>
        <v>169729332.16774672</v>
      </c>
      <c r="P6" s="48">
        <f>N6/'Pro-Forma IS'!L$4</f>
        <v>0.96136499852832025</v>
      </c>
    </row>
    <row r="7" spans="1:16" ht="15">
      <c r="A7" s="2" t="s">
        <v>35</v>
      </c>
      <c r="B7" s="18">
        <v>8982000</v>
      </c>
      <c r="C7" s="18">
        <v>10258000</v>
      </c>
      <c r="D7" s="18">
        <v>12006000</v>
      </c>
      <c r="E7" s="18">
        <v>14137000</v>
      </c>
      <c r="F7" s="18">
        <v>18336000</v>
      </c>
      <c r="G7" s="35">
        <f>Assumptions!H32</f>
        <v>0.15753460299073685</v>
      </c>
      <c r="H7" s="57">
        <f>G7*'Pro-Forma IS'!$H$4</f>
        <v>20393997.061601792</v>
      </c>
      <c r="I7" s="51">
        <f t="shared" si="0"/>
        <v>20393997.061601792</v>
      </c>
      <c r="J7" s="48">
        <f>H7/'Pro-Forma IS'!H$4</f>
        <v>0.15753460299073685</v>
      </c>
      <c r="K7" s="57">
        <f>J7*'Pro-Forma IS'!$J$4</f>
        <v>23816254.124796584</v>
      </c>
      <c r="L7" s="51">
        <f t="shared" si="1"/>
        <v>23816254.124796584</v>
      </c>
      <c r="M7" s="48">
        <f>K7/'Pro-Forma IS'!J$4</f>
        <v>0.15753460299073685</v>
      </c>
      <c r="N7" s="57">
        <f>M7*'Pro-Forma IS'!$L$4</f>
        <v>27812790.147197373</v>
      </c>
      <c r="O7" s="51">
        <f t="shared" si="2"/>
        <v>27812790.147197373</v>
      </c>
      <c r="P7" s="48">
        <f>N7/'Pro-Forma IS'!L$4</f>
        <v>0.15753460299073685</v>
      </c>
    </row>
    <row r="8" spans="1:16" ht="15">
      <c r="A8" s="2" t="s">
        <v>36</v>
      </c>
      <c r="B8" s="18">
        <v>426000</v>
      </c>
      <c r="C8" s="18" t="s">
        <v>2</v>
      </c>
      <c r="D8" s="18" t="s">
        <v>2</v>
      </c>
      <c r="E8" s="18">
        <v>268000</v>
      </c>
      <c r="F8" s="18">
        <v>749000</v>
      </c>
      <c r="G8" s="35">
        <f>Assumptions!H33</f>
        <v>3.3692296400650266E-3</v>
      </c>
      <c r="H8" s="57">
        <f>G8*'Pro-Forma IS'!$H$4</f>
        <v>436171.21619551821</v>
      </c>
      <c r="I8" s="51">
        <f t="shared" si="0"/>
        <v>436171.21619551821</v>
      </c>
      <c r="J8" s="48">
        <f>H8/'Pro-Forma IS'!H$4</f>
        <v>3.3692296400650266E-3</v>
      </c>
      <c r="K8" s="57">
        <f>J8*'Pro-Forma IS'!$J$4</f>
        <v>509363.83365439984</v>
      </c>
      <c r="L8" s="51">
        <f t="shared" si="1"/>
        <v>509363.83365439984</v>
      </c>
      <c r="M8" s="48">
        <f>K8/'Pro-Forma IS'!J$4</f>
        <v>3.3692296400650266E-3</v>
      </c>
      <c r="N8" s="57">
        <f>M8*'Pro-Forma IS'!$L$4</f>
        <v>594838.69040731329</v>
      </c>
      <c r="O8" s="51">
        <f t="shared" si="2"/>
        <v>594838.69040731329</v>
      </c>
      <c r="P8" s="48">
        <f>N8/'Pro-Forma IS'!L$4</f>
        <v>3.3692296400650271E-3</v>
      </c>
    </row>
    <row r="9" spans="1:16" ht="15">
      <c r="A9" s="2" t="s">
        <v>37</v>
      </c>
      <c r="B9" s="18">
        <v>1934000</v>
      </c>
      <c r="C9" s="18">
        <v>2620000</v>
      </c>
      <c r="D9" s="18">
        <v>1903000</v>
      </c>
      <c r="E9" s="18">
        <v>95000</v>
      </c>
      <c r="F9" s="18">
        <v>369000</v>
      </c>
      <c r="G9" s="35">
        <f>Assumptions!H34</f>
        <v>2.0356418680885776E-2</v>
      </c>
      <c r="H9" s="57">
        <f>G9*'Pro-Forma IS'!$H$4</f>
        <v>2635286.0570393628</v>
      </c>
      <c r="I9" s="51">
        <f t="shared" si="0"/>
        <v>2635286.0570393628</v>
      </c>
      <c r="J9" s="48">
        <f>H9/'Pro-Forma IS'!H$4</f>
        <v>2.0356418680885776E-2</v>
      </c>
      <c r="K9" s="57">
        <f>J9*'Pro-Forma IS'!$J$4</f>
        <v>3077505.7109404691</v>
      </c>
      <c r="L9" s="51">
        <f t="shared" si="1"/>
        <v>3077505.7109404691</v>
      </c>
      <c r="M9" s="48">
        <f>K9/'Pro-Forma IS'!J$4</f>
        <v>2.0356418680885776E-2</v>
      </c>
      <c r="N9" s="57">
        <f>M9*'Pro-Forma IS'!$L$4</f>
        <v>3593932.952960535</v>
      </c>
      <c r="O9" s="51">
        <f t="shared" si="2"/>
        <v>3593932.952960535</v>
      </c>
      <c r="P9" s="48">
        <f>N9/'Pro-Forma IS'!L$4</f>
        <v>2.0356418680885776E-2</v>
      </c>
    </row>
    <row r="10" spans="1:16" ht="15">
      <c r="A10" s="2" t="s">
        <v>38</v>
      </c>
      <c r="B10" s="18">
        <v>2827000</v>
      </c>
      <c r="C10" s="18">
        <v>3412000</v>
      </c>
      <c r="D10" s="18">
        <v>3139000</v>
      </c>
      <c r="E10" s="18">
        <v>4575000</v>
      </c>
      <c r="F10" s="18">
        <v>2983000</v>
      </c>
      <c r="G10" s="35">
        <f>Assumptions!H35</f>
        <v>4.3679868664822444E-2</v>
      </c>
      <c r="H10" s="57">
        <f>G10*'Pro-Forma IS'!$H$4</f>
        <v>5654675.8381326618</v>
      </c>
      <c r="I10" s="51">
        <f t="shared" si="0"/>
        <v>5654675.8381326618</v>
      </c>
      <c r="J10" s="48">
        <f>H10/'Pro-Forma IS'!H$4</f>
        <v>4.3679868664822444E-2</v>
      </c>
      <c r="K10" s="57">
        <f>J10*'Pro-Forma IS'!$J$4</f>
        <v>6603570.4696594216</v>
      </c>
      <c r="L10" s="51">
        <f t="shared" si="1"/>
        <v>6603570.4696594216</v>
      </c>
      <c r="M10" s="48">
        <f>K10/'Pro-Forma IS'!J$4</f>
        <v>4.3679868664822444E-2</v>
      </c>
      <c r="N10" s="57">
        <f>M10*'Pro-Forma IS'!$L$4</f>
        <v>7711696.3369837133</v>
      </c>
      <c r="O10" s="51">
        <f t="shared" si="2"/>
        <v>7711696.3369837133</v>
      </c>
      <c r="P10" s="48">
        <f>N10/'Pro-Forma IS'!L$4</f>
        <v>4.3679868664822444E-2</v>
      </c>
    </row>
    <row r="11" spans="1:16">
      <c r="A11" s="12" t="s">
        <v>39</v>
      </c>
      <c r="B11" s="5">
        <f>SUM(B6:B10)</f>
        <v>72886000</v>
      </c>
      <c r="C11" s="5">
        <f t="shared" ref="C11:F11" si="4">SUM(C6:C10)</f>
        <v>80685000</v>
      </c>
      <c r="D11" s="5">
        <f t="shared" si="4"/>
        <v>90114000</v>
      </c>
      <c r="E11" s="5">
        <f t="shared" si="4"/>
        <v>105408000</v>
      </c>
      <c r="F11" s="5">
        <f t="shared" si="4"/>
        <v>124308000</v>
      </c>
      <c r="G11" s="35">
        <f>Assumptions!H36</f>
        <v>1.1863051185048303</v>
      </c>
      <c r="H11" s="58">
        <f>SUM(H6:H10)</f>
        <v>153575802.65951642</v>
      </c>
      <c r="I11" s="52">
        <f>SUM(I6:I10)</f>
        <v>153575802.65951642</v>
      </c>
      <c r="J11" s="48">
        <f>H11/'Pro-Forma IS'!H$4</f>
        <v>1.1863051185048301</v>
      </c>
      <c r="K11" s="58">
        <f>SUM(K6:K10)</f>
        <v>179346909.41214541</v>
      </c>
      <c r="L11" s="52">
        <f>SUM(L6:L10)</f>
        <v>179346909.41214541</v>
      </c>
      <c r="M11" s="48">
        <f>K11/'Pro-Forma IS'!J$4</f>
        <v>1.1863051185048306</v>
      </c>
      <c r="N11" s="58">
        <f>SUM(N6:N10)</f>
        <v>209442590.29529563</v>
      </c>
      <c r="O11" s="52">
        <f>SUM(O6:O10)</f>
        <v>209442590.29529563</v>
      </c>
      <c r="P11" s="48">
        <f>N11/'Pro-Forma IS'!L$4</f>
        <v>1.1863051185048301</v>
      </c>
    </row>
    <row r="12" spans="1:16" ht="15">
      <c r="A12" s="2" t="s">
        <v>40</v>
      </c>
      <c r="B12" s="18">
        <v>23837000</v>
      </c>
      <c r="C12" s="18">
        <v>32746000</v>
      </c>
      <c r="D12" s="18">
        <v>40146000</v>
      </c>
      <c r="E12" s="18">
        <v>47527000</v>
      </c>
      <c r="F12" s="18">
        <v>59647000</v>
      </c>
      <c r="G12" s="35">
        <f>Assumptions!H37</f>
        <v>0.49889956739778984</v>
      </c>
      <c r="H12" s="57">
        <f>G12*'Pro-Forma IS'!$H$4</f>
        <v>64586167.853821941</v>
      </c>
      <c r="I12" s="51">
        <f t="shared" si="0"/>
        <v>64586167.853821941</v>
      </c>
      <c r="J12" s="48">
        <f>H12/'Pro-Forma IS'!H$4</f>
        <v>0.49889956739778984</v>
      </c>
      <c r="K12" s="57">
        <f>J12*'Pro-Forma IS'!$J$4</f>
        <v>75424183.984489486</v>
      </c>
      <c r="L12" s="51">
        <f t="shared" si="1"/>
        <v>75424183.984489486</v>
      </c>
      <c r="M12" s="48">
        <f>K12/'Pro-Forma IS'!J$4</f>
        <v>0.49889956739778979</v>
      </c>
      <c r="N12" s="57">
        <f>M12*'Pro-Forma IS'!$L$4</f>
        <v>88080895.937371835</v>
      </c>
      <c r="O12" s="51">
        <f t="shared" si="2"/>
        <v>88080895.937371835</v>
      </c>
      <c r="P12" s="48">
        <f>N12/'Pro-Forma IS'!L$4</f>
        <v>0.49889956739778979</v>
      </c>
    </row>
    <row r="13" spans="1:16" ht="15">
      <c r="A13" s="2" t="s">
        <v>41</v>
      </c>
      <c r="B13" s="18">
        <v>7313000</v>
      </c>
      <c r="C13" s="18">
        <v>8863000</v>
      </c>
      <c r="D13" s="18">
        <v>11130000</v>
      </c>
      <c r="E13" s="18">
        <v>13293000</v>
      </c>
      <c r="F13" s="18">
        <v>17264000</v>
      </c>
      <c r="G13" s="35">
        <f>Assumptions!H38</f>
        <v>0.14158748216790154</v>
      </c>
      <c r="H13" s="57">
        <f>G13*'Pro-Forma IS'!$H$4</f>
        <v>18329526.595890611</v>
      </c>
      <c r="I13" s="51">
        <f t="shared" si="0"/>
        <v>18329526.595890611</v>
      </c>
      <c r="J13" s="48">
        <f>H13/'Pro-Forma IS'!H$4</f>
        <v>0.14158748216790154</v>
      </c>
      <c r="K13" s="57">
        <f>J13*'Pro-Forma IS'!$J$4</f>
        <v>21405350.901853159</v>
      </c>
      <c r="L13" s="51">
        <f t="shared" si="1"/>
        <v>21405350.901853159</v>
      </c>
      <c r="M13" s="48">
        <f>K13/'Pro-Forma IS'!J$4</f>
        <v>0.14158748216790154</v>
      </c>
      <c r="N13" s="57">
        <f>M13*'Pro-Forma IS'!$L$4</f>
        <v>24997320.298178867</v>
      </c>
      <c r="O13" s="51">
        <f t="shared" si="2"/>
        <v>24997320.298178867</v>
      </c>
      <c r="P13" s="48">
        <f>N13/'Pro-Forma IS'!L$4</f>
        <v>0.14158748216790154</v>
      </c>
    </row>
    <row r="14" spans="1:16">
      <c r="A14" s="12" t="s">
        <v>42</v>
      </c>
      <c r="B14" s="5">
        <f>B12-B13</f>
        <v>16524000</v>
      </c>
      <c r="C14" s="5">
        <f t="shared" ref="C14:F14" si="5">C12-C13</f>
        <v>23883000</v>
      </c>
      <c r="D14" s="5">
        <f t="shared" si="5"/>
        <v>29016000</v>
      </c>
      <c r="E14" s="5">
        <f t="shared" si="5"/>
        <v>34234000</v>
      </c>
      <c r="F14" s="5">
        <f t="shared" si="5"/>
        <v>42383000</v>
      </c>
      <c r="G14" s="35">
        <f>Assumptions!H39</f>
        <v>0.35731208522988822</v>
      </c>
      <c r="H14" s="58">
        <f>H12-H13</f>
        <v>46256641.257931329</v>
      </c>
      <c r="I14" s="5">
        <f>I12-I13</f>
        <v>46256641.257931329</v>
      </c>
      <c r="J14" s="48">
        <f>H14/'Pro-Forma IS'!H$4</f>
        <v>0.35731208522988828</v>
      </c>
      <c r="K14" s="58">
        <f>K12-K13</f>
        <v>54018833.082636327</v>
      </c>
      <c r="L14" s="58">
        <f>L12-L13</f>
        <v>54018833.082636327</v>
      </c>
      <c r="M14" s="48">
        <f>K14/'Pro-Forma IS'!J$4</f>
        <v>0.35731208522988828</v>
      </c>
      <c r="N14" s="58">
        <f>N12-N13</f>
        <v>63083575.639192969</v>
      </c>
      <c r="O14" s="58">
        <f>O12-O13</f>
        <v>63083575.639192969</v>
      </c>
      <c r="P14" s="48">
        <f>N14/'Pro-Forma IS'!L$4</f>
        <v>0.35731208522988822</v>
      </c>
    </row>
    <row r="15" spans="1:16" ht="15">
      <c r="A15" s="2" t="s">
        <v>43</v>
      </c>
      <c r="B15" s="18">
        <v>1976000</v>
      </c>
      <c r="C15" s="18">
        <v>3079000</v>
      </c>
      <c r="D15" s="18">
        <v>5183000</v>
      </c>
      <c r="E15" s="18">
        <v>5878000</v>
      </c>
      <c r="F15" s="18">
        <v>7813000</v>
      </c>
      <c r="G15" s="35">
        <f>Assumptions!H40</f>
        <v>5.6878211659249465E-2</v>
      </c>
      <c r="H15" s="57">
        <f>G15*'Pro-Forma IS'!$H$4</f>
        <v>7363297.0752216615</v>
      </c>
      <c r="I15" s="51">
        <f t="shared" si="0"/>
        <v>7363297.0752216615</v>
      </c>
      <c r="J15" s="48">
        <f>H15/'Pro-Forma IS'!H$4</f>
        <v>5.6878211659249465E-2</v>
      </c>
      <c r="K15" s="57">
        <f>J15*'Pro-Forma IS'!$J$4</f>
        <v>8598910.4445853475</v>
      </c>
      <c r="L15" s="51">
        <f t="shared" si="1"/>
        <v>8598910.4445853475</v>
      </c>
      <c r="M15" s="48">
        <f>K15/'Pro-Forma IS'!J$4</f>
        <v>5.6878211659249459E-2</v>
      </c>
      <c r="N15" s="57">
        <f>M15*'Pro-Forma IS'!$L$4</f>
        <v>10041868.483456928</v>
      </c>
      <c r="O15" s="51">
        <f t="shared" si="2"/>
        <v>10041868.483456928</v>
      </c>
      <c r="P15" s="48">
        <f>N15/'Pro-Forma IS'!L$4</f>
        <v>5.6878211659249459E-2</v>
      </c>
    </row>
    <row r="16" spans="1:16" ht="15">
      <c r="A16" s="2" t="s">
        <v>44</v>
      </c>
      <c r="B16" s="18">
        <v>17558000</v>
      </c>
      <c r="C16" s="18">
        <v>20206000</v>
      </c>
      <c r="D16" s="18">
        <v>19716000</v>
      </c>
      <c r="E16" s="18">
        <v>19775000</v>
      </c>
      <c r="F16" s="18">
        <v>19439000</v>
      </c>
      <c r="G16" s="35">
        <f>Assumptions!H41</f>
        <v>0.2513940298580089</v>
      </c>
      <c r="H16" s="57">
        <f>G16*'Pro-Forma IS'!$H$4</f>
        <v>32544780.695133585</v>
      </c>
      <c r="I16" s="51">
        <f t="shared" si="0"/>
        <v>32544780.695133585</v>
      </c>
      <c r="J16" s="48">
        <f>H16/'Pro-Forma IS'!H$4</f>
        <v>0.2513940298580089</v>
      </c>
      <c r="K16" s="57">
        <f>J16*'Pro-Forma IS'!$J$4</f>
        <v>38006025.259777978</v>
      </c>
      <c r="L16" s="51">
        <f t="shared" si="1"/>
        <v>38006025.259777978</v>
      </c>
      <c r="M16" s="48">
        <f>K16/'Pro-Forma IS'!J$4</f>
        <v>0.2513940298580089</v>
      </c>
      <c r="N16" s="57">
        <f>M16*'Pro-Forma IS'!$L$4</f>
        <v>44383705.319079675</v>
      </c>
      <c r="O16" s="51">
        <f t="shared" si="2"/>
        <v>44383705.319079675</v>
      </c>
      <c r="P16" s="48">
        <f>N16/'Pro-Forma IS'!L$4</f>
        <v>0.2513940298580089</v>
      </c>
    </row>
    <row r="17" spans="1:16" ht="15">
      <c r="A17" s="2" t="s">
        <v>45</v>
      </c>
      <c r="B17" s="18" t="s">
        <v>2</v>
      </c>
      <c r="C17" s="18" t="s">
        <v>2</v>
      </c>
      <c r="D17" s="18">
        <v>251000</v>
      </c>
      <c r="E17" s="18">
        <v>383000</v>
      </c>
      <c r="F17" s="18">
        <v>680000</v>
      </c>
      <c r="G17" s="35">
        <f>Assumptions!H42</f>
        <v>2.7448059694650598E-3</v>
      </c>
      <c r="H17" s="57">
        <f>G17*'Pro-Forma IS'!$H$4</f>
        <v>355335.04267141235</v>
      </c>
      <c r="I17" s="51">
        <f t="shared" si="0"/>
        <v>355335.04267141235</v>
      </c>
      <c r="J17" s="48">
        <f>H17/'Pro-Forma IS'!H$4</f>
        <v>2.7448059694650598E-3</v>
      </c>
      <c r="K17" s="57">
        <f>J17*'Pro-Forma IS'!$J$4</f>
        <v>414962.77802459936</v>
      </c>
      <c r="L17" s="51">
        <f t="shared" si="1"/>
        <v>414962.77802459936</v>
      </c>
      <c r="M17" s="48">
        <f>K17/'Pro-Forma IS'!J$4</f>
        <v>2.7448059694650598E-3</v>
      </c>
      <c r="N17" s="57">
        <f>M17*'Pro-Forma IS'!$L$4</f>
        <v>484596.46943722729</v>
      </c>
      <c r="O17" s="51">
        <f t="shared" si="2"/>
        <v>484596.46943722729</v>
      </c>
      <c r="P17" s="48">
        <f>N17/'Pro-Forma IS'!L$4</f>
        <v>2.7448059694650598E-3</v>
      </c>
    </row>
    <row r="18" spans="1:16" ht="15">
      <c r="A18" s="2" t="s">
        <v>46</v>
      </c>
      <c r="B18" s="18">
        <v>1976000</v>
      </c>
      <c r="C18" s="18">
        <v>3280000</v>
      </c>
      <c r="D18" s="18">
        <v>3181000</v>
      </c>
      <c r="E18" s="18">
        <v>1819000</v>
      </c>
      <c r="F18" s="18">
        <v>2672000</v>
      </c>
      <c r="G18" s="35">
        <f>Assumptions!H43</f>
        <v>3.3879842571167419E-2</v>
      </c>
      <c r="H18" s="57">
        <f>G18*'Pro-Forma IS'!$H$4</f>
        <v>4385991.3741271663</v>
      </c>
      <c r="I18" s="51">
        <f t="shared" si="0"/>
        <v>4385991.3741271663</v>
      </c>
      <c r="J18" s="48">
        <f>H18/'Pro-Forma IS'!H$4</f>
        <v>3.3879842571167419E-2</v>
      </c>
      <c r="K18" s="57">
        <f>J18*'Pro-Forma IS'!$J$4</f>
        <v>5121991.7723756908</v>
      </c>
      <c r="L18" s="51">
        <f t="shared" si="1"/>
        <v>5121991.7723756908</v>
      </c>
      <c r="M18" s="48">
        <f>K18/'Pro-Forma IS'!J$4</f>
        <v>3.3879842571167419E-2</v>
      </c>
      <c r="N18" s="57">
        <f>M18*'Pro-Forma IS'!$L$4</f>
        <v>5981498.2471334934</v>
      </c>
      <c r="O18" s="51">
        <f t="shared" si="2"/>
        <v>5981498.2471334934</v>
      </c>
      <c r="P18" s="48">
        <f>N18/'Pro-Forma IS'!L$4</f>
        <v>3.3879842571167419E-2</v>
      </c>
    </row>
    <row r="19" spans="1:16" ht="14" thickBot="1">
      <c r="A19" s="13" t="s">
        <v>47</v>
      </c>
      <c r="B19" s="7">
        <f>SUM(B14:B18)+B11</f>
        <v>110920000</v>
      </c>
      <c r="C19" s="7">
        <f t="shared" ref="C19:F19" si="6">SUM(C14:C18)+C11</f>
        <v>131133000</v>
      </c>
      <c r="D19" s="7">
        <f t="shared" si="6"/>
        <v>147461000</v>
      </c>
      <c r="E19" s="7">
        <f t="shared" si="6"/>
        <v>167497000</v>
      </c>
      <c r="F19" s="7">
        <f t="shared" si="6"/>
        <v>197295000</v>
      </c>
      <c r="G19" s="35">
        <f>Assumptions!H44</f>
        <v>1.8885140937926095</v>
      </c>
      <c r="H19" s="59">
        <f>SUM(H14:H18)+H11</f>
        <v>244481848.10460156</v>
      </c>
      <c r="I19" s="54">
        <f>SUM(I14:I18)+I11</f>
        <v>244481848.10460156</v>
      </c>
      <c r="J19" s="48">
        <f>H19/'Pro-Forma IS'!H$4</f>
        <v>1.888514093792609</v>
      </c>
      <c r="K19" s="59">
        <f>SUM(K14:K18)+K11</f>
        <v>285507632.74954534</v>
      </c>
      <c r="L19" s="54">
        <f>SUM(L14:L18)+L11</f>
        <v>285507632.74954534</v>
      </c>
      <c r="M19" s="48">
        <f>K19/'Pro-Forma IS'!J$4</f>
        <v>1.8885140937926095</v>
      </c>
      <c r="N19" s="59">
        <f>SUM(N14:N18)+N11</f>
        <v>333417834.45359594</v>
      </c>
      <c r="O19" s="54">
        <f>SUM(O14:O18)+O11</f>
        <v>333417834.45359594</v>
      </c>
      <c r="P19" s="48">
        <f>N19/'Pro-Forma IS'!L$4</f>
        <v>1.8885140937926093</v>
      </c>
    </row>
    <row r="20" spans="1:16" ht="16" thickTop="1">
      <c r="A20" s="2" t="s">
        <v>48</v>
      </c>
      <c r="B20" s="18">
        <v>6684000</v>
      </c>
      <c r="C20" s="18">
        <v>6736000</v>
      </c>
      <c r="D20" s="18">
        <v>7799000</v>
      </c>
      <c r="E20" s="18">
        <v>8959000</v>
      </c>
      <c r="F20" s="18">
        <v>11693000</v>
      </c>
      <c r="G20" s="35">
        <f>Assumptions!H45</f>
        <v>0.10450229686067025</v>
      </c>
      <c r="H20" s="57">
        <f>G20*'Pro-Forma IS'!$H$4</f>
        <v>13528580.354072841</v>
      </c>
      <c r="I20" s="51">
        <f t="shared" si="0"/>
        <v>13528580.354072841</v>
      </c>
      <c r="J20" s="48">
        <f>H20/'Pro-Forma IS'!H$4</f>
        <v>0.10450229686067025</v>
      </c>
      <c r="K20" s="57">
        <f>J20*'Pro-Forma IS'!$J$4</f>
        <v>15798771.89778427</v>
      </c>
      <c r="L20" s="51">
        <f t="shared" si="1"/>
        <v>15798771.89778427</v>
      </c>
      <c r="M20" s="48">
        <f>K20/'Pro-Forma IS'!J$4</f>
        <v>0.10450229686067025</v>
      </c>
      <c r="N20" s="57">
        <f>M20*'Pro-Forma IS'!$L$4</f>
        <v>18449917.651786312</v>
      </c>
      <c r="O20" s="51">
        <f t="shared" si="2"/>
        <v>18449917.651786312</v>
      </c>
      <c r="P20" s="48">
        <f>N20/'Pro-Forma IS'!L$4</f>
        <v>0.10450229686067025</v>
      </c>
    </row>
    <row r="21" spans="1:16" ht="15">
      <c r="A21" s="2" t="s">
        <v>49</v>
      </c>
      <c r="B21" s="18">
        <v>2453000</v>
      </c>
      <c r="C21" s="18">
        <v>1715000</v>
      </c>
      <c r="D21" s="18">
        <v>1931000</v>
      </c>
      <c r="E21" s="18">
        <v>2041000</v>
      </c>
      <c r="F21" s="18">
        <v>3137000</v>
      </c>
      <c r="G21" s="35">
        <f>Assumptions!H46</f>
        <v>2.8729099559329375E-2</v>
      </c>
      <c r="H21" s="57">
        <f>G21*'Pro-Forma IS'!$H$4</f>
        <v>3719190.3294407004</v>
      </c>
      <c r="I21" s="51">
        <f t="shared" si="0"/>
        <v>3719190.3294407004</v>
      </c>
      <c r="J21" s="48">
        <f>H21/'Pro-Forma IS'!H$4</f>
        <v>2.8729099559329372E-2</v>
      </c>
      <c r="K21" s="57">
        <f>J21*'Pro-Forma IS'!$J$4</f>
        <v>4343296.7925262908</v>
      </c>
      <c r="L21" s="51">
        <f t="shared" si="1"/>
        <v>4343296.7925262908</v>
      </c>
      <c r="M21" s="48">
        <f>K21/'Pro-Forma IS'!J$4</f>
        <v>2.8729099559329372E-2</v>
      </c>
      <c r="N21" s="57">
        <f>M21*'Pro-Forma IS'!$L$4</f>
        <v>5072132.7377741402</v>
      </c>
      <c r="O21" s="51">
        <f t="shared" si="2"/>
        <v>5072132.7377741402</v>
      </c>
      <c r="P21" s="48">
        <f>N21/'Pro-Forma IS'!L$4</f>
        <v>2.8729099559329372E-2</v>
      </c>
    </row>
    <row r="22" spans="1:16">
      <c r="A22" s="12" t="s">
        <v>50</v>
      </c>
      <c r="B22" s="5">
        <f>B20-B21</f>
        <v>4231000</v>
      </c>
      <c r="C22" s="5">
        <f t="shared" ref="C22:F22" si="7">C20-C21</f>
        <v>5021000</v>
      </c>
      <c r="D22" s="5">
        <f t="shared" si="7"/>
        <v>5868000</v>
      </c>
      <c r="E22" s="5">
        <f t="shared" si="7"/>
        <v>6918000</v>
      </c>
      <c r="F22" s="5">
        <f t="shared" si="7"/>
        <v>8556000</v>
      </c>
      <c r="G22" s="35">
        <f>Assumptions!H47</f>
        <v>7.5773197301340883E-2</v>
      </c>
      <c r="H22" s="58">
        <f>H20-H21</f>
        <v>9809390.024632141</v>
      </c>
      <c r="I22" s="5">
        <f>I20-I21</f>
        <v>9809390.024632141</v>
      </c>
      <c r="J22" s="48">
        <f>H22/'Pro-Forma IS'!H$4</f>
        <v>7.5773197301340883E-2</v>
      </c>
      <c r="K22" s="58">
        <f>K20-K21</f>
        <v>11455475.105257981</v>
      </c>
      <c r="L22" s="58">
        <f>L20-L21</f>
        <v>11455475.105257981</v>
      </c>
      <c r="M22" s="48">
        <f>K22/'Pro-Forma IS'!J$4</f>
        <v>7.5773197301340883E-2</v>
      </c>
      <c r="N22" s="58">
        <f>N20-N21</f>
        <v>13377784.914012171</v>
      </c>
      <c r="O22" s="58">
        <f>O20-O21</f>
        <v>13377784.914012171</v>
      </c>
      <c r="P22" s="48">
        <f>N22/'Pro-Forma IS'!L$4</f>
        <v>7.5773197301340883E-2</v>
      </c>
    </row>
    <row r="23" spans="1:16" ht="15">
      <c r="A23" s="2" t="s">
        <v>51</v>
      </c>
      <c r="B23" s="18">
        <v>3009000</v>
      </c>
      <c r="C23" s="18">
        <v>2009000</v>
      </c>
      <c r="D23" s="18">
        <v>3225000</v>
      </c>
      <c r="E23" s="18">
        <v>0</v>
      </c>
      <c r="F23" s="18" t="s">
        <v>2</v>
      </c>
      <c r="G23" s="35">
        <f>Assumptions!H48</f>
        <v>2.4748387807955668E-2</v>
      </c>
      <c r="H23" s="57">
        <f>G23*'Pro-Forma IS'!$H$4</f>
        <v>3203858.3184451689</v>
      </c>
      <c r="I23" s="51">
        <f t="shared" si="0"/>
        <v>3203858.3184451689</v>
      </c>
      <c r="J23" s="48">
        <f>H23/'Pro-Forma IS'!H$4</f>
        <v>2.4748387807955668E-2</v>
      </c>
      <c r="K23" s="57">
        <f>J23*'Pro-Forma IS'!$J$4</f>
        <v>3741488.4223750364</v>
      </c>
      <c r="L23" s="51">
        <f t="shared" si="1"/>
        <v>3741488.4223750364</v>
      </c>
      <c r="M23" s="48">
        <f>K23/'Pro-Forma IS'!J$4</f>
        <v>2.4748387807955668E-2</v>
      </c>
      <c r="N23" s="57">
        <f>M23*'Pro-Forma IS'!$L$4</f>
        <v>4369336.6632891614</v>
      </c>
      <c r="O23" s="51">
        <f t="shared" si="2"/>
        <v>4369336.6632891614</v>
      </c>
      <c r="P23" s="48">
        <f>N23/'Pro-Forma IS'!L$4</f>
        <v>2.4748387807955664E-2</v>
      </c>
    </row>
    <row r="24" spans="1:16" ht="15">
      <c r="A24" s="2" t="s">
        <v>52</v>
      </c>
      <c r="B24" s="18">
        <v>6215000</v>
      </c>
      <c r="C24" s="18">
        <v>8060000</v>
      </c>
      <c r="D24" s="18">
        <v>8286000</v>
      </c>
      <c r="E24" s="18">
        <v>7797000</v>
      </c>
      <c r="F24" s="18">
        <v>12490000</v>
      </c>
      <c r="G24" s="35">
        <f>Assumptions!H49</f>
        <v>0.10710878076139688</v>
      </c>
      <c r="H24" s="57">
        <f>G24*'Pro-Forma IS'!$H$4</f>
        <v>13866008.601603046</v>
      </c>
      <c r="I24" s="51">
        <f t="shared" si="0"/>
        <v>13866008.601603046</v>
      </c>
      <c r="J24" s="48">
        <f>H24/'Pro-Forma IS'!H$4</f>
        <v>0.10710878076139688</v>
      </c>
      <c r="K24" s="57">
        <f>J24*'Pro-Forma IS'!$J$4</f>
        <v>16192822.993692048</v>
      </c>
      <c r="L24" s="51">
        <f t="shared" si="1"/>
        <v>16192822.993692048</v>
      </c>
      <c r="M24" s="48">
        <f>K24/'Pro-Forma IS'!J$4</f>
        <v>0.10710878076139688</v>
      </c>
      <c r="N24" s="57">
        <f>M24*'Pro-Forma IS'!$L$4</f>
        <v>18910093.31082689</v>
      </c>
      <c r="O24" s="51">
        <f t="shared" si="2"/>
        <v>18910093.31082689</v>
      </c>
      <c r="P24" s="48">
        <f>N24/'Pro-Forma IS'!L$4</f>
        <v>0.10710878076139689</v>
      </c>
    </row>
    <row r="25" spans="1:16">
      <c r="A25" s="12" t="s">
        <v>53</v>
      </c>
      <c r="B25" s="5">
        <f>SUM(B21:B24)</f>
        <v>15908000</v>
      </c>
      <c r="C25" s="5">
        <f t="shared" ref="C25:F25" si="8">SUM(C21:C24)</f>
        <v>16805000</v>
      </c>
      <c r="D25" s="5">
        <f t="shared" si="8"/>
        <v>19310000</v>
      </c>
      <c r="E25" s="5">
        <f t="shared" si="8"/>
        <v>16756000</v>
      </c>
      <c r="F25" s="5">
        <f t="shared" si="8"/>
        <v>24183000</v>
      </c>
      <c r="G25" s="35">
        <f>Assumptions!H50</f>
        <v>0.23635946543002281</v>
      </c>
      <c r="H25" s="58">
        <f>SUM(H21:H24)</f>
        <v>30598447.274121054</v>
      </c>
      <c r="I25" s="52">
        <f>SUM(I21:I24)+I38</f>
        <v>71189617.17361927</v>
      </c>
      <c r="J25" s="48">
        <f>H25/'Pro-Forma IS'!H$4</f>
        <v>0.23635946543002279</v>
      </c>
      <c r="K25" s="58">
        <f>SUM(K21:K24)</f>
        <v>35733083.313851357</v>
      </c>
      <c r="L25" s="52">
        <f>SUM(L21:L24)+L38</f>
        <v>112004926.86162069</v>
      </c>
      <c r="M25" s="48">
        <f>K25/'Pro-Forma IS'!J$4</f>
        <v>0.23635946543002281</v>
      </c>
      <c r="N25" s="58">
        <f>SUM(N21:N24)</f>
        <v>41729347.625902362</v>
      </c>
      <c r="O25" s="52">
        <f>SUM(O21:O24)+O38</f>
        <v>159669334.42113438</v>
      </c>
      <c r="P25" s="48">
        <f>N25/'Pro-Forma IS'!L$4</f>
        <v>0.23635946543002279</v>
      </c>
    </row>
    <row r="26" spans="1:16" ht="15">
      <c r="A26" s="2" t="s">
        <v>54</v>
      </c>
      <c r="B26" s="18">
        <v>2236000</v>
      </c>
      <c r="C26" s="18">
        <v>3228000</v>
      </c>
      <c r="D26" s="18">
        <v>1995000</v>
      </c>
      <c r="E26" s="18">
        <v>3935000</v>
      </c>
      <c r="F26" s="18">
        <v>3969000</v>
      </c>
      <c r="H26" s="57">
        <f>F26</f>
        <v>3969000</v>
      </c>
      <c r="I26" s="51">
        <f t="shared" si="0"/>
        <v>3969000</v>
      </c>
      <c r="K26" s="57">
        <f>I26</f>
        <v>3969000</v>
      </c>
      <c r="L26" s="51">
        <f t="shared" si="1"/>
        <v>3969000</v>
      </c>
      <c r="N26" s="57">
        <f>K26</f>
        <v>3969000</v>
      </c>
      <c r="O26" s="51">
        <f t="shared" si="2"/>
        <v>3969000</v>
      </c>
    </row>
    <row r="27" spans="1:16" ht="15">
      <c r="A27" s="2" t="s">
        <v>55</v>
      </c>
      <c r="B27" s="18">
        <v>2086000</v>
      </c>
      <c r="C27" s="18">
        <v>2075000</v>
      </c>
      <c r="D27" s="18">
        <v>340000</v>
      </c>
      <c r="E27" s="18">
        <v>428000</v>
      </c>
      <c r="F27" s="18">
        <v>770000</v>
      </c>
      <c r="H27" s="57">
        <f t="shared" ref="H27:H29" si="9">F27</f>
        <v>770000</v>
      </c>
      <c r="I27" s="51">
        <f t="shared" si="0"/>
        <v>770000</v>
      </c>
      <c r="K27" s="57">
        <f t="shared" ref="K27:K29" si="10">I27</f>
        <v>770000</v>
      </c>
      <c r="L27" s="51">
        <f t="shared" si="1"/>
        <v>770000</v>
      </c>
      <c r="N27" s="57">
        <f t="shared" ref="N27:N29" si="11">K27</f>
        <v>770000</v>
      </c>
      <c r="O27" s="51">
        <f t="shared" si="2"/>
        <v>770000</v>
      </c>
    </row>
    <row r="28" spans="1:16" ht="15">
      <c r="A28" s="2" t="s">
        <v>56</v>
      </c>
      <c r="B28" s="18">
        <v>0</v>
      </c>
      <c r="C28" s="18">
        <v>0</v>
      </c>
      <c r="D28" s="18">
        <v>0</v>
      </c>
      <c r="E28" s="18">
        <v>0</v>
      </c>
      <c r="F28" s="18">
        <v>0</v>
      </c>
      <c r="H28" s="57">
        <f t="shared" si="9"/>
        <v>0</v>
      </c>
      <c r="I28" s="51">
        <f t="shared" si="0"/>
        <v>0</v>
      </c>
      <c r="K28" s="57">
        <f t="shared" si="10"/>
        <v>0</v>
      </c>
      <c r="L28" s="51">
        <f t="shared" si="1"/>
        <v>0</v>
      </c>
      <c r="N28" s="57">
        <f t="shared" si="11"/>
        <v>0</v>
      </c>
      <c r="O28" s="51">
        <f t="shared" si="2"/>
        <v>0</v>
      </c>
    </row>
    <row r="29" spans="1:16" ht="15">
      <c r="A29" s="2" t="s">
        <v>57</v>
      </c>
      <c r="B29" s="18">
        <v>3381000</v>
      </c>
      <c r="C29" s="18">
        <v>4525000</v>
      </c>
      <c r="D29" s="18">
        <v>5485000</v>
      </c>
      <c r="E29" s="18">
        <v>7342000</v>
      </c>
      <c r="F29" s="18">
        <v>15871000</v>
      </c>
      <c r="H29" s="57">
        <f t="shared" si="9"/>
        <v>15871000</v>
      </c>
      <c r="I29" s="51">
        <f t="shared" si="0"/>
        <v>15871000</v>
      </c>
      <c r="K29" s="57">
        <f t="shared" si="10"/>
        <v>15871000</v>
      </c>
      <c r="L29" s="51">
        <f t="shared" si="1"/>
        <v>15871000</v>
      </c>
      <c r="N29" s="57">
        <f t="shared" si="11"/>
        <v>15871000</v>
      </c>
      <c r="O29" s="51">
        <f t="shared" si="2"/>
        <v>15871000</v>
      </c>
    </row>
    <row r="30" spans="1:16">
      <c r="A30" s="15" t="s">
        <v>58</v>
      </c>
      <c r="B30" s="6">
        <f>SUM(B25:B29)</f>
        <v>23611000</v>
      </c>
      <c r="C30" s="6">
        <f t="shared" ref="C30:F30" si="12">SUM(C25:C29)</f>
        <v>26633000</v>
      </c>
      <c r="D30" s="6">
        <f t="shared" si="12"/>
        <v>27130000</v>
      </c>
      <c r="E30" s="6">
        <f t="shared" si="12"/>
        <v>28461000</v>
      </c>
      <c r="F30" s="6">
        <f t="shared" si="12"/>
        <v>44793000</v>
      </c>
      <c r="H30" s="60">
        <f t="shared" ref="H30" si="13">SUM(H25:H29)</f>
        <v>51208447.274121054</v>
      </c>
      <c r="I30" s="53">
        <f>SUM(I25:I29)</f>
        <v>91799617.17361927</v>
      </c>
      <c r="K30" s="60">
        <f>SUM(K25:K29)</f>
        <v>56343083.313851357</v>
      </c>
      <c r="L30" s="53">
        <f>SUM(L25:L29)</f>
        <v>132614926.86162069</v>
      </c>
      <c r="N30" s="60">
        <f>SUM(N25:N29)</f>
        <v>62339347.625902362</v>
      </c>
      <c r="O30" s="53">
        <f>SUM(O25:O29)</f>
        <v>180279334.42113438</v>
      </c>
    </row>
    <row r="31" spans="1:16" ht="15">
      <c r="A31" s="2" t="s">
        <v>59</v>
      </c>
      <c r="B31" s="18">
        <v>61262000</v>
      </c>
      <c r="C31" s="18">
        <v>75706000</v>
      </c>
      <c r="D31" s="18">
        <v>89223000</v>
      </c>
      <c r="E31" s="18">
        <v>105131000</v>
      </c>
      <c r="F31" s="18">
        <v>113247000</v>
      </c>
      <c r="H31" s="57">
        <f>F31+'Pro-Forma IS'!H32</f>
        <v>113427230.93098229</v>
      </c>
      <c r="I31" s="51">
        <f t="shared" si="0"/>
        <v>113427230.93098229</v>
      </c>
      <c r="K31" s="57">
        <f>I31+'Pro-Forma IS'!J32</f>
        <v>113637705.88792464</v>
      </c>
      <c r="L31" s="51">
        <f t="shared" si="1"/>
        <v>113637705.88792464</v>
      </c>
      <c r="N31" s="57">
        <f>K31+'Pro-Forma IS'!L32</f>
        <v>113883500.03246155</v>
      </c>
      <c r="O31" s="51">
        <f t="shared" si="2"/>
        <v>113883500.03246155</v>
      </c>
    </row>
    <row r="32" spans="1:16" ht="15">
      <c r="A32" s="2" t="s">
        <v>60</v>
      </c>
      <c r="B32" s="18">
        <v>125000</v>
      </c>
      <c r="C32" s="18">
        <v>27000</v>
      </c>
      <c r="D32" s="18">
        <v>-1874000</v>
      </c>
      <c r="E32" s="18">
        <v>-2402000</v>
      </c>
      <c r="F32" s="18">
        <v>-992000</v>
      </c>
      <c r="H32" s="57">
        <f t="shared" ref="H32:H34" si="14">F32</f>
        <v>-992000</v>
      </c>
      <c r="I32" s="51">
        <f t="shared" si="0"/>
        <v>-992000</v>
      </c>
      <c r="K32" s="57">
        <f t="shared" ref="K32:K34" si="15">I32</f>
        <v>-992000</v>
      </c>
      <c r="L32" s="51">
        <f t="shared" si="1"/>
        <v>-992000</v>
      </c>
      <c r="N32" s="57">
        <f t="shared" ref="N32:N34" si="16">K32</f>
        <v>-992000</v>
      </c>
      <c r="O32" s="51">
        <f t="shared" si="2"/>
        <v>-992000</v>
      </c>
    </row>
    <row r="33" spans="1:15" ht="15">
      <c r="A33" s="2" t="s">
        <v>61</v>
      </c>
      <c r="B33" s="18">
        <v>16000</v>
      </c>
      <c r="C33" s="18">
        <v>-980000</v>
      </c>
      <c r="D33" s="18">
        <v>-2047000</v>
      </c>
      <c r="E33" s="18">
        <v>-2646000</v>
      </c>
      <c r="F33" s="18">
        <v>-1103000</v>
      </c>
      <c r="H33" s="57">
        <f t="shared" si="14"/>
        <v>-1103000</v>
      </c>
      <c r="I33" s="51">
        <f t="shared" si="0"/>
        <v>-1103000</v>
      </c>
      <c r="K33" s="57">
        <f t="shared" si="15"/>
        <v>-1103000</v>
      </c>
      <c r="L33" s="51">
        <f t="shared" si="1"/>
        <v>-1103000</v>
      </c>
      <c r="N33" s="57">
        <f t="shared" si="16"/>
        <v>-1103000</v>
      </c>
      <c r="O33" s="51">
        <f t="shared" si="2"/>
        <v>-1103000</v>
      </c>
    </row>
    <row r="34" spans="1:15" ht="15">
      <c r="A34" s="2" t="s">
        <v>62</v>
      </c>
      <c r="B34" s="18">
        <v>25906000</v>
      </c>
      <c r="C34" s="18">
        <v>29747000</v>
      </c>
      <c r="D34" s="18">
        <v>35029000</v>
      </c>
      <c r="E34" s="18">
        <v>38953000</v>
      </c>
      <c r="F34" s="18">
        <v>41350000</v>
      </c>
      <c r="H34" s="57">
        <f t="shared" si="14"/>
        <v>41350000</v>
      </c>
      <c r="I34" s="51">
        <f t="shared" si="0"/>
        <v>41350000</v>
      </c>
      <c r="K34" s="57">
        <f t="shared" si="15"/>
        <v>41350000</v>
      </c>
      <c r="L34" s="51">
        <f t="shared" si="1"/>
        <v>41350000</v>
      </c>
      <c r="N34" s="57">
        <f t="shared" si="16"/>
        <v>41350000</v>
      </c>
      <c r="O34" s="51">
        <f t="shared" si="2"/>
        <v>41350000</v>
      </c>
    </row>
    <row r="35" spans="1:15">
      <c r="A35" s="12" t="s">
        <v>63</v>
      </c>
      <c r="B35" s="5">
        <f>SUM(B31:B34)</f>
        <v>87309000</v>
      </c>
      <c r="C35" s="5">
        <f t="shared" ref="C35:F35" si="17">SUM(C31:C34)</f>
        <v>104500000</v>
      </c>
      <c r="D35" s="5">
        <f t="shared" si="17"/>
        <v>120331000</v>
      </c>
      <c r="E35" s="5">
        <f t="shared" si="17"/>
        <v>139036000</v>
      </c>
      <c r="F35" s="5">
        <f t="shared" si="17"/>
        <v>152502000</v>
      </c>
      <c r="H35" s="5">
        <f t="shared" ref="H35:I35" si="18">SUM(H31:H34)</f>
        <v>152682230.93098229</v>
      </c>
      <c r="I35" s="52">
        <f t="shared" si="18"/>
        <v>152682230.93098229</v>
      </c>
      <c r="K35" s="5">
        <f>SUM(K31:K34)</f>
        <v>152892705.88792464</v>
      </c>
      <c r="L35" s="52">
        <f>SUM(L31:L34)</f>
        <v>152892705.88792464</v>
      </c>
      <c r="N35" s="5">
        <f>SUM(N31:N34)</f>
        <v>153138500.03246155</v>
      </c>
      <c r="O35" s="52">
        <f>SUM(O31:O34)</f>
        <v>153138500.03246155</v>
      </c>
    </row>
    <row r="36" spans="1:15" ht="14" thickBot="1">
      <c r="A36" s="13" t="s">
        <v>64</v>
      </c>
      <c r="B36" s="7">
        <f>B35+B30</f>
        <v>110920000</v>
      </c>
      <c r="C36" s="7">
        <f t="shared" ref="C36:F36" si="19">C35+C30</f>
        <v>131133000</v>
      </c>
      <c r="D36" s="7">
        <f t="shared" si="19"/>
        <v>147461000</v>
      </c>
      <c r="E36" s="7">
        <f t="shared" si="19"/>
        <v>167497000</v>
      </c>
      <c r="F36" s="7">
        <f t="shared" si="19"/>
        <v>197295000</v>
      </c>
      <c r="H36" s="7">
        <f t="shared" ref="H36:I36" si="20">H35+H30</f>
        <v>203890678.20510334</v>
      </c>
      <c r="I36" s="54">
        <f t="shared" si="20"/>
        <v>244481848.10460156</v>
      </c>
      <c r="K36" s="7">
        <f>K35+K30</f>
        <v>209235789.201776</v>
      </c>
      <c r="L36" s="54">
        <f>L35+L30</f>
        <v>285507632.74954534</v>
      </c>
      <c r="N36" s="7">
        <f>N30+N35</f>
        <v>215477847.65836391</v>
      </c>
      <c r="O36" s="54">
        <f>O30+O35</f>
        <v>333417834.45359594</v>
      </c>
    </row>
    <row r="37" spans="1:15" ht="14" thickTop="1"/>
    <row r="38" spans="1:15">
      <c r="H38" s="55" t="s">
        <v>109</v>
      </c>
      <c r="I38" s="56">
        <f>H19-H36</f>
        <v>40591169.899498224</v>
      </c>
      <c r="K38" s="55" t="s">
        <v>109</v>
      </c>
      <c r="L38" s="56">
        <f>K19-K36</f>
        <v>76271843.547769338</v>
      </c>
      <c r="N38" s="55" t="s">
        <v>109</v>
      </c>
      <c r="O38" s="56">
        <f>N19-N36</f>
        <v>117939986.79523203</v>
      </c>
    </row>
  </sheetData>
  <mergeCells count="3">
    <mergeCell ref="A1:F1"/>
    <mergeCell ref="A2:F2"/>
    <mergeCell ref="G1:K1"/>
  </mergeCells>
  <printOptions gridLines="1" gridLinesSet="0"/>
  <pageMargins left="0.75" right="0.75" top="1" bottom="1" header="0.5" footer="0.5"/>
  <pageSetup fitToWidth="0" fitToHeight="0" orientation="portrait" r:id="rId1"/>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Y24"/>
  <sheetViews>
    <sheetView zoomScale="110" zoomScaleNormal="110" workbookViewId="0">
      <pane xSplit="1" ySplit="3" topLeftCell="B4" activePane="bottomRight" state="frozen"/>
      <selection pane="topRight" activeCell="B1" sqref="B1"/>
      <selection pane="bottomLeft" activeCell="A4" sqref="A4"/>
      <selection pane="bottomRight" activeCell="T28" sqref="T28"/>
    </sheetView>
  </sheetViews>
  <sheetFormatPr baseColWidth="10" defaultColWidth="8.83203125" defaultRowHeight="13"/>
  <cols>
    <col min="1" max="1" width="29" bestFit="1" customWidth="1"/>
    <col min="2" max="6" width="14.6640625" bestFit="1" customWidth="1"/>
    <col min="7" max="197" width="12.6640625" customWidth="1"/>
  </cols>
  <sheetData>
    <row r="1" spans="1:25" ht="21" thickBot="1">
      <c r="A1" s="310" t="s">
        <v>0</v>
      </c>
      <c r="B1" s="311"/>
      <c r="C1" s="311"/>
      <c r="D1" s="311"/>
      <c r="E1" s="311"/>
      <c r="F1" s="311"/>
      <c r="H1" s="299" t="s">
        <v>0</v>
      </c>
      <c r="I1" s="300"/>
      <c r="J1" s="300"/>
      <c r="K1" s="300"/>
      <c r="L1" s="300"/>
      <c r="M1" s="300"/>
      <c r="N1" s="300"/>
      <c r="O1" s="300"/>
      <c r="P1" s="300"/>
      <c r="Q1" s="300"/>
      <c r="R1" s="300"/>
      <c r="S1" s="300"/>
      <c r="T1" s="300"/>
      <c r="U1" s="300"/>
      <c r="V1" s="300"/>
      <c r="W1" s="300"/>
      <c r="X1" s="300"/>
      <c r="Y1" s="300"/>
    </row>
    <row r="2" spans="1:25" ht="14" thickBot="1">
      <c r="A2" s="307" t="s">
        <v>65</v>
      </c>
      <c r="B2" s="308"/>
      <c r="C2" s="308"/>
      <c r="D2" s="308"/>
      <c r="E2" s="308"/>
      <c r="F2" s="308"/>
      <c r="H2" s="296" t="s">
        <v>154</v>
      </c>
      <c r="I2" s="297"/>
      <c r="J2" s="297"/>
      <c r="K2" s="297"/>
      <c r="L2" s="297"/>
      <c r="M2" s="298"/>
      <c r="N2" s="296" t="s">
        <v>155</v>
      </c>
      <c r="O2" s="297"/>
      <c r="P2" s="297"/>
      <c r="Q2" s="297"/>
      <c r="R2" s="297"/>
      <c r="S2" s="298"/>
      <c r="T2" s="296" t="s">
        <v>156</v>
      </c>
      <c r="U2" s="297"/>
      <c r="V2" s="297"/>
      <c r="W2" s="297"/>
      <c r="X2" s="297"/>
      <c r="Y2" s="298"/>
    </row>
    <row r="3" spans="1:25" ht="14" thickBot="1">
      <c r="A3" s="19"/>
      <c r="B3" s="11">
        <v>2013</v>
      </c>
      <c r="C3" s="10">
        <v>2014</v>
      </c>
      <c r="D3" s="10">
        <v>2015</v>
      </c>
      <c r="E3" s="10">
        <v>2016</v>
      </c>
      <c r="F3" s="9">
        <v>2017</v>
      </c>
      <c r="G3" s="1"/>
      <c r="H3" s="9">
        <v>2013</v>
      </c>
      <c r="I3" s="10">
        <v>2014</v>
      </c>
      <c r="J3" s="10">
        <v>2015</v>
      </c>
      <c r="K3" s="10">
        <v>2016</v>
      </c>
      <c r="L3" s="11">
        <v>2017</v>
      </c>
      <c r="M3" s="124" t="s">
        <v>92</v>
      </c>
      <c r="N3" s="115">
        <v>2013</v>
      </c>
      <c r="O3" s="116">
        <v>2014</v>
      </c>
      <c r="P3" s="116">
        <v>2015</v>
      </c>
      <c r="Q3" s="116">
        <v>2016</v>
      </c>
      <c r="R3" s="117">
        <v>2017</v>
      </c>
      <c r="S3" s="114" t="s">
        <v>94</v>
      </c>
      <c r="T3" s="115">
        <v>2013</v>
      </c>
      <c r="U3" s="116">
        <v>2014</v>
      </c>
      <c r="V3" s="116">
        <v>2015</v>
      </c>
      <c r="W3" s="116">
        <v>2016</v>
      </c>
      <c r="X3" s="117">
        <v>2017</v>
      </c>
      <c r="Y3" s="124" t="s">
        <v>94</v>
      </c>
    </row>
    <row r="4" spans="1:25">
      <c r="A4" s="2" t="s">
        <v>21</v>
      </c>
      <c r="B4" s="4">
        <f>'Income Statement'!B22</f>
        <v>12920000</v>
      </c>
      <c r="C4" s="4">
        <f>'Income Statement'!C22</f>
        <v>14444000</v>
      </c>
      <c r="D4" s="4">
        <f>'Income Statement'!D22</f>
        <v>16348000</v>
      </c>
      <c r="E4" s="4">
        <f>'Income Statement'!E22</f>
        <v>19478000</v>
      </c>
      <c r="F4" s="4">
        <f>'Income Statement'!F22</f>
        <v>12662000</v>
      </c>
      <c r="G4" s="2"/>
      <c r="H4" s="121">
        <f>B4/B$21</f>
        <v>0.87427256732981462</v>
      </c>
      <c r="I4" s="121">
        <f t="shared" ref="I4:L4" si="0">C4/C$21</f>
        <v>0.76431368398772359</v>
      </c>
      <c r="J4" s="121">
        <f t="shared" si="0"/>
        <v>0.89104485746988604</v>
      </c>
      <c r="K4" s="121">
        <f t="shared" si="0"/>
        <v>1.1769895461961448</v>
      </c>
      <c r="L4" s="121">
        <f t="shared" si="0"/>
        <v>0.98018269081901221</v>
      </c>
      <c r="N4" s="122">
        <f>B4/$B4</f>
        <v>1</v>
      </c>
      <c r="O4" s="122">
        <f t="shared" ref="O4:R4" si="1">C4/$B4</f>
        <v>1.1179566563467491</v>
      </c>
      <c r="P4" s="122">
        <f t="shared" si="1"/>
        <v>1.2653250773993807</v>
      </c>
      <c r="Q4" s="122">
        <f t="shared" si="1"/>
        <v>1.5075851393188855</v>
      </c>
      <c r="R4" s="122">
        <f t="shared" si="1"/>
        <v>0.98003095975232202</v>
      </c>
      <c r="T4" s="123">
        <f>H4/$H4</f>
        <v>1</v>
      </c>
      <c r="U4" s="123">
        <f t="shared" ref="U4:X4" si="2">I4/$H4</f>
        <v>0.87422814411536987</v>
      </c>
      <c r="V4" s="123">
        <f t="shared" si="2"/>
        <v>1.0191842804713602</v>
      </c>
      <c r="W4" s="123">
        <f t="shared" si="2"/>
        <v>1.3462501171584078</v>
      </c>
      <c r="X4" s="123">
        <f t="shared" si="2"/>
        <v>1.121140851774254</v>
      </c>
    </row>
    <row r="5" spans="1:25" ht="15">
      <c r="A5" s="2" t="s">
        <v>66</v>
      </c>
      <c r="B5" s="18">
        <v>5770000</v>
      </c>
      <c r="C5" s="18">
        <v>7568000</v>
      </c>
      <c r="D5" s="18">
        <v>10085000</v>
      </c>
      <c r="E5" s="18">
        <v>13258000</v>
      </c>
      <c r="F5" s="18">
        <v>15183000</v>
      </c>
      <c r="G5" s="2"/>
      <c r="H5" s="121">
        <f t="shared" ref="H5:H24" si="3">B5/B$21</f>
        <v>0.39044525646230882</v>
      </c>
      <c r="I5" s="121">
        <f t="shared" ref="I5:I24" si="4">C5/C$21</f>
        <v>0.40046565774155995</v>
      </c>
      <c r="J5" s="121">
        <f t="shared" ref="J5:J24" si="5">D5/D$21</f>
        <v>0.54968114678149016</v>
      </c>
      <c r="K5" s="121">
        <f t="shared" ref="K5:K24" si="6">E5/E$21</f>
        <v>0.80113602030334163</v>
      </c>
      <c r="L5" s="121">
        <f t="shared" ref="L5:L24" si="7">F5/F$21</f>
        <v>1.1753367394333487</v>
      </c>
      <c r="N5" s="122">
        <f t="shared" ref="N5:N24" si="8">B5/$B5</f>
        <v>1</v>
      </c>
      <c r="O5" s="122">
        <f t="shared" ref="O5:O24" si="9">C5/$B5</f>
        <v>1.3116117850953206</v>
      </c>
      <c r="P5" s="122">
        <f t="shared" ref="P5:P24" si="10">D5/$B5</f>
        <v>1.7478336221837087</v>
      </c>
      <c r="Q5" s="122">
        <f t="shared" ref="Q5:Q24" si="11">E5/$B5</f>
        <v>2.2977469670710571</v>
      </c>
      <c r="R5" s="122">
        <f t="shared" ref="R5:R24" si="12">F5/$B5</f>
        <v>2.631369150779896</v>
      </c>
      <c r="T5" s="123">
        <f t="shared" ref="T5:T24" si="13">H5/$H5</f>
        <v>1</v>
      </c>
      <c r="U5" s="123">
        <f t="shared" ref="U5:U24" si="14">I5/$H5</f>
        <v>1.0256640364133056</v>
      </c>
      <c r="V5" s="123">
        <f t="shared" ref="V5:V24" si="15">J5/$H5</f>
        <v>1.4078315402316919</v>
      </c>
      <c r="W5" s="123">
        <f t="shared" ref="W5:W24" si="16">K5/$H5</f>
        <v>2.0518523584129609</v>
      </c>
      <c r="X5" s="123">
        <f t="shared" ref="X5:X24" si="17">L5/$H5</f>
        <v>3.0102471985001782</v>
      </c>
    </row>
    <row r="6" spans="1:25" ht="15">
      <c r="A6" s="2" t="s">
        <v>67</v>
      </c>
      <c r="B6" s="18">
        <v>-432000</v>
      </c>
      <c r="C6" s="18">
        <v>81000</v>
      </c>
      <c r="D6" s="18">
        <v>-230000</v>
      </c>
      <c r="E6" s="18">
        <v>175000</v>
      </c>
      <c r="F6" s="18">
        <v>1035000</v>
      </c>
      <c r="G6" s="2"/>
      <c r="H6" s="121">
        <f t="shared" si="3"/>
        <v>-2.9232643118148598E-2</v>
      </c>
      <c r="I6" s="121">
        <f t="shared" si="4"/>
        <v>4.2861678484495715E-3</v>
      </c>
      <c r="J6" s="121">
        <f t="shared" si="5"/>
        <v>-1.2536109445685943E-2</v>
      </c>
      <c r="K6" s="121">
        <f t="shared" si="6"/>
        <v>1.0574657078977581E-2</v>
      </c>
      <c r="L6" s="121">
        <f t="shared" si="7"/>
        <v>8.0120761727821649E-2</v>
      </c>
      <c r="N6" s="122">
        <f t="shared" si="8"/>
        <v>1</v>
      </c>
      <c r="O6" s="122">
        <f t="shared" si="9"/>
        <v>-0.1875</v>
      </c>
      <c r="P6" s="122">
        <f t="shared" si="10"/>
        <v>0.53240740740740744</v>
      </c>
      <c r="Q6" s="122">
        <f t="shared" si="11"/>
        <v>-0.40509259259259262</v>
      </c>
      <c r="R6" s="122">
        <f t="shared" si="12"/>
        <v>-2.3958333333333335</v>
      </c>
      <c r="T6" s="123">
        <f t="shared" si="13"/>
        <v>1</v>
      </c>
      <c r="U6" s="123">
        <f t="shared" si="14"/>
        <v>-0.1466226584823791</v>
      </c>
      <c r="V6" s="123">
        <f t="shared" si="15"/>
        <v>0.42883941062117331</v>
      </c>
      <c r="W6" s="123">
        <f t="shared" si="16"/>
        <v>-0.36174139424335811</v>
      </c>
      <c r="X6" s="123">
        <f t="shared" si="17"/>
        <v>-2.7407977241058989</v>
      </c>
    </row>
    <row r="7" spans="1:25" ht="15">
      <c r="A7" s="2" t="s">
        <v>68</v>
      </c>
      <c r="B7" s="18">
        <v>401000</v>
      </c>
      <c r="C7" s="18">
        <v>283000</v>
      </c>
      <c r="D7" s="18">
        <v>-179000</v>
      </c>
      <c r="E7" s="18">
        <v>3125000</v>
      </c>
      <c r="F7" s="18">
        <v>8211000</v>
      </c>
      <c r="G7" s="2"/>
      <c r="H7" s="121">
        <f t="shared" si="3"/>
        <v>2.7134930301799972E-2</v>
      </c>
      <c r="I7" s="121">
        <f t="shared" si="4"/>
        <v>1.4975129643348503E-2</v>
      </c>
      <c r="J7" s="121">
        <f t="shared" si="5"/>
        <v>-9.756363438164278E-3</v>
      </c>
      <c r="K7" s="121">
        <f t="shared" si="6"/>
        <v>0.18883316212459966</v>
      </c>
      <c r="L7" s="121">
        <f t="shared" si="7"/>
        <v>0.63562470970738505</v>
      </c>
      <c r="N7" s="122">
        <f t="shared" si="8"/>
        <v>1</v>
      </c>
      <c r="O7" s="122">
        <f t="shared" si="9"/>
        <v>0.70573566084788031</v>
      </c>
      <c r="P7" s="122">
        <f t="shared" si="10"/>
        <v>-0.44638403990024939</v>
      </c>
      <c r="Q7" s="122">
        <f t="shared" si="11"/>
        <v>7.7930174563591024</v>
      </c>
      <c r="R7" s="122">
        <f t="shared" si="12"/>
        <v>20.476309226932667</v>
      </c>
      <c r="T7" s="123">
        <f t="shared" si="13"/>
        <v>1</v>
      </c>
      <c r="U7" s="123">
        <f t="shared" si="14"/>
        <v>0.55187647348978597</v>
      </c>
      <c r="V7" s="123">
        <f t="shared" si="15"/>
        <v>-0.35954997229224867</v>
      </c>
      <c r="W7" s="123">
        <f t="shared" si="16"/>
        <v>6.9590435657788872</v>
      </c>
      <c r="X7" s="123">
        <f t="shared" si="17"/>
        <v>23.424593416597848</v>
      </c>
    </row>
    <row r="8" spans="1:25" ht="14" thickBot="1">
      <c r="A8" s="13" t="s">
        <v>69</v>
      </c>
      <c r="B8" s="7">
        <f>SUM(B4:B7)</f>
        <v>18659000</v>
      </c>
      <c r="C8" s="7">
        <f t="shared" ref="C8:F8" si="18">SUM(C4:C7)</f>
        <v>22376000</v>
      </c>
      <c r="D8" s="7">
        <f t="shared" si="18"/>
        <v>26024000</v>
      </c>
      <c r="E8" s="7">
        <f t="shared" si="18"/>
        <v>36036000</v>
      </c>
      <c r="F8" s="7">
        <f t="shared" si="18"/>
        <v>37091000</v>
      </c>
      <c r="G8" s="2"/>
      <c r="H8" s="121">
        <f t="shared" si="3"/>
        <v>1.2626201109757749</v>
      </c>
      <c r="I8" s="121">
        <f t="shared" si="4"/>
        <v>1.1840406392210816</v>
      </c>
      <c r="J8" s="121">
        <f t="shared" si="5"/>
        <v>1.418433531367526</v>
      </c>
      <c r="K8" s="121">
        <f t="shared" si="6"/>
        <v>2.1775333857030637</v>
      </c>
      <c r="L8" s="121">
        <f t="shared" si="7"/>
        <v>2.8712649016875678</v>
      </c>
      <c r="N8" s="122">
        <f t="shared" si="8"/>
        <v>1</v>
      </c>
      <c r="O8" s="122">
        <f t="shared" si="9"/>
        <v>1.1992068170855887</v>
      </c>
      <c r="P8" s="122">
        <f t="shared" si="10"/>
        <v>1.3947156867999357</v>
      </c>
      <c r="Q8" s="122">
        <f t="shared" si="11"/>
        <v>1.9312932097111313</v>
      </c>
      <c r="R8" s="122">
        <f t="shared" si="12"/>
        <v>1.9878342890830163</v>
      </c>
      <c r="T8" s="123">
        <f t="shared" si="13"/>
        <v>1</v>
      </c>
      <c r="U8" s="123">
        <f t="shared" si="14"/>
        <v>0.93776475515349933</v>
      </c>
      <c r="V8" s="123">
        <f t="shared" si="15"/>
        <v>1.1234048301918269</v>
      </c>
      <c r="W8" s="123">
        <f t="shared" si="16"/>
        <v>1.7246148439852014</v>
      </c>
      <c r="X8" s="123">
        <f t="shared" si="17"/>
        <v>2.27405288156594</v>
      </c>
    </row>
    <row r="9" spans="1:25" ht="16" thickTop="1">
      <c r="A9" s="2" t="s">
        <v>70</v>
      </c>
      <c r="B9" s="18">
        <v>-7358000</v>
      </c>
      <c r="C9" s="18">
        <v>-10959000</v>
      </c>
      <c r="D9" s="18">
        <v>-9915000</v>
      </c>
      <c r="E9" s="18">
        <v>-10212000</v>
      </c>
      <c r="F9" s="18">
        <v>-13184000</v>
      </c>
      <c r="G9" s="2"/>
      <c r="H9" s="121">
        <f t="shared" si="3"/>
        <v>-0.49790228718365137</v>
      </c>
      <c r="I9" s="121">
        <f t="shared" si="4"/>
        <v>-0.57990263519949203</v>
      </c>
      <c r="J9" s="121">
        <f t="shared" si="5"/>
        <v>-0.5404153267564179</v>
      </c>
      <c r="K9" s="121">
        <f t="shared" si="6"/>
        <v>-0.61707656051725179</v>
      </c>
      <c r="L9" s="121">
        <f t="shared" si="7"/>
        <v>-1.0205914228208701</v>
      </c>
      <c r="N9" s="122">
        <f t="shared" si="8"/>
        <v>1</v>
      </c>
      <c r="O9" s="122">
        <f t="shared" si="9"/>
        <v>1.489399293286219</v>
      </c>
      <c r="P9" s="122">
        <f t="shared" si="10"/>
        <v>1.3475129111171513</v>
      </c>
      <c r="Q9" s="122">
        <f t="shared" si="11"/>
        <v>1.3878771405273171</v>
      </c>
      <c r="R9" s="122">
        <f t="shared" si="12"/>
        <v>1.7917912476216362</v>
      </c>
      <c r="T9" s="123">
        <f t="shared" si="13"/>
        <v>1</v>
      </c>
      <c r="U9" s="123">
        <f t="shared" si="14"/>
        <v>1.1646916475914777</v>
      </c>
      <c r="V9" s="123">
        <f t="shared" si="15"/>
        <v>1.0853843026374481</v>
      </c>
      <c r="W9" s="123">
        <f t="shared" si="16"/>
        <v>1.2393527332595742</v>
      </c>
      <c r="X9" s="123">
        <f t="shared" si="17"/>
        <v>2.0497825559182954</v>
      </c>
    </row>
    <row r="10" spans="1:25" ht="15">
      <c r="A10" s="2" t="s">
        <v>71</v>
      </c>
      <c r="B10" s="18">
        <v>-46013000</v>
      </c>
      <c r="C10" s="18">
        <v>-57537000</v>
      </c>
      <c r="D10" s="18">
        <v>-76540000</v>
      </c>
      <c r="E10" s="18">
        <v>-85618000</v>
      </c>
      <c r="F10" s="18">
        <v>-93940000</v>
      </c>
      <c r="G10" s="2"/>
      <c r="H10" s="121">
        <f t="shared" si="3"/>
        <v>-3.1136148328596565</v>
      </c>
      <c r="I10" s="121">
        <f t="shared" si="4"/>
        <v>-3.0446078950153455</v>
      </c>
      <c r="J10" s="121">
        <f t="shared" si="5"/>
        <v>-4.1717992042295746</v>
      </c>
      <c r="K10" s="121">
        <f t="shared" si="6"/>
        <v>-5.1736056559308716</v>
      </c>
      <c r="L10" s="121">
        <f t="shared" si="7"/>
        <v>-7.2720235330546528</v>
      </c>
      <c r="N10" s="122">
        <f t="shared" si="8"/>
        <v>1</v>
      </c>
      <c r="O10" s="122">
        <f t="shared" si="9"/>
        <v>1.2504509595114424</v>
      </c>
      <c r="P10" s="122">
        <f t="shared" si="10"/>
        <v>1.6634429400386848</v>
      </c>
      <c r="Q10" s="122">
        <f t="shared" si="11"/>
        <v>1.8607350096711799</v>
      </c>
      <c r="R10" s="122">
        <f t="shared" si="12"/>
        <v>2.0415969399952187</v>
      </c>
      <c r="T10" s="123">
        <f t="shared" si="13"/>
        <v>1</v>
      </c>
      <c r="U10" s="123">
        <f t="shared" si="14"/>
        <v>0.97783703458885041</v>
      </c>
      <c r="V10" s="123">
        <f t="shared" si="15"/>
        <v>1.3398571847109437</v>
      </c>
      <c r="W10" s="123">
        <f t="shared" si="16"/>
        <v>1.6616074670929175</v>
      </c>
      <c r="X10" s="123">
        <f t="shared" si="17"/>
        <v>2.335556555136193</v>
      </c>
    </row>
    <row r="11" spans="1:25" ht="15">
      <c r="A11" s="2" t="s">
        <v>72</v>
      </c>
      <c r="B11" s="18" t="s">
        <v>2</v>
      </c>
      <c r="C11" s="18" t="s">
        <v>2</v>
      </c>
      <c r="D11" s="18" t="s">
        <v>2</v>
      </c>
      <c r="E11" s="18">
        <v>240000</v>
      </c>
      <c r="F11" s="18">
        <v>99000</v>
      </c>
      <c r="G11" s="2"/>
      <c r="H11" s="121">
        <f>IFERROR(B11/B$21,0)</f>
        <v>0</v>
      </c>
      <c r="I11" s="121">
        <f t="shared" ref="I11:J11" si="19">IFERROR(C11/C$21,0)</f>
        <v>0</v>
      </c>
      <c r="J11" s="121">
        <f t="shared" si="19"/>
        <v>0</v>
      </c>
      <c r="K11" s="121">
        <f t="shared" si="6"/>
        <v>1.4502386851169256E-2</v>
      </c>
      <c r="L11" s="121">
        <f t="shared" si="7"/>
        <v>7.6637250348351137E-3</v>
      </c>
      <c r="N11" s="122">
        <f>IFERROR(B11/$B11,0)</f>
        <v>0</v>
      </c>
      <c r="O11" s="122">
        <f t="shared" ref="O11:R11" si="20">IFERROR(C11/$B11,0)</f>
        <v>0</v>
      </c>
      <c r="P11" s="122">
        <f t="shared" si="20"/>
        <v>0</v>
      </c>
      <c r="Q11" s="122">
        <f t="shared" si="20"/>
        <v>0</v>
      </c>
      <c r="R11" s="122">
        <f t="shared" si="20"/>
        <v>0</v>
      </c>
      <c r="T11" s="123">
        <f>IFERROR(H11/$H11,0)</f>
        <v>0</v>
      </c>
      <c r="U11" s="123">
        <f t="shared" ref="U11:X11" si="21">IFERROR(I11/$H11,0)</f>
        <v>0</v>
      </c>
      <c r="V11" s="123">
        <f t="shared" si="21"/>
        <v>0</v>
      </c>
      <c r="W11" s="123">
        <f t="shared" si="21"/>
        <v>0</v>
      </c>
      <c r="X11" s="123">
        <f t="shared" si="21"/>
        <v>0</v>
      </c>
    </row>
    <row r="12" spans="1:25" ht="15">
      <c r="A12" s="2" t="s">
        <v>73</v>
      </c>
      <c r="B12" s="18">
        <v>38314000</v>
      </c>
      <c r="C12" s="18">
        <v>51315000</v>
      </c>
      <c r="D12" s="18">
        <v>62905000</v>
      </c>
      <c r="E12" s="18">
        <v>67389000</v>
      </c>
      <c r="F12" s="18">
        <v>75911000</v>
      </c>
      <c r="G12" s="2"/>
      <c r="H12" s="121">
        <f t="shared" si="3"/>
        <v>2.5926377046961702</v>
      </c>
      <c r="I12" s="121">
        <f t="shared" si="4"/>
        <v>2.7153667054714785</v>
      </c>
      <c r="J12" s="121">
        <f t="shared" si="5"/>
        <v>3.4286259333951055</v>
      </c>
      <c r="K12" s="121">
        <f t="shared" si="6"/>
        <v>4.0720889479726869</v>
      </c>
      <c r="L12" s="121">
        <f t="shared" si="7"/>
        <v>5.8763740517107914</v>
      </c>
      <c r="N12" s="122">
        <f t="shared" si="8"/>
        <v>1</v>
      </c>
      <c r="O12" s="122">
        <f t="shared" si="9"/>
        <v>1.3393276609072402</v>
      </c>
      <c r="P12" s="122">
        <f t="shared" si="10"/>
        <v>1.6418280524090412</v>
      </c>
      <c r="Q12" s="122">
        <f t="shared" si="11"/>
        <v>1.7588609907605575</v>
      </c>
      <c r="R12" s="122">
        <f t="shared" si="12"/>
        <v>1.9812862139165841</v>
      </c>
      <c r="T12" s="123">
        <f t="shared" si="13"/>
        <v>1</v>
      </c>
      <c r="U12" s="123">
        <f t="shared" si="14"/>
        <v>1.0473375051797646</v>
      </c>
      <c r="V12" s="123">
        <f t="shared" si="15"/>
        <v>1.322446991797068</v>
      </c>
      <c r="W12" s="123">
        <f t="shared" si="16"/>
        <v>1.5706355502724947</v>
      </c>
      <c r="X12" s="123">
        <f t="shared" si="17"/>
        <v>2.2665619808994641</v>
      </c>
    </row>
    <row r="13" spans="1:25" ht="15">
      <c r="A13" s="2" t="s">
        <v>74</v>
      </c>
      <c r="B13" s="18">
        <v>1378000</v>
      </c>
      <c r="C13" s="18">
        <v>-3874000</v>
      </c>
      <c r="D13" s="18">
        <v>-161000</v>
      </c>
      <c r="E13" s="18">
        <v>-2964000</v>
      </c>
      <c r="F13" s="18">
        <v>-287000</v>
      </c>
      <c r="G13" s="2"/>
      <c r="H13" s="121">
        <f t="shared" si="3"/>
        <v>9.3246718094464748E-2</v>
      </c>
      <c r="I13" s="121">
        <f t="shared" si="4"/>
        <v>-0.20499523759127949</v>
      </c>
      <c r="J13" s="121">
        <f t="shared" si="5"/>
        <v>-8.7752766119801595E-3</v>
      </c>
      <c r="K13" s="121">
        <f t="shared" si="6"/>
        <v>-0.17910447761194029</v>
      </c>
      <c r="L13" s="121">
        <f t="shared" si="7"/>
        <v>-2.2217061464623006E-2</v>
      </c>
      <c r="N13" s="122">
        <f t="shared" si="8"/>
        <v>1</v>
      </c>
      <c r="O13" s="122">
        <f t="shared" si="9"/>
        <v>-2.8113207547169812</v>
      </c>
      <c r="P13" s="122">
        <f t="shared" si="10"/>
        <v>-0.11683599419448476</v>
      </c>
      <c r="Q13" s="122">
        <f t="shared" si="11"/>
        <v>-2.1509433962264151</v>
      </c>
      <c r="R13" s="122">
        <f t="shared" si="12"/>
        <v>-0.20827285921625543</v>
      </c>
      <c r="T13" s="123">
        <f t="shared" si="13"/>
        <v>1</v>
      </c>
      <c r="U13" s="123">
        <f t="shared" si="14"/>
        <v>-2.1984177221508912</v>
      </c>
      <c r="V13" s="123">
        <f t="shared" si="15"/>
        <v>-9.4108155131961385E-2</v>
      </c>
      <c r="W13" s="123">
        <f t="shared" si="16"/>
        <v>-1.9207590494551912</v>
      </c>
      <c r="X13" s="123">
        <f t="shared" si="17"/>
        <v>-0.2382610553876624</v>
      </c>
    </row>
    <row r="14" spans="1:25" ht="14" thickBot="1">
      <c r="A14" s="13" t="s">
        <v>75</v>
      </c>
      <c r="B14" s="7">
        <f>SUM(B9:B13)</f>
        <v>-13679000</v>
      </c>
      <c r="C14" s="7">
        <f t="shared" ref="C14:F14" si="22">SUM(C9:C13)</f>
        <v>-21055000</v>
      </c>
      <c r="D14" s="7">
        <f t="shared" si="22"/>
        <v>-23711000</v>
      </c>
      <c r="E14" s="7">
        <f t="shared" si="22"/>
        <v>-31165000</v>
      </c>
      <c r="F14" s="7">
        <f t="shared" si="22"/>
        <v>-31401000</v>
      </c>
      <c r="G14" s="2"/>
      <c r="H14" s="121">
        <f t="shared" si="3"/>
        <v>-0.92563269725267294</v>
      </c>
      <c r="I14" s="121">
        <f t="shared" si="4"/>
        <v>-1.1141390623346386</v>
      </c>
      <c r="J14" s="121">
        <f t="shared" si="5"/>
        <v>-1.2923638742028669</v>
      </c>
      <c r="K14" s="121">
        <f t="shared" si="6"/>
        <v>-1.8831953592362076</v>
      </c>
      <c r="L14" s="121">
        <f t="shared" si="7"/>
        <v>-2.4307942405945191</v>
      </c>
      <c r="N14" s="122">
        <f t="shared" si="8"/>
        <v>1</v>
      </c>
      <c r="O14" s="122">
        <f t="shared" si="9"/>
        <v>1.5392207032677827</v>
      </c>
      <c r="P14" s="122">
        <f t="shared" si="10"/>
        <v>1.7333869434900211</v>
      </c>
      <c r="Q14" s="122">
        <f t="shared" si="11"/>
        <v>2.2783098179691499</v>
      </c>
      <c r="R14" s="122">
        <f t="shared" si="12"/>
        <v>2.2955625411214271</v>
      </c>
      <c r="T14" s="123">
        <f t="shared" si="13"/>
        <v>1</v>
      </c>
      <c r="U14" s="123">
        <f t="shared" si="14"/>
        <v>1.2036513680226104</v>
      </c>
      <c r="V14" s="123">
        <f t="shared" si="15"/>
        <v>1.3961951409437801</v>
      </c>
      <c r="W14" s="123">
        <f t="shared" si="16"/>
        <v>2.0344952861168708</v>
      </c>
      <c r="X14" s="123">
        <f t="shared" si="17"/>
        <v>2.6260894281384459</v>
      </c>
    </row>
    <row r="15" spans="1:25" ht="16" thickTop="1">
      <c r="A15" s="2" t="s">
        <v>76</v>
      </c>
      <c r="B15" s="18">
        <v>-557000</v>
      </c>
      <c r="C15" s="18">
        <v>-18000</v>
      </c>
      <c r="D15" s="18">
        <v>-1850000</v>
      </c>
      <c r="E15" s="18">
        <v>-5028000</v>
      </c>
      <c r="F15" s="18">
        <v>-4932000</v>
      </c>
      <c r="G15" s="2"/>
      <c r="H15" s="121">
        <f t="shared" si="3"/>
        <v>-3.7691162538909188E-2</v>
      </c>
      <c r="I15" s="121">
        <f t="shared" si="4"/>
        <v>-9.5248174409990477E-4</v>
      </c>
      <c r="J15" s="121">
        <f t="shared" si="5"/>
        <v>-0.1008339238022565</v>
      </c>
      <c r="K15" s="121">
        <f t="shared" si="6"/>
        <v>-0.3038250045319959</v>
      </c>
      <c r="L15" s="121">
        <f t="shared" si="7"/>
        <v>-0.38179284718996748</v>
      </c>
      <c r="N15" s="122">
        <f t="shared" si="8"/>
        <v>1</v>
      </c>
      <c r="O15" s="122">
        <f t="shared" si="9"/>
        <v>3.231597845601436E-2</v>
      </c>
      <c r="P15" s="122">
        <f t="shared" si="10"/>
        <v>3.3213644524236985</v>
      </c>
      <c r="Q15" s="122">
        <f t="shared" si="11"/>
        <v>9.0269299820466795</v>
      </c>
      <c r="R15" s="122">
        <f t="shared" si="12"/>
        <v>8.854578096947936</v>
      </c>
      <c r="T15" s="123">
        <f t="shared" si="13"/>
        <v>1</v>
      </c>
      <c r="U15" s="123">
        <f t="shared" si="14"/>
        <v>2.5270691587627278E-2</v>
      </c>
      <c r="V15" s="123">
        <f t="shared" si="15"/>
        <v>2.6752670124771036</v>
      </c>
      <c r="W15" s="123">
        <f t="shared" si="16"/>
        <v>8.0609082890014996</v>
      </c>
      <c r="X15" s="123">
        <f t="shared" si="17"/>
        <v>10.129505737474577</v>
      </c>
    </row>
    <row r="16" spans="1:25" ht="15">
      <c r="A16" s="2" t="s">
        <v>77</v>
      </c>
      <c r="B16" s="18">
        <v>-781000</v>
      </c>
      <c r="C16" s="18">
        <v>-2069000</v>
      </c>
      <c r="D16" s="18">
        <v>-2375000</v>
      </c>
      <c r="E16" s="18">
        <v>-3304000</v>
      </c>
      <c r="F16" s="18">
        <v>-3366000</v>
      </c>
      <c r="G16" s="2"/>
      <c r="H16" s="121">
        <f t="shared" si="3"/>
        <v>-5.2848829340912166E-2</v>
      </c>
      <c r="I16" s="121">
        <f t="shared" si="4"/>
        <v>-0.10948248491903906</v>
      </c>
      <c r="J16" s="121">
        <f t="shared" si="5"/>
        <v>-0.12944895623262659</v>
      </c>
      <c r="K16" s="121">
        <f t="shared" si="6"/>
        <v>-0.19964952565109675</v>
      </c>
      <c r="L16" s="121">
        <f t="shared" si="7"/>
        <v>-0.26056665118439387</v>
      </c>
      <c r="N16" s="122">
        <f t="shared" si="8"/>
        <v>1</v>
      </c>
      <c r="O16" s="122">
        <f t="shared" si="9"/>
        <v>2.6491677336747759</v>
      </c>
      <c r="P16" s="122">
        <f t="shared" si="10"/>
        <v>3.0409731113956466</v>
      </c>
      <c r="Q16" s="122">
        <f t="shared" si="11"/>
        <v>4.2304737516005124</v>
      </c>
      <c r="R16" s="122">
        <f t="shared" si="12"/>
        <v>4.3098591549295771</v>
      </c>
      <c r="T16" s="123">
        <f t="shared" si="13"/>
        <v>1</v>
      </c>
      <c r="U16" s="123">
        <f t="shared" si="14"/>
        <v>2.0716160846780527</v>
      </c>
      <c r="V16" s="123">
        <f t="shared" si="15"/>
        <v>2.4494195585220946</v>
      </c>
      <c r="W16" s="123">
        <f t="shared" si="16"/>
        <v>3.7777473624480256</v>
      </c>
      <c r="X16" s="123">
        <f t="shared" si="17"/>
        <v>4.9304148158808871</v>
      </c>
    </row>
    <row r="17" spans="1:24" ht="15">
      <c r="A17" s="2" t="s">
        <v>78</v>
      </c>
      <c r="B17" s="18">
        <v>481000</v>
      </c>
      <c r="C17" s="18">
        <v>648000</v>
      </c>
      <c r="D17" s="18">
        <v>548000</v>
      </c>
      <c r="E17" s="18">
        <v>0</v>
      </c>
      <c r="F17" s="18">
        <v>0</v>
      </c>
      <c r="G17" s="2"/>
      <c r="H17" s="121">
        <f t="shared" si="3"/>
        <v>3.2548382731086747E-2</v>
      </c>
      <c r="I17" s="121">
        <f t="shared" si="4"/>
        <v>3.4289342787596572E-2</v>
      </c>
      <c r="J17" s="121">
        <f t="shared" si="5"/>
        <v>2.9868643374938681E-2</v>
      </c>
      <c r="K17" s="121">
        <f t="shared" si="6"/>
        <v>0</v>
      </c>
      <c r="L17" s="121">
        <f t="shared" si="7"/>
        <v>0</v>
      </c>
      <c r="N17" s="122">
        <f t="shared" si="8"/>
        <v>1</v>
      </c>
      <c r="O17" s="122">
        <f t="shared" si="9"/>
        <v>1.3471933471933473</v>
      </c>
      <c r="P17" s="122">
        <f t="shared" si="10"/>
        <v>1.1392931392931394</v>
      </c>
      <c r="Q17" s="122">
        <f t="shared" si="11"/>
        <v>0</v>
      </c>
      <c r="R17" s="122">
        <f t="shared" si="12"/>
        <v>0</v>
      </c>
      <c r="T17" s="123">
        <f t="shared" si="13"/>
        <v>1</v>
      </c>
      <c r="U17" s="123">
        <f t="shared" si="14"/>
        <v>1.0534883736280711</v>
      </c>
      <c r="V17" s="123">
        <f t="shared" si="15"/>
        <v>0.91766904739052779</v>
      </c>
      <c r="W17" s="123">
        <f t="shared" si="16"/>
        <v>0</v>
      </c>
      <c r="X17" s="123">
        <f t="shared" si="17"/>
        <v>0</v>
      </c>
    </row>
    <row r="18" spans="1:24" ht="14" thickBot="1">
      <c r="A18" s="13" t="s">
        <v>79</v>
      </c>
      <c r="B18" s="7">
        <f>SUM(B15:B17)</f>
        <v>-857000</v>
      </c>
      <c r="C18" s="7">
        <f t="shared" ref="C18:F18" si="23">SUM(C15:C17)</f>
        <v>-1439000</v>
      </c>
      <c r="D18" s="7">
        <f t="shared" si="23"/>
        <v>-3677000</v>
      </c>
      <c r="E18" s="7">
        <f t="shared" si="23"/>
        <v>-8332000</v>
      </c>
      <c r="F18" s="7">
        <f t="shared" si="23"/>
        <v>-8298000</v>
      </c>
      <c r="G18" s="2"/>
      <c r="H18" s="121">
        <f t="shared" si="3"/>
        <v>-5.7991609148734607E-2</v>
      </c>
      <c r="I18" s="121">
        <f t="shared" si="4"/>
        <v>-7.6145623875542384E-2</v>
      </c>
      <c r="J18" s="121">
        <f t="shared" si="5"/>
        <v>-0.2004142366599444</v>
      </c>
      <c r="K18" s="121">
        <f t="shared" si="6"/>
        <v>-0.50347453018309263</v>
      </c>
      <c r="L18" s="121">
        <f t="shared" si="7"/>
        <v>-0.64235949837436135</v>
      </c>
      <c r="N18" s="122">
        <f t="shared" si="8"/>
        <v>1</v>
      </c>
      <c r="O18" s="122">
        <f t="shared" si="9"/>
        <v>1.6791131855309218</v>
      </c>
      <c r="P18" s="122">
        <f t="shared" si="10"/>
        <v>4.2905484247374561</v>
      </c>
      <c r="Q18" s="122">
        <f t="shared" si="11"/>
        <v>9.7222870478413075</v>
      </c>
      <c r="R18" s="122">
        <f t="shared" si="12"/>
        <v>9.6826137689614935</v>
      </c>
      <c r="T18" s="123">
        <f t="shared" si="13"/>
        <v>1</v>
      </c>
      <c r="U18" s="123">
        <f t="shared" si="14"/>
        <v>1.3130455421619198</v>
      </c>
      <c r="V18" s="123">
        <f t="shared" si="15"/>
        <v>3.4559178405608613</v>
      </c>
      <c r="W18" s="123">
        <f t="shared" si="16"/>
        <v>8.6818513501117192</v>
      </c>
      <c r="X18" s="123">
        <f t="shared" si="17"/>
        <v>11.076766239178893</v>
      </c>
    </row>
    <row r="19" spans="1:24" ht="14" thickTop="1">
      <c r="A19" s="2" t="s">
        <v>80</v>
      </c>
      <c r="B19" s="4">
        <v>-3000</v>
      </c>
      <c r="C19" s="4">
        <v>-433000</v>
      </c>
      <c r="D19" s="4">
        <v>-434000</v>
      </c>
      <c r="E19" s="4">
        <v>-170000</v>
      </c>
      <c r="F19" s="4">
        <v>405000</v>
      </c>
      <c r="G19" s="2"/>
      <c r="H19" s="121">
        <f t="shared" si="3"/>
        <v>-2.0300446609825416E-4</v>
      </c>
      <c r="I19" s="121">
        <f t="shared" si="4"/>
        <v>-2.2912477510847708E-2</v>
      </c>
      <c r="J19" s="121">
        <f t="shared" si="5"/>
        <v>-2.3655093475772607E-2</v>
      </c>
      <c r="K19" s="121">
        <f t="shared" si="6"/>
        <v>-1.0272524019578223E-2</v>
      </c>
      <c r="L19" s="121">
        <f t="shared" si="7"/>
        <v>3.1351602415234554E-2</v>
      </c>
      <c r="N19" s="122">
        <f t="shared" si="8"/>
        <v>1</v>
      </c>
      <c r="O19" s="122">
        <f t="shared" si="9"/>
        <v>144.33333333333334</v>
      </c>
      <c r="P19" s="122">
        <f t="shared" si="10"/>
        <v>144.66666666666666</v>
      </c>
      <c r="Q19" s="122">
        <f t="shared" si="11"/>
        <v>56.666666666666664</v>
      </c>
      <c r="R19" s="122">
        <f t="shared" si="12"/>
        <v>-135</v>
      </c>
      <c r="T19" s="123">
        <f t="shared" si="13"/>
        <v>1</v>
      </c>
      <c r="U19" s="123">
        <f t="shared" si="14"/>
        <v>112.86686421843581</v>
      </c>
      <c r="V19" s="123">
        <f t="shared" si="15"/>
        <v>116.52499046165586</v>
      </c>
      <c r="W19" s="123">
        <f t="shared" si="16"/>
        <v>50.602453320442322</v>
      </c>
      <c r="X19" s="123">
        <f t="shared" si="17"/>
        <v>-154.4379934974454</v>
      </c>
    </row>
    <row r="20" spans="1:24">
      <c r="A20" s="2" t="s">
        <v>81</v>
      </c>
      <c r="B20" s="4">
        <v>4120000</v>
      </c>
      <c r="C20" s="4">
        <v>-551000</v>
      </c>
      <c r="D20" s="4">
        <v>-1798000</v>
      </c>
      <c r="E20" s="4">
        <v>-3631000</v>
      </c>
      <c r="F20" s="4">
        <v>-2203000</v>
      </c>
      <c r="G20" s="2"/>
      <c r="H20" s="121">
        <f t="shared" si="3"/>
        <v>0.27879280010826907</v>
      </c>
      <c r="I20" s="121">
        <f t="shared" si="4"/>
        <v>-2.9156524499947083E-2</v>
      </c>
      <c r="J20" s="121">
        <f t="shared" si="5"/>
        <v>-9.7999672971057938E-2</v>
      </c>
      <c r="K20" s="121">
        <f t="shared" si="6"/>
        <v>-0.21940902773581486</v>
      </c>
      <c r="L20" s="121">
        <f t="shared" si="7"/>
        <v>-0.17053723486607833</v>
      </c>
      <c r="N20" s="122">
        <f t="shared" si="8"/>
        <v>1</v>
      </c>
      <c r="O20" s="122">
        <f t="shared" si="9"/>
        <v>-0.13373786407766991</v>
      </c>
      <c r="P20" s="122">
        <f t="shared" si="10"/>
        <v>-0.43640776699029127</v>
      </c>
      <c r="Q20" s="122">
        <f t="shared" si="11"/>
        <v>-0.88131067961165044</v>
      </c>
      <c r="R20" s="122">
        <f t="shared" si="12"/>
        <v>-0.53470873786407769</v>
      </c>
      <c r="T20" s="123">
        <f t="shared" si="13"/>
        <v>1</v>
      </c>
      <c r="U20" s="123">
        <f t="shared" si="14"/>
        <v>-0.10458133957772281</v>
      </c>
      <c r="V20" s="123">
        <f t="shared" si="15"/>
        <v>-0.35151436096269273</v>
      </c>
      <c r="W20" s="123">
        <f t="shared" si="16"/>
        <v>-0.78699675045627959</v>
      </c>
      <c r="X20" s="123">
        <f t="shared" si="17"/>
        <v>-0.61169884875021974</v>
      </c>
    </row>
    <row r="21" spans="1:24">
      <c r="A21" s="2" t="s">
        <v>82</v>
      </c>
      <c r="B21" s="4">
        <v>14778000</v>
      </c>
      <c r="C21" s="4">
        <v>18898000</v>
      </c>
      <c r="D21" s="4">
        <v>18347000</v>
      </c>
      <c r="E21" s="4">
        <v>16549000</v>
      </c>
      <c r="F21" s="4">
        <v>12918000</v>
      </c>
      <c r="G21" s="2"/>
      <c r="H21" s="121">
        <f t="shared" si="3"/>
        <v>1</v>
      </c>
      <c r="I21" s="121">
        <f t="shared" si="4"/>
        <v>1</v>
      </c>
      <c r="J21" s="121">
        <f t="shared" si="5"/>
        <v>1</v>
      </c>
      <c r="K21" s="121">
        <f t="shared" si="6"/>
        <v>1</v>
      </c>
      <c r="L21" s="121">
        <f t="shared" si="7"/>
        <v>1</v>
      </c>
      <c r="N21" s="122">
        <f t="shared" si="8"/>
        <v>1</v>
      </c>
      <c r="O21" s="122">
        <f t="shared" si="9"/>
        <v>1.2787928001082691</v>
      </c>
      <c r="P21" s="122">
        <f t="shared" si="10"/>
        <v>1.2415076465015564</v>
      </c>
      <c r="Q21" s="122">
        <f t="shared" si="11"/>
        <v>1.1198403031533359</v>
      </c>
      <c r="R21" s="122">
        <f t="shared" si="12"/>
        <v>0.87413723101908247</v>
      </c>
      <c r="T21" s="123">
        <f t="shared" si="13"/>
        <v>1</v>
      </c>
      <c r="U21" s="123">
        <f t="shared" si="14"/>
        <v>1</v>
      </c>
      <c r="V21" s="123">
        <f t="shared" si="15"/>
        <v>1</v>
      </c>
      <c r="W21" s="123">
        <f t="shared" si="16"/>
        <v>1</v>
      </c>
      <c r="X21" s="123">
        <f t="shared" si="17"/>
        <v>1</v>
      </c>
    </row>
    <row r="22" spans="1:24">
      <c r="A22" s="2" t="s">
        <v>83</v>
      </c>
      <c r="B22" s="4">
        <v>18898000</v>
      </c>
      <c r="C22" s="4">
        <v>18347000</v>
      </c>
      <c r="D22" s="4">
        <v>16549000</v>
      </c>
      <c r="E22" s="4">
        <v>12918000</v>
      </c>
      <c r="F22" s="4">
        <v>10715000</v>
      </c>
      <c r="G22" s="2"/>
      <c r="H22" s="121">
        <f t="shared" si="3"/>
        <v>1.2787928001082691</v>
      </c>
      <c r="I22" s="121">
        <f t="shared" si="4"/>
        <v>0.9708434755000529</v>
      </c>
      <c r="J22" s="121">
        <f t="shared" si="5"/>
        <v>0.90200032702894206</v>
      </c>
      <c r="K22" s="121">
        <f t="shared" si="6"/>
        <v>0.78059097226418517</v>
      </c>
      <c r="L22" s="121">
        <f t="shared" si="7"/>
        <v>0.8294627651339217</v>
      </c>
      <c r="N22" s="122">
        <f t="shared" si="8"/>
        <v>1</v>
      </c>
      <c r="O22" s="122">
        <f t="shared" si="9"/>
        <v>0.9708434755000529</v>
      </c>
      <c r="P22" s="122">
        <f t="shared" si="10"/>
        <v>0.87570113239496239</v>
      </c>
      <c r="Q22" s="122">
        <f t="shared" si="11"/>
        <v>0.6835643983490316</v>
      </c>
      <c r="R22" s="122">
        <f t="shared" si="12"/>
        <v>0.56699121600169333</v>
      </c>
      <c r="T22" s="123">
        <f t="shared" si="13"/>
        <v>1</v>
      </c>
      <c r="U22" s="123">
        <f t="shared" si="14"/>
        <v>0.75918747385648111</v>
      </c>
      <c r="V22" s="123">
        <f t="shared" si="15"/>
        <v>0.70535299147178032</v>
      </c>
      <c r="W22" s="123">
        <f t="shared" si="16"/>
        <v>0.61041239221717258</v>
      </c>
      <c r="X22" s="123">
        <f t="shared" si="17"/>
        <v>0.64862952392576434</v>
      </c>
    </row>
    <row r="23" spans="1:24">
      <c r="A23" s="2" t="s">
        <v>84</v>
      </c>
      <c r="B23" s="4">
        <v>3939000</v>
      </c>
      <c r="C23" s="4">
        <v>4979000</v>
      </c>
      <c r="D23" s="4">
        <v>5063000</v>
      </c>
      <c r="E23" s="4">
        <v>6144000</v>
      </c>
      <c r="F23" s="4">
        <v>6915000</v>
      </c>
      <c r="G23" s="2"/>
      <c r="H23" s="121">
        <f t="shared" si="3"/>
        <v>0.26654486398700772</v>
      </c>
      <c r="I23" s="121">
        <f t="shared" si="4"/>
        <v>0.26346703354852363</v>
      </c>
      <c r="J23" s="121">
        <f t="shared" si="5"/>
        <v>0.27595792227612143</v>
      </c>
      <c r="K23" s="121">
        <f t="shared" si="6"/>
        <v>0.3712611033899329</v>
      </c>
      <c r="L23" s="121">
        <f t="shared" si="7"/>
        <v>0.53529958197863448</v>
      </c>
      <c r="N23" s="122">
        <f t="shared" si="8"/>
        <v>1</v>
      </c>
      <c r="O23" s="122">
        <f t="shared" si="9"/>
        <v>1.2640264026402641</v>
      </c>
      <c r="P23" s="122">
        <f t="shared" si="10"/>
        <v>1.2853516120842854</v>
      </c>
      <c r="Q23" s="122">
        <f t="shared" si="11"/>
        <v>1.5597867479055598</v>
      </c>
      <c r="R23" s="122">
        <f t="shared" si="12"/>
        <v>1.7555217060167556</v>
      </c>
      <c r="T23" s="123">
        <f t="shared" si="13"/>
        <v>1</v>
      </c>
      <c r="U23" s="123">
        <f t="shared" si="14"/>
        <v>0.98845286158417933</v>
      </c>
      <c r="V23" s="123">
        <f t="shared" si="15"/>
        <v>1.0353150991105666</v>
      </c>
      <c r="W23" s="123">
        <f t="shared" si="16"/>
        <v>1.392865342954158</v>
      </c>
      <c r="X23" s="123">
        <f t="shared" si="17"/>
        <v>2.0082907393958518</v>
      </c>
    </row>
    <row r="24" spans="1:24">
      <c r="A24" s="2" t="s">
        <v>85</v>
      </c>
      <c r="B24" s="4">
        <v>-7358000</v>
      </c>
      <c r="C24" s="4">
        <v>-10959000</v>
      </c>
      <c r="D24" s="4">
        <v>-9915000</v>
      </c>
      <c r="E24" s="4">
        <v>-9972000</v>
      </c>
      <c r="F24" s="4">
        <v>-13085000</v>
      </c>
      <c r="G24" s="2"/>
      <c r="H24" s="121">
        <f t="shared" si="3"/>
        <v>-0.49790228718365137</v>
      </c>
      <c r="I24" s="121">
        <f t="shared" si="4"/>
        <v>-0.57990263519949203</v>
      </c>
      <c r="J24" s="121">
        <f t="shared" si="5"/>
        <v>-0.5404153267564179</v>
      </c>
      <c r="K24" s="121">
        <f t="shared" si="6"/>
        <v>-0.60257417366608257</v>
      </c>
      <c r="L24" s="121">
        <f t="shared" si="7"/>
        <v>-1.0129276977860351</v>
      </c>
      <c r="N24" s="122">
        <f t="shared" si="8"/>
        <v>1</v>
      </c>
      <c r="O24" s="122">
        <f t="shared" si="9"/>
        <v>1.489399293286219</v>
      </c>
      <c r="P24" s="122">
        <f t="shared" si="10"/>
        <v>1.3475129111171513</v>
      </c>
      <c r="Q24" s="122">
        <f t="shared" si="11"/>
        <v>1.3552595814079913</v>
      </c>
      <c r="R24" s="122">
        <f t="shared" si="12"/>
        <v>1.7783365044849144</v>
      </c>
      <c r="T24" s="123">
        <f t="shared" si="13"/>
        <v>1</v>
      </c>
      <c r="U24" s="123">
        <f t="shared" si="14"/>
        <v>1.1646916475914777</v>
      </c>
      <c r="V24" s="123">
        <f t="shared" si="15"/>
        <v>1.0853843026374481</v>
      </c>
      <c r="W24" s="123">
        <f t="shared" si="16"/>
        <v>1.2102257595049426</v>
      </c>
      <c r="X24" s="123">
        <f t="shared" si="17"/>
        <v>2.0343905297474891</v>
      </c>
    </row>
  </sheetData>
  <mergeCells count="6">
    <mergeCell ref="A2:F2"/>
    <mergeCell ref="A1:F1"/>
    <mergeCell ref="H1:Y1"/>
    <mergeCell ref="H2:M2"/>
    <mergeCell ref="N2:S2"/>
    <mergeCell ref="T2:Y2"/>
  </mergeCells>
  <printOptions gridLines="1" gridLinesSet="0"/>
  <pageMargins left="0.75" right="0.75" top="1" bottom="1" header="0.5" footer="0.5"/>
  <pageSetup paperSize="0" fitToWidth="0" fitToHeight="0" orientation="portrait"/>
  <headerFooter alignWithMargins="0"/>
  <extLst>
    <ext xmlns:x14="http://schemas.microsoft.com/office/spreadsheetml/2009/9/main" uri="{05C60535-1F16-4fd2-B633-F4F36F0B64E0}">
      <x14:sparklineGroups xmlns:xm="http://schemas.microsoft.com/office/excel/2006/main">
        <x14:sparklineGroup displayEmptyCellsAs="gap" xr2:uid="{00000000-0003-0000-0600-000009000000}">
          <x14:colorSeries rgb="FF376092"/>
          <x14:colorNegative rgb="FFD00000"/>
          <x14:colorAxis rgb="FF000000"/>
          <x14:colorMarkers rgb="FFD00000"/>
          <x14:colorFirst rgb="FFD00000"/>
          <x14:colorLast rgb="FFD00000"/>
          <x14:colorHigh rgb="FFD00000"/>
          <x14:colorLow rgb="FFD00000"/>
          <x14:sparklines>
            <x14:sparkline>
              <xm:f>'Statement of Cash Flows'!H4:L4</xm:f>
              <xm:sqref>M4</xm:sqref>
            </x14:sparkline>
            <x14:sparkline>
              <xm:f>'Statement of Cash Flows'!H5:L5</xm:f>
              <xm:sqref>M5</xm:sqref>
            </x14:sparkline>
            <x14:sparkline>
              <xm:f>'Statement of Cash Flows'!H6:L6</xm:f>
              <xm:sqref>M6</xm:sqref>
            </x14:sparkline>
            <x14:sparkline>
              <xm:f>'Statement of Cash Flows'!H7:L7</xm:f>
              <xm:sqref>M7</xm:sqref>
            </x14:sparkline>
            <x14:sparkline>
              <xm:f>'Statement of Cash Flows'!H8:L8</xm:f>
              <xm:sqref>M8</xm:sqref>
            </x14:sparkline>
            <x14:sparkline>
              <xm:f>'Statement of Cash Flows'!H9:L9</xm:f>
              <xm:sqref>M9</xm:sqref>
            </x14:sparkline>
            <x14:sparkline>
              <xm:f>'Statement of Cash Flows'!H10:L10</xm:f>
              <xm:sqref>M10</xm:sqref>
            </x14:sparkline>
            <x14:sparkline>
              <xm:f>'Statement of Cash Flows'!H11:L11</xm:f>
              <xm:sqref>M11</xm:sqref>
            </x14:sparkline>
            <x14:sparkline>
              <xm:f>'Statement of Cash Flows'!H12:L12</xm:f>
              <xm:sqref>M12</xm:sqref>
            </x14:sparkline>
            <x14:sparkline>
              <xm:f>'Statement of Cash Flows'!H13:L13</xm:f>
              <xm:sqref>M13</xm:sqref>
            </x14:sparkline>
            <x14:sparkline>
              <xm:f>'Statement of Cash Flows'!H14:L14</xm:f>
              <xm:sqref>M14</xm:sqref>
            </x14:sparkline>
            <x14:sparkline>
              <xm:f>'Statement of Cash Flows'!H15:L15</xm:f>
              <xm:sqref>M15</xm:sqref>
            </x14:sparkline>
            <x14:sparkline>
              <xm:f>'Statement of Cash Flows'!H16:L16</xm:f>
              <xm:sqref>M16</xm:sqref>
            </x14:sparkline>
            <x14:sparkline>
              <xm:f>'Statement of Cash Flows'!H17:L17</xm:f>
              <xm:sqref>M17</xm:sqref>
            </x14:sparkline>
            <x14:sparkline>
              <xm:f>'Statement of Cash Flows'!H18:L18</xm:f>
              <xm:sqref>M18</xm:sqref>
            </x14:sparkline>
            <x14:sparkline>
              <xm:f>'Statement of Cash Flows'!H19:L19</xm:f>
              <xm:sqref>M19</xm:sqref>
            </x14:sparkline>
            <x14:sparkline>
              <xm:f>'Statement of Cash Flows'!H20:L20</xm:f>
              <xm:sqref>M20</xm:sqref>
            </x14:sparkline>
            <x14:sparkline>
              <xm:f>'Statement of Cash Flows'!H21:L21</xm:f>
              <xm:sqref>M21</xm:sqref>
            </x14:sparkline>
            <x14:sparkline>
              <xm:f>'Statement of Cash Flows'!H22:L22</xm:f>
              <xm:sqref>M22</xm:sqref>
            </x14:sparkline>
            <x14:sparkline>
              <xm:f>'Statement of Cash Flows'!H23:L23</xm:f>
              <xm:sqref>M23</xm:sqref>
            </x14:sparkline>
            <x14:sparkline>
              <xm:f>'Statement of Cash Flows'!H24:L24</xm:f>
              <xm:sqref>M24</xm:sqref>
            </x14:sparkline>
          </x14:sparklines>
        </x14:sparklineGroup>
        <x14:sparklineGroup displayEmptyCellsAs="gap" xr2:uid="{00000000-0003-0000-0600-00000A000000}">
          <x14:colorSeries rgb="FF376092"/>
          <x14:colorNegative rgb="FFD00000"/>
          <x14:colorAxis rgb="FF000000"/>
          <x14:colorMarkers rgb="FFD00000"/>
          <x14:colorFirst rgb="FFD00000"/>
          <x14:colorLast rgb="FFD00000"/>
          <x14:colorHigh rgb="FFD00000"/>
          <x14:colorLow rgb="FFD00000"/>
          <x14:sparklines>
            <x14:sparkline>
              <xm:f>'Statement of Cash Flows'!N4:R4</xm:f>
              <xm:sqref>S4</xm:sqref>
            </x14:sparkline>
            <x14:sparkline>
              <xm:f>'Statement of Cash Flows'!N5:R5</xm:f>
              <xm:sqref>S5</xm:sqref>
            </x14:sparkline>
            <x14:sparkline>
              <xm:f>'Statement of Cash Flows'!N6:R6</xm:f>
              <xm:sqref>S6</xm:sqref>
            </x14:sparkline>
            <x14:sparkline>
              <xm:f>'Statement of Cash Flows'!N7:R7</xm:f>
              <xm:sqref>S7</xm:sqref>
            </x14:sparkline>
            <x14:sparkline>
              <xm:f>'Statement of Cash Flows'!N8:R8</xm:f>
              <xm:sqref>S8</xm:sqref>
            </x14:sparkline>
            <x14:sparkline>
              <xm:f>'Statement of Cash Flows'!N9:R9</xm:f>
              <xm:sqref>S9</xm:sqref>
            </x14:sparkline>
            <x14:sparkline>
              <xm:f>'Statement of Cash Flows'!N10:R10</xm:f>
              <xm:sqref>S10</xm:sqref>
            </x14:sparkline>
            <x14:sparkline>
              <xm:f>'Statement of Cash Flows'!N11:R11</xm:f>
              <xm:sqref>S11</xm:sqref>
            </x14:sparkline>
            <x14:sparkline>
              <xm:f>'Statement of Cash Flows'!N12:R12</xm:f>
              <xm:sqref>S12</xm:sqref>
            </x14:sparkline>
            <x14:sparkline>
              <xm:f>'Statement of Cash Flows'!N13:R13</xm:f>
              <xm:sqref>S13</xm:sqref>
            </x14:sparkline>
            <x14:sparkline>
              <xm:f>'Statement of Cash Flows'!N14:R14</xm:f>
              <xm:sqref>S14</xm:sqref>
            </x14:sparkline>
            <x14:sparkline>
              <xm:f>'Statement of Cash Flows'!N15:R15</xm:f>
              <xm:sqref>S15</xm:sqref>
            </x14:sparkline>
            <x14:sparkline>
              <xm:f>'Statement of Cash Flows'!N16:R16</xm:f>
              <xm:sqref>S16</xm:sqref>
            </x14:sparkline>
            <x14:sparkline>
              <xm:f>'Statement of Cash Flows'!N17:R17</xm:f>
              <xm:sqref>S17</xm:sqref>
            </x14:sparkline>
            <x14:sparkline>
              <xm:f>'Statement of Cash Flows'!N18:R18</xm:f>
              <xm:sqref>S18</xm:sqref>
            </x14:sparkline>
            <x14:sparkline>
              <xm:f>'Statement of Cash Flows'!N19:R19</xm:f>
              <xm:sqref>S19</xm:sqref>
            </x14:sparkline>
            <x14:sparkline>
              <xm:f>'Statement of Cash Flows'!N20:R20</xm:f>
              <xm:sqref>S20</xm:sqref>
            </x14:sparkline>
            <x14:sparkline>
              <xm:f>'Statement of Cash Flows'!N21:R21</xm:f>
              <xm:sqref>S21</xm:sqref>
            </x14:sparkline>
            <x14:sparkline>
              <xm:f>'Statement of Cash Flows'!N22:R22</xm:f>
              <xm:sqref>S22</xm:sqref>
            </x14:sparkline>
            <x14:sparkline>
              <xm:f>'Statement of Cash Flows'!N23:R23</xm:f>
              <xm:sqref>S23</xm:sqref>
            </x14:sparkline>
            <x14:sparkline>
              <xm:f>'Statement of Cash Flows'!N24:R24</xm:f>
              <xm:sqref>S24</xm:sqref>
            </x14:sparkline>
          </x14:sparklines>
        </x14:sparklineGroup>
        <x14:sparklineGroup displayEmptyCellsAs="gap" xr2:uid="{00000000-0003-0000-0600-00000B000000}">
          <x14:colorSeries rgb="FF376092"/>
          <x14:colorNegative rgb="FFD00000"/>
          <x14:colorAxis rgb="FF000000"/>
          <x14:colorMarkers rgb="FFD00000"/>
          <x14:colorFirst rgb="FFD00000"/>
          <x14:colorLast rgb="FFD00000"/>
          <x14:colorHigh rgb="FFD00000"/>
          <x14:colorLow rgb="FFD00000"/>
          <x14:sparklines>
            <x14:sparkline>
              <xm:f>'Statement of Cash Flows'!T4:X4</xm:f>
              <xm:sqref>Y4</xm:sqref>
            </x14:sparkline>
            <x14:sparkline>
              <xm:f>'Statement of Cash Flows'!T5:X5</xm:f>
              <xm:sqref>Y5</xm:sqref>
            </x14:sparkline>
            <x14:sparkline>
              <xm:f>'Statement of Cash Flows'!T6:X6</xm:f>
              <xm:sqref>Y6</xm:sqref>
            </x14:sparkline>
            <x14:sparkline>
              <xm:f>'Statement of Cash Flows'!T7:X7</xm:f>
              <xm:sqref>Y7</xm:sqref>
            </x14:sparkline>
            <x14:sparkline>
              <xm:f>'Statement of Cash Flows'!T8:X8</xm:f>
              <xm:sqref>Y8</xm:sqref>
            </x14:sparkline>
            <x14:sparkline>
              <xm:f>'Statement of Cash Flows'!T9:X9</xm:f>
              <xm:sqref>Y9</xm:sqref>
            </x14:sparkline>
            <x14:sparkline>
              <xm:f>'Statement of Cash Flows'!T10:X10</xm:f>
              <xm:sqref>Y10</xm:sqref>
            </x14:sparkline>
            <x14:sparkline>
              <xm:f>'Statement of Cash Flows'!T11:X11</xm:f>
              <xm:sqref>Y11</xm:sqref>
            </x14:sparkline>
            <x14:sparkline>
              <xm:f>'Statement of Cash Flows'!T12:X12</xm:f>
              <xm:sqref>Y12</xm:sqref>
            </x14:sparkline>
            <x14:sparkline>
              <xm:f>'Statement of Cash Flows'!T13:X13</xm:f>
              <xm:sqref>Y13</xm:sqref>
            </x14:sparkline>
            <x14:sparkline>
              <xm:f>'Statement of Cash Flows'!T14:X14</xm:f>
              <xm:sqref>Y14</xm:sqref>
            </x14:sparkline>
            <x14:sparkline>
              <xm:f>'Statement of Cash Flows'!T15:X15</xm:f>
              <xm:sqref>Y15</xm:sqref>
            </x14:sparkline>
            <x14:sparkline>
              <xm:f>'Statement of Cash Flows'!T16:X16</xm:f>
              <xm:sqref>Y16</xm:sqref>
            </x14:sparkline>
            <x14:sparkline>
              <xm:f>'Statement of Cash Flows'!T17:X17</xm:f>
              <xm:sqref>Y17</xm:sqref>
            </x14:sparkline>
            <x14:sparkline>
              <xm:f>'Statement of Cash Flows'!T18:X18</xm:f>
              <xm:sqref>Y18</xm:sqref>
            </x14:sparkline>
            <x14:sparkline>
              <xm:f>'Statement of Cash Flows'!T19:X19</xm:f>
              <xm:sqref>Y19</xm:sqref>
            </x14:sparkline>
            <x14:sparkline>
              <xm:f>'Statement of Cash Flows'!T20:X20</xm:f>
              <xm:sqref>Y20</xm:sqref>
            </x14:sparkline>
            <x14:sparkline>
              <xm:f>'Statement of Cash Flows'!T21:X21</xm:f>
              <xm:sqref>Y21</xm:sqref>
            </x14:sparkline>
            <x14:sparkline>
              <xm:f>'Statement of Cash Flows'!T22:X22</xm:f>
              <xm:sqref>Y22</xm:sqref>
            </x14:sparkline>
            <x14:sparkline>
              <xm:f>'Statement of Cash Flows'!T23:X23</xm:f>
              <xm:sqref>Y23</xm:sqref>
            </x14:sparkline>
            <x14:sparkline>
              <xm:f>'Statement of Cash Flows'!T24:X24</xm:f>
              <xm:sqref>Y24</xm:sqref>
            </x14:sparkline>
          </x14:sparklines>
        </x14:sparklineGroup>
      </x14:sparklineGroups>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L28"/>
  <sheetViews>
    <sheetView zoomScale="130" zoomScaleNormal="130" workbookViewId="0">
      <pane xSplit="1" ySplit="3" topLeftCell="B4" activePane="bottomRight" state="frozen"/>
      <selection pane="topRight" activeCell="B1" sqref="B1"/>
      <selection pane="bottomLeft" activeCell="A4" sqref="A4"/>
      <selection pane="bottomRight" activeCell="E34" sqref="E34"/>
    </sheetView>
  </sheetViews>
  <sheetFormatPr baseColWidth="10" defaultColWidth="8.83203125" defaultRowHeight="13"/>
  <cols>
    <col min="1" max="1" width="31.6640625" bestFit="1" customWidth="1"/>
    <col min="2" max="2" width="15" bestFit="1" customWidth="1"/>
    <col min="3" max="6" width="14" bestFit="1" customWidth="1"/>
    <col min="7" max="7" width="15" bestFit="1" customWidth="1"/>
    <col min="8" max="8" width="14" bestFit="1" customWidth="1"/>
    <col min="9" max="9" width="15" bestFit="1" customWidth="1"/>
    <col min="10" max="10" width="14" bestFit="1" customWidth="1"/>
    <col min="11" max="11" width="15" bestFit="1" customWidth="1"/>
    <col min="12" max="12" width="14" bestFit="1" customWidth="1"/>
    <col min="14" max="14" width="20.5" bestFit="1" customWidth="1"/>
  </cols>
  <sheetData>
    <row r="1" spans="1:12" ht="20">
      <c r="A1" s="313" t="s">
        <v>0</v>
      </c>
      <c r="B1" s="314"/>
      <c r="C1" s="314"/>
      <c r="D1" s="314"/>
      <c r="E1" s="314"/>
      <c r="F1" s="314"/>
      <c r="G1" s="314"/>
      <c r="H1" s="314"/>
      <c r="I1" s="314"/>
      <c r="J1" s="314"/>
      <c r="K1" s="314"/>
      <c r="L1" s="315"/>
    </row>
    <row r="2" spans="1:12" ht="13.5" customHeight="1" thickBot="1">
      <c r="A2" s="316" t="s">
        <v>112</v>
      </c>
      <c r="B2" s="317"/>
      <c r="C2" s="317"/>
      <c r="D2" s="317"/>
      <c r="E2" s="317"/>
      <c r="F2" s="317"/>
      <c r="G2" s="317"/>
      <c r="H2" s="317"/>
      <c r="I2" s="317"/>
      <c r="J2" s="317"/>
      <c r="K2" s="317"/>
      <c r="L2" s="318"/>
    </row>
    <row r="3" spans="1:12" ht="14" thickBot="1">
      <c r="A3" s="9"/>
      <c r="B3" s="10">
        <v>2013</v>
      </c>
      <c r="C3" s="10">
        <v>2014</v>
      </c>
      <c r="D3" s="10">
        <v>2015</v>
      </c>
      <c r="E3" s="10">
        <v>2016</v>
      </c>
      <c r="F3" s="10">
        <v>2017</v>
      </c>
      <c r="G3" s="50" t="s">
        <v>99</v>
      </c>
      <c r="H3" s="50" t="s">
        <v>130</v>
      </c>
      <c r="I3" s="70" t="s">
        <v>100</v>
      </c>
      <c r="J3" s="73" t="s">
        <v>128</v>
      </c>
      <c r="K3" s="72" t="s">
        <v>101</v>
      </c>
      <c r="L3" s="69" t="s">
        <v>129</v>
      </c>
    </row>
    <row r="4" spans="1:12">
      <c r="A4" s="68" t="s">
        <v>114</v>
      </c>
      <c r="B4" s="65">
        <f>'Pro-Forma IS'!B22/'Pro-Forma BS'!B19</f>
        <v>0.11648034619545619</v>
      </c>
      <c r="C4" s="65">
        <f>'Pro-Forma IS'!C22/'Pro-Forma BS'!C19</f>
        <v>0.11014771262763759</v>
      </c>
      <c r="D4" s="65">
        <f>'Pro-Forma IS'!D22/'Pro-Forma BS'!D19</f>
        <v>0.11086321128976476</v>
      </c>
      <c r="E4" s="65">
        <f>'Pro-Forma IS'!E22/'Pro-Forma BS'!E19</f>
        <v>0.11628864994596919</v>
      </c>
      <c r="F4" s="65">
        <f>'Pro-Forma IS'!F22/'Pro-Forma BS'!F19</f>
        <v>6.417800755214273E-2</v>
      </c>
      <c r="G4" s="65">
        <f>'Pro-Forma IS'!H22/'Pro-Forma BS'!H19</f>
        <v>0.10408236854513807</v>
      </c>
      <c r="H4" s="65">
        <f>'Pro-Forma IS'!H22/'Pro-Forma BS'!I19</f>
        <v>0.10408236854513807</v>
      </c>
      <c r="I4" s="71">
        <f>'Pro-Forma IS'!J22/'Pro-Forma BS'!K19</f>
        <v>0.10408236854513803</v>
      </c>
      <c r="J4" s="65">
        <f>'Pro-Forma IS'!J22/'Pro-Forma BS'!L19</f>
        <v>0.10408236854513803</v>
      </c>
      <c r="K4" s="64">
        <f>'Pro-Forma IS'!L22/'Pro-Forma BS'!N19</f>
        <v>0.10408236854513804</v>
      </c>
      <c r="L4" s="64">
        <f>'Pro-Forma IS'!L22/'Pro-Forma BS'!O19</f>
        <v>0.10408236854513804</v>
      </c>
    </row>
    <row r="5" spans="1:12">
      <c r="A5" s="103" t="s">
        <v>115</v>
      </c>
      <c r="B5" s="99">
        <f>'Pro-Forma IS'!B22/'Pro-Forma BS'!B35</f>
        <v>0.14798016241166431</v>
      </c>
      <c r="C5" s="99">
        <f>'Pro-Forma IS'!C22/'Pro-Forma BS'!C35</f>
        <v>0.13822009569377991</v>
      </c>
      <c r="D5" s="99">
        <f>'Pro-Forma IS'!D22/'Pro-Forma BS'!D35</f>
        <v>0.13585859005576287</v>
      </c>
      <c r="E5" s="99">
        <f>'Pro-Forma IS'!E22/'Pro-Forma BS'!E35</f>
        <v>0.14009321326850599</v>
      </c>
      <c r="F5" s="99">
        <f>'Pro-Forma IS'!F22/'Pro-Forma BS'!F35</f>
        <v>8.3028419299419023E-2</v>
      </c>
      <c r="G5" s="99">
        <f>'Pro-Forma IS'!H22/'Pro-Forma BS'!H35</f>
        <v>0.16666150122290393</v>
      </c>
      <c r="H5" s="99">
        <f>'Pro-Forma IS'!H22/'Pro-Forma BS'!I35</f>
        <v>0.16666150122290393</v>
      </c>
      <c r="I5" s="99">
        <f>'Pro-Forma IS'!J22/'Pro-Forma BS'!K35</f>
        <v>0.19436055161500723</v>
      </c>
      <c r="J5" s="99">
        <f>'Pro-Forma IS'!J22/'Pro-Forma BS'!L35</f>
        <v>0.19436055161500723</v>
      </c>
      <c r="K5" s="99">
        <f>'Pro-Forma IS'!L22/'Pro-Forma BS'!N35</f>
        <v>0.2266113218933504</v>
      </c>
      <c r="L5" s="100">
        <f>'Pro-Forma IS'!L22/'Pro-Forma BS'!O35</f>
        <v>0.2266113218933504</v>
      </c>
    </row>
    <row r="6" spans="1:12">
      <c r="A6" s="61" t="s">
        <v>116</v>
      </c>
      <c r="B6" s="66">
        <f>'Pro-Forma BS'!B30/'Pro-Forma BS'!B35</f>
        <v>0.27043031073543394</v>
      </c>
      <c r="C6" s="66">
        <f>'Pro-Forma BS'!C30/'Pro-Forma BS'!C35</f>
        <v>0.25486124401913873</v>
      </c>
      <c r="D6" s="66">
        <f>'Pro-Forma BS'!D30/'Pro-Forma BS'!D35</f>
        <v>0.22546143554030135</v>
      </c>
      <c r="E6" s="66">
        <f>'Pro-Forma BS'!E30/'Pro-Forma BS'!E35</f>
        <v>0.20470237923990908</v>
      </c>
      <c r="F6" s="66">
        <f>'Pro-Forma BS'!F30/'Pro-Forma BS'!F35</f>
        <v>0.29372073808868082</v>
      </c>
      <c r="G6" s="66">
        <f>'Pro-Forma BS'!H30/'Pro-Forma BS'!H35</f>
        <v>0.33539231750726162</v>
      </c>
      <c r="H6" s="66">
        <f>'Pro-Forma BS'!I30/'Pro-Forma BS'!I35</f>
        <v>0.60124623942072153</v>
      </c>
      <c r="I6" s="66">
        <f>'Pro-Forma BS'!K30/'Pro-Forma BS'!K35</f>
        <v>0.36851387374328165</v>
      </c>
      <c r="J6" s="66">
        <f>'Pro-Forma BS'!L30/'Pro-Forma BS'!L35</f>
        <v>0.86737248903706221</v>
      </c>
      <c r="K6" s="66">
        <f>'Pro-Forma BS'!N30/'Pro-Forma BS'!N35</f>
        <v>0.40707821751347945</v>
      </c>
      <c r="L6" s="74">
        <f>'Pro-Forma BS'!O30/'Pro-Forma BS'!O35</f>
        <v>1.1772306401258967</v>
      </c>
    </row>
    <row r="7" spans="1:12">
      <c r="A7" s="61" t="s">
        <v>117</v>
      </c>
      <c r="B7" s="66">
        <f>'Pro-Forma IS'!B22/'Pro-Forma IS'!$H$31</f>
        <v>18.859878953956983</v>
      </c>
      <c r="C7" s="66">
        <f>'Pro-Forma IS'!C22/'Pro-Forma IS'!$H$31</f>
        <v>21.084527214470175</v>
      </c>
      <c r="D7" s="66">
        <f>('Pro-Forma IS'!D22+'Pro-Forma IS'!D23)/'Pro-Forma IS'!$H$31</f>
        <v>23.101891975644211</v>
      </c>
      <c r="E7" s="66">
        <f>'Pro-Forma IS'!E22/'Pro-Forma IS'!$H$31</f>
        <v>28.432873240338555</v>
      </c>
      <c r="F7" s="66">
        <f>'Pro-Forma IS'!F22/'Pro-Forma IS'!$H$31</f>
        <v>18.483265272059079</v>
      </c>
      <c r="G7" s="66">
        <f>('Pro-Forma IS'!H22+'Pro-Forma IS'!H23)/'Pro-Forma IS'!H31</f>
        <v>36.881893021598664</v>
      </c>
      <c r="H7" s="81" t="s">
        <v>2</v>
      </c>
      <c r="I7" s="66">
        <f>('Pro-Forma IS'!J22+'Pro-Forma IS'!J23)/'Pro-Forma IS'!J31</f>
        <v>43.070935734309892</v>
      </c>
      <c r="J7" s="81" t="s">
        <v>2</v>
      </c>
      <c r="K7" s="66">
        <f>('Pro-Forma IS'!L22+'Pro-Forma IS'!L23)/'Pro-Forma IS'!L31</f>
        <v>50.29854362254865</v>
      </c>
      <c r="L7" s="82" t="s">
        <v>2</v>
      </c>
    </row>
    <row r="8" spans="1:12">
      <c r="A8" s="61" t="s">
        <v>118</v>
      </c>
      <c r="B8" s="87">
        <f>('Pro-Forma IS'!B33/'Pro-Forma IS'!H31)/'Ratio Analysis '!B7</f>
        <v>4.3817407120743033E-5</v>
      </c>
      <c r="C8" s="87">
        <f>('Pro-Forma IS'!C33/'Pro-Forma IS'!H31)/'Ratio Analysis '!C7</f>
        <v>3.6739130434782605E-5</v>
      </c>
      <c r="D8" s="87">
        <f>('Pro-Forma IS'!D33/'Pro-Forma IS'!J31)/'Ratio Analysis '!D7</f>
        <v>4.9160242638695814E-5</v>
      </c>
      <c r="E8" s="87">
        <f>('Pro-Forma IS'!E33/'Pro-Forma IS'!H31)/'Ratio Analysis '!E7</f>
        <v>4.0684361844131845E-5</v>
      </c>
      <c r="F8" s="87">
        <f>('Pro-Forma IS'!F33/'Pro-Forma IS'!L31)/'Ratio Analysis '!F7</f>
        <v>8.3138524719633564E-5</v>
      </c>
      <c r="G8" s="81" t="s">
        <v>2</v>
      </c>
      <c r="H8" s="81" t="s">
        <v>2</v>
      </c>
      <c r="I8" s="81" t="s">
        <v>2</v>
      </c>
      <c r="J8" s="81" t="s">
        <v>2</v>
      </c>
      <c r="K8" s="81" t="s">
        <v>2</v>
      </c>
      <c r="L8" s="82" t="s">
        <v>2</v>
      </c>
    </row>
    <row r="9" spans="1:12">
      <c r="A9" s="61" t="s">
        <v>119</v>
      </c>
      <c r="B9" s="66">
        <f>'Pro-Forma IS'!B33/('Pro-Forma BS'!B35/'Pro-Forma IS'!H31)</f>
        <v>4.4419512411059694</v>
      </c>
      <c r="C9" s="66">
        <f>'Pro-Forma IS'!C33/('Pro-Forma BS'!C35/'Pro-Forma IS'!H31)</f>
        <v>3.4787536488142385</v>
      </c>
      <c r="D9" s="66">
        <f>'Pro-Forma IS'!D33/('Pro-Forma BS'!D35/'Pro-Forma IS'!J31)</f>
        <v>4.4292609335214363</v>
      </c>
      <c r="E9" s="66">
        <f>'Pro-Forma IS'!E33/('Pro-Forma BS'!K35/'Pro-Forma IS'!H31)</f>
        <v>3.5506569578021669</v>
      </c>
      <c r="F9" s="66">
        <f>'Pro-Forma IS'!F33/('Pro-Forma BS'!F35/'Pro-Forma IS'!L31)</f>
        <v>4.7288190538836208</v>
      </c>
      <c r="G9" s="81" t="s">
        <v>2</v>
      </c>
      <c r="H9" s="81" t="s">
        <v>2</v>
      </c>
      <c r="I9" s="81" t="s">
        <v>2</v>
      </c>
      <c r="J9" s="81" t="s">
        <v>2</v>
      </c>
      <c r="K9" s="81" t="s">
        <v>2</v>
      </c>
      <c r="L9" s="82" t="s">
        <v>2</v>
      </c>
    </row>
    <row r="10" spans="1:12">
      <c r="A10" s="61" t="s">
        <v>120</v>
      </c>
      <c r="B10" s="66">
        <f>1/B9</f>
        <v>0.22512628926359335</v>
      </c>
      <c r="C10" s="66">
        <f t="shared" ref="C10:F10" si="0">1/C9</f>
        <v>0.28745927448494613</v>
      </c>
      <c r="D10" s="66">
        <f t="shared" si="0"/>
        <v>0.22577130022569267</v>
      </c>
      <c r="E10" s="66">
        <f t="shared" si="0"/>
        <v>0.28163802132521226</v>
      </c>
      <c r="F10" s="66">
        <f t="shared" si="0"/>
        <v>0.21146928833716602</v>
      </c>
      <c r="G10" s="81" t="s">
        <v>2</v>
      </c>
      <c r="H10" s="81" t="s">
        <v>2</v>
      </c>
      <c r="I10" s="81" t="s">
        <v>2</v>
      </c>
      <c r="J10" s="81" t="s">
        <v>2</v>
      </c>
      <c r="K10" s="81" t="s">
        <v>2</v>
      </c>
      <c r="L10" s="82" t="s">
        <v>2</v>
      </c>
    </row>
    <row r="11" spans="1:12">
      <c r="A11" s="61" t="s">
        <v>113</v>
      </c>
      <c r="B11" s="66">
        <f>'Pro-Forma BS'!B11/'Pro-Forma BS'!B25</f>
        <v>4.5817198893638418</v>
      </c>
      <c r="C11" s="66">
        <f>'Pro-Forma BS'!C11/'Pro-Forma BS'!C25</f>
        <v>4.8012496280868788</v>
      </c>
      <c r="D11" s="66">
        <f>'Pro-Forma BS'!D11/'Pro-Forma BS'!D25</f>
        <v>4.6667011910926979</v>
      </c>
      <c r="E11" s="66">
        <f>'Pro-Forma BS'!E11/'Pro-Forma BS'!E25</f>
        <v>6.2907615182621148</v>
      </c>
      <c r="F11" s="66">
        <f>'Pro-Forma BS'!F11/'Pro-Forma BS'!F25</f>
        <v>5.1403051730554523</v>
      </c>
      <c r="G11" s="66">
        <f>'Pro-Forma BS'!H11/'Pro-Forma BS'!H25</f>
        <v>5.0190717615074769</v>
      </c>
      <c r="H11" s="66">
        <f>'Pro-Forma BS'!I11/'Pro-Forma BS'!I25</f>
        <v>2.1572781081961905</v>
      </c>
      <c r="I11" s="66">
        <f>'Pro-Forma BS'!K11/'Pro-Forma BS'!K25</f>
        <v>5.0190717615074778</v>
      </c>
      <c r="J11" s="66">
        <f>'Pro-Forma BS'!L11/'Pro-Forma BS'!L25</f>
        <v>1.6012412528399225</v>
      </c>
      <c r="K11" s="66">
        <f>'Pro-Forma BS'!N11/'Pro-Forma BS'!N25</f>
        <v>5.0190717615074769</v>
      </c>
      <c r="L11" s="74">
        <f>'Pro-Forma BS'!O11/'Pro-Forma BS'!O25</f>
        <v>1.3117270830658205</v>
      </c>
    </row>
    <row r="12" spans="1:12">
      <c r="A12" s="61" t="s">
        <v>121</v>
      </c>
      <c r="B12" s="66">
        <f>('Pro-Forma BS'!B11-'Pro-Forma BS'!B25)/'Pro-Forma BS'!B19</f>
        <v>0.51368553912729897</v>
      </c>
      <c r="C12" s="66">
        <f>('Pro-Forma BS'!C11-'Pro-Forma BS'!C25)/'Pro-Forma BS'!C19</f>
        <v>0.48713901153790429</v>
      </c>
      <c r="D12" s="66">
        <f>('Pro-Forma BS'!D11-'Pro-Forma BS'!D25)/'Pro-Forma BS'!D19</f>
        <v>0.48015407463668358</v>
      </c>
      <c r="E12" s="66">
        <f>('Pro-Forma BS'!E11-'Pro-Forma BS'!E25)/'Pro-Forma BS'!E19</f>
        <v>0.52927515119673785</v>
      </c>
      <c r="F12" s="66">
        <f>('Pro-Forma BS'!F11-'Pro-Forma BS'!F25)/'Pro-Forma BS'!F19</f>
        <v>0.50748878582832813</v>
      </c>
      <c r="G12" s="66">
        <f>('Pro-Forma BS'!H11-'Pro-Forma BS'!H25)/'Pro-Forma BS'!H19</f>
        <v>0.50301221272173757</v>
      </c>
      <c r="H12" s="66">
        <f>('Pro-Forma BS'!I11-'Pro-Forma BS'!I25)/'Pro-Forma BS'!I19</f>
        <v>0.33698283175055282</v>
      </c>
      <c r="I12" s="66">
        <f>('Pro-Forma BS'!K11-'Pro-Forma BS'!K25)/'Pro-Forma BS'!K19</f>
        <v>0.50301221272173768</v>
      </c>
      <c r="J12" s="66">
        <f>('Pro-Forma BS'!L11-'Pro-Forma BS'!L25)/'Pro-Forma BS'!L19</f>
        <v>0.23586753846822314</v>
      </c>
      <c r="K12" s="66">
        <f>('Pro-Forma BS'!N11-'Pro-Forma BS'!N25)/'Pro-Forma BS'!N19</f>
        <v>0.50301221272173757</v>
      </c>
      <c r="L12" s="74">
        <f>('Pro-Forma BS'!O11-'Pro-Forma BS'!O25)/'Pro-Forma BS'!O19</f>
        <v>0.14928192415300606</v>
      </c>
    </row>
    <row r="13" spans="1:12">
      <c r="A13" s="61" t="s">
        <v>122</v>
      </c>
      <c r="B13" s="66">
        <f>('Pro-Forma BS'!B19-'Pro-Forma BS'!B35)/'Pro-Forma BS'!B19</f>
        <v>0.21286512802019472</v>
      </c>
      <c r="C13" s="66">
        <f>('Pro-Forma BS'!C19-'Pro-Forma BS'!C35)/'Pro-Forma BS'!C19</f>
        <v>0.20309914361754861</v>
      </c>
      <c r="D13" s="66">
        <f>('Pro-Forma BS'!D19-'Pro-Forma BS'!D35)/'Pro-Forma BS'!D19</f>
        <v>0.18398084917367982</v>
      </c>
      <c r="E13" s="66">
        <f>('Pro-Forma BS'!E19-'Pro-Forma BS'!E35)/'Pro-Forma BS'!E19</f>
        <v>0.16991946124408197</v>
      </c>
      <c r="F13" s="66">
        <f>('Pro-Forma BS'!F19-'Pro-Forma BS'!F35)/'Pro-Forma BS'!F19</f>
        <v>0.22703565726450239</v>
      </c>
      <c r="G13" s="66">
        <f>('Pro-Forma BS'!H19-'Pro-Forma BS'!H35)/'Pro-Forma BS'!H19</f>
        <v>0.37548643339092724</v>
      </c>
      <c r="H13" s="66">
        <f>('Pro-Forma BS'!I19-'Pro-Forma BS'!I35)/'Pro-Forma BS'!I19</f>
        <v>0.37548643339092724</v>
      </c>
      <c r="I13" s="66">
        <f>('Pro-Forma BS'!K19-'Pro-Forma BS'!K35)/'Pro-Forma BS'!K19</f>
        <v>0.46448820153944509</v>
      </c>
      <c r="J13" s="66">
        <f>('Pro-Forma BS'!L19-'Pro-Forma BS'!L35)/'Pro-Forma BS'!L19</f>
        <v>0.46448820153944509</v>
      </c>
      <c r="K13" s="66">
        <f>('Pro-Forma BS'!N19-'Pro-Forma BS'!N35)/'Pro-Forma BS'!N19</f>
        <v>0.540700933759514</v>
      </c>
      <c r="L13" s="67">
        <f>('Pro-Forma BS'!O19-'Pro-Forma BS'!O35)/'Pro-Forma BS'!O19</f>
        <v>0.540700933759514</v>
      </c>
    </row>
    <row r="14" spans="1:12">
      <c r="A14" s="61" t="s">
        <v>123</v>
      </c>
      <c r="B14" s="63">
        <f>'Pro-Forma IS'!B22/'Pro-Forma IS'!B4</f>
        <v>0.21596322607605517</v>
      </c>
      <c r="C14" s="63">
        <f>'Pro-Forma IS'!C22/'Pro-Forma IS'!C4</f>
        <v>0.21884516901259071</v>
      </c>
      <c r="D14" s="63">
        <f>'Pro-Forma IS'!D22/'Pro-Forma IS'!D4</f>
        <v>0.21800530744509194</v>
      </c>
      <c r="E14" s="63">
        <f>'Pro-Forma IS'!E22/'Pro-Forma IS'!E4</f>
        <v>0.2157701169797944</v>
      </c>
      <c r="F14" s="63">
        <f>'Pro-Forma IS'!F22/'Pro-Forma IS'!F4</f>
        <v>0.11422128005051645</v>
      </c>
      <c r="G14" s="63">
        <f>'Pro-Forma IS'!H22/'Pro-Forma IS'!H4</f>
        <v>0.19656101991280978</v>
      </c>
      <c r="H14" s="81" t="s">
        <v>2</v>
      </c>
      <c r="I14" s="63">
        <f>'Pro-Forma IS'!J22/'Pro-Forma IS'!J4</f>
        <v>0.19656101991280975</v>
      </c>
      <c r="J14" s="81" t="s">
        <v>2</v>
      </c>
      <c r="K14" s="63">
        <f>'Pro-Forma IS'!L22/'Pro-Forma IS'!L4</f>
        <v>0.19656101991280975</v>
      </c>
      <c r="L14" s="82" t="s">
        <v>2</v>
      </c>
    </row>
    <row r="15" spans="1:12">
      <c r="A15" s="61" t="s">
        <v>124</v>
      </c>
      <c r="B15" s="66">
        <f t="shared" ref="B15:L15" si="1">B5/B4</f>
        <v>1.2704303107354338</v>
      </c>
      <c r="C15" s="66">
        <f t="shared" si="1"/>
        <v>1.2548612440191389</v>
      </c>
      <c r="D15" s="66">
        <f t="shared" si="1"/>
        <v>1.2254614355403013</v>
      </c>
      <c r="E15" s="66">
        <f t="shared" si="1"/>
        <v>1.204702379239909</v>
      </c>
      <c r="F15" s="66">
        <f t="shared" si="1"/>
        <v>1.2937207380886808</v>
      </c>
      <c r="G15" s="66">
        <f t="shared" si="1"/>
        <v>1.6012462394207216</v>
      </c>
      <c r="H15" s="66">
        <f t="shared" si="1"/>
        <v>1.6012462394207216</v>
      </c>
      <c r="I15" s="66">
        <f t="shared" si="1"/>
        <v>1.8673724890370622</v>
      </c>
      <c r="J15" s="66">
        <f t="shared" si="1"/>
        <v>1.8673724890370622</v>
      </c>
      <c r="K15" s="66">
        <f t="shared" si="1"/>
        <v>2.177230640125897</v>
      </c>
      <c r="L15" s="67">
        <f t="shared" si="1"/>
        <v>2.177230640125897</v>
      </c>
    </row>
    <row r="16" spans="1:12">
      <c r="A16" s="61" t="s">
        <v>125</v>
      </c>
      <c r="B16" s="66">
        <f>'Pro-Forma IS'!B4/'Pro-Forma BS'!B19</f>
        <v>0.53935268662098812</v>
      </c>
      <c r="C16" s="66">
        <f>'Pro-Forma IS'!C4/'Pro-Forma BS'!C19</f>
        <v>0.5033134298765376</v>
      </c>
      <c r="D16" s="66">
        <f>'Pro-Forma IS'!D4/'Pro-Forma BS'!D19</f>
        <v>0.50853445995890434</v>
      </c>
      <c r="E16" s="66">
        <f>'Pro-Forma IS'!E4/'Pro-Forma BS'!E19</f>
        <v>0.53894696621432026</v>
      </c>
      <c r="F16" s="66">
        <f>'Pro-Forma IS'!F4/'Pro-Forma BS'!F19</f>
        <v>0.5618743505917535</v>
      </c>
      <c r="G16" s="75">
        <f>'Pro-Forma IS'!H4/'Pro-Forma BS'!H19</f>
        <v>0.52951683192988497</v>
      </c>
      <c r="H16" s="75">
        <f>'Pro-Forma IS'!H4/'Pro-Forma BS'!I19</f>
        <v>0.52951683192988497</v>
      </c>
      <c r="I16" s="75">
        <f>'Pro-Forma IS'!J4/'Pro-Forma BS'!K19</f>
        <v>0.52951683192988486</v>
      </c>
      <c r="J16" s="66">
        <f>'Pro-Forma IS'!J4/'Pro-Forma BS'!L19</f>
        <v>0.52951683192988486</v>
      </c>
      <c r="K16" s="75">
        <f>'Pro-Forma IS'!L4/'Pro-Forma BS'!N19</f>
        <v>0.52951683192988486</v>
      </c>
      <c r="L16" s="74">
        <f>'Pro-Forma IS'!L4/'Pro-Forma BS'!O19</f>
        <v>0.52951683192988486</v>
      </c>
    </row>
    <row r="17" spans="1:12" ht="14" thickBot="1">
      <c r="A17" s="62" t="s">
        <v>126</v>
      </c>
      <c r="B17" s="76">
        <f>'Pro-Forma IS'!B11-'Pro-Forma IS'!B18</f>
        <v>11684000</v>
      </c>
      <c r="C17" s="76">
        <f>'Pro-Forma IS'!C11-'Pro-Forma IS'!C18</f>
        <v>13165000</v>
      </c>
      <c r="D17" s="76">
        <f>'Pro-Forma IS'!D11-'Pro-Forma IS'!D18</f>
        <v>16057000</v>
      </c>
      <c r="E17" s="76">
        <f>'Pro-Forma IS'!E11-'Pro-Forma IS'!E18</f>
        <v>19044000</v>
      </c>
      <c r="F17" s="76">
        <f>'Pro-Forma IS'!F11-'Pro-Forma IS'!F18</f>
        <v>11615000</v>
      </c>
      <c r="G17" s="76">
        <f>'Pro-Forma IS'!H11-'Pro-Forma IS'!H18</f>
        <v>23940097.911360569</v>
      </c>
      <c r="H17" s="83" t="s">
        <v>2</v>
      </c>
      <c r="I17" s="76">
        <f>'Pro-Forma IS'!J11-'Pro-Forma IS'!J18</f>
        <v>27957415.797758937</v>
      </c>
      <c r="J17" s="83" t="s">
        <v>2</v>
      </c>
      <c r="K17" s="76">
        <f>'Pro-Forma IS'!L11-'Pro-Forma IS'!L18</f>
        <v>32648868.061557569</v>
      </c>
      <c r="L17" s="84" t="s">
        <v>2</v>
      </c>
    </row>
    <row r="18" spans="1:12" ht="14" thickBot="1"/>
    <row r="19" spans="1:12" ht="14" thickBot="1">
      <c r="A19" s="88"/>
      <c r="B19" s="296" t="s">
        <v>132</v>
      </c>
      <c r="C19" s="297"/>
      <c r="D19" s="297"/>
      <c r="E19" s="297"/>
      <c r="F19" s="297"/>
      <c r="G19" s="297"/>
      <c r="H19" s="297"/>
      <c r="I19" s="298"/>
    </row>
    <row r="20" spans="1:12" ht="14" thickBot="1">
      <c r="A20" s="88"/>
      <c r="B20" s="10">
        <v>2013</v>
      </c>
      <c r="C20" s="10">
        <v>2014</v>
      </c>
      <c r="D20" s="10">
        <v>2015</v>
      </c>
      <c r="E20" s="10">
        <v>2016</v>
      </c>
      <c r="F20" s="10">
        <v>2017</v>
      </c>
      <c r="G20" s="50" t="s">
        <v>99</v>
      </c>
      <c r="H20" s="70" t="s">
        <v>100</v>
      </c>
      <c r="I20" s="72" t="s">
        <v>101</v>
      </c>
      <c r="J20" s="96"/>
      <c r="K20" s="96"/>
      <c r="L20" s="96"/>
    </row>
    <row r="21" spans="1:12">
      <c r="A21" s="95" t="s">
        <v>133</v>
      </c>
      <c r="B21" s="65">
        <f>'Pro-Forma IS'!B22/'Pro-Forma IS'!B4</f>
        <v>0.21596322607605517</v>
      </c>
      <c r="C21" s="65">
        <f>'Pro-Forma IS'!C22/'Pro-Forma IS'!C4</f>
        <v>0.21884516901259071</v>
      </c>
      <c r="D21" s="65">
        <f>'Pro-Forma IS'!D22/'Pro-Forma IS'!D4</f>
        <v>0.21800530744509194</v>
      </c>
      <c r="E21" s="65">
        <f>'Pro-Forma IS'!E22/'Pro-Forma IS'!E4</f>
        <v>0.2157701169797944</v>
      </c>
      <c r="F21" s="65">
        <f>'Pro-Forma IS'!F22/'Pro-Forma IS'!F4</f>
        <v>0.11422128005051645</v>
      </c>
      <c r="G21" s="65">
        <f>'Pro-Forma IS'!H22/'Pro-Forma IS'!H4</f>
        <v>0.19656101991280978</v>
      </c>
      <c r="H21" s="65">
        <f>'Pro-Forma IS'!J22/'Pro-Forma IS'!J4</f>
        <v>0.19656101991280975</v>
      </c>
      <c r="I21" s="97">
        <f>'Pro-Forma IS'!L22/'Pro-Forma IS'!L4</f>
        <v>0.19656101991280975</v>
      </c>
      <c r="J21" s="31"/>
      <c r="K21" s="31"/>
      <c r="L21" s="31"/>
    </row>
    <row r="22" spans="1:12">
      <c r="A22" s="93" t="s">
        <v>134</v>
      </c>
      <c r="B22" s="66">
        <f>'Pro-Forma IS'!B4/'Pro-Forma BS'!B19</f>
        <v>0.53935268662098812</v>
      </c>
      <c r="C22" s="66">
        <f>'Pro-Forma IS'!C4/'Pro-Forma BS'!C19</f>
        <v>0.5033134298765376</v>
      </c>
      <c r="D22" s="66">
        <f>'Pro-Forma IS'!D4/'Pro-Forma BS'!D19</f>
        <v>0.50853445995890434</v>
      </c>
      <c r="E22" s="66">
        <f>'Pro-Forma IS'!E4/'Pro-Forma BS'!E19</f>
        <v>0.53894696621432026</v>
      </c>
      <c r="F22" s="66">
        <f>'Pro-Forma IS'!F4/'Pro-Forma BS'!F19</f>
        <v>0.5618743505917535</v>
      </c>
      <c r="G22" s="66">
        <f>'Pro-Forma IS'!H4/'Pro-Forma BS'!H19</f>
        <v>0.52951683192988497</v>
      </c>
      <c r="H22" s="66">
        <f>'Pro-Forma IS'!J4/'Pro-Forma BS'!K19</f>
        <v>0.52951683192988486</v>
      </c>
      <c r="I22" s="67">
        <f>'Pro-Forma IS'!L4/'Pro-Forma BS'!N19</f>
        <v>0.52951683192988486</v>
      </c>
      <c r="J22" s="31"/>
      <c r="K22" s="31"/>
      <c r="L22" s="31"/>
    </row>
    <row r="23" spans="1:12">
      <c r="A23" s="93" t="s">
        <v>137</v>
      </c>
      <c r="B23" s="63">
        <f>B21*B22</f>
        <v>0.11648034619545619</v>
      </c>
      <c r="C23" s="63">
        <f t="shared" ref="C23:E23" si="2">C21*C22</f>
        <v>0.11014771262763759</v>
      </c>
      <c r="D23" s="63">
        <f t="shared" si="2"/>
        <v>0.11086321128976474</v>
      </c>
      <c r="E23" s="63">
        <f t="shared" si="2"/>
        <v>0.11628864994596919</v>
      </c>
      <c r="F23" s="63">
        <f>F21*F22</f>
        <v>6.4178007552142743E-2</v>
      </c>
      <c r="G23" s="63">
        <f>G21*G22</f>
        <v>0.10408236854513807</v>
      </c>
      <c r="H23" s="63">
        <f>H21*H22</f>
        <v>0.10408236854513803</v>
      </c>
      <c r="I23" s="63">
        <f>I21*I22</f>
        <v>0.10408236854513803</v>
      </c>
      <c r="J23" s="31"/>
      <c r="K23" s="31"/>
      <c r="L23" s="31"/>
    </row>
    <row r="24" spans="1:12">
      <c r="A24" s="93" t="s">
        <v>135</v>
      </c>
      <c r="B24" s="63">
        <f>'Pro-Forma BS'!B30/'Pro-Forma BS'!B19</f>
        <v>0.21286512802019472</v>
      </c>
      <c r="C24" s="63">
        <f>'Pro-Forma BS'!C30/'Pro-Forma BS'!C19</f>
        <v>0.20309914361754861</v>
      </c>
      <c r="D24" s="63">
        <f>'Pro-Forma BS'!D30/'Pro-Forma BS'!D19</f>
        <v>0.18398084917367982</v>
      </c>
      <c r="E24" s="63">
        <f>'Pro-Forma BS'!E30/'Pro-Forma BS'!E19</f>
        <v>0.16991946124408197</v>
      </c>
      <c r="F24" s="63">
        <f>'Pro-Forma BS'!F30/'Pro-Forma BS'!F19</f>
        <v>0.22703565726450239</v>
      </c>
      <c r="G24" s="63">
        <f>'Pro-Forma BS'!I30/'Pro-Forma BS'!I19</f>
        <v>0.37548643339092724</v>
      </c>
      <c r="H24" s="63">
        <f>'Pro-Forma BS'!L30/'Pro-Forma BS'!L19</f>
        <v>0.46448820153944509</v>
      </c>
      <c r="I24" s="98">
        <f>'Pro-Forma BS'!O30/'Pro-Forma BS'!O19</f>
        <v>0.540700933759514</v>
      </c>
      <c r="J24" s="31"/>
      <c r="K24" s="31"/>
      <c r="L24" s="31"/>
    </row>
    <row r="25" spans="1:12" ht="14" thickBot="1">
      <c r="A25" s="104" t="s">
        <v>136</v>
      </c>
      <c r="B25" s="101">
        <f>B23/(1-B24)</f>
        <v>0.14798016241166434</v>
      </c>
      <c r="C25" s="101">
        <f t="shared" ref="C25:E25" si="3">C23/(1-C24)</f>
        <v>0.13822009569377991</v>
      </c>
      <c r="D25" s="101">
        <f t="shared" si="3"/>
        <v>0.13585859005576284</v>
      </c>
      <c r="E25" s="101">
        <f t="shared" si="3"/>
        <v>0.14009321326850599</v>
      </c>
      <c r="F25" s="101">
        <f>F23/(1-F24)</f>
        <v>8.3028419299419037E-2</v>
      </c>
      <c r="G25" s="101">
        <f>G23/(1-G24)</f>
        <v>0.16666150122290391</v>
      </c>
      <c r="H25" s="101">
        <f>H23/(1-H24)</f>
        <v>0.19436055161500723</v>
      </c>
      <c r="I25" s="102">
        <f>I23/(1-I24)</f>
        <v>0.22661132189335037</v>
      </c>
      <c r="K25" s="31"/>
      <c r="L25" s="31"/>
    </row>
    <row r="26" spans="1:12">
      <c r="A26" s="267" t="s">
        <v>245</v>
      </c>
      <c r="B26" s="265">
        <f>AVERAGE(B25:I25)</f>
        <v>0.1541017319325492</v>
      </c>
      <c r="J26" s="31"/>
      <c r="K26" s="31"/>
      <c r="L26" s="31"/>
    </row>
    <row r="27" spans="1:12">
      <c r="H27" s="32"/>
      <c r="J27" s="31"/>
      <c r="K27" s="31"/>
      <c r="L27" s="31"/>
    </row>
    <row r="28" spans="1:12">
      <c r="H28" s="32"/>
    </row>
  </sheetData>
  <mergeCells count="3">
    <mergeCell ref="A1:L1"/>
    <mergeCell ref="A2:L2"/>
    <mergeCell ref="B19:I19"/>
  </mergeCells>
  <pageMargins left="0.7" right="0.7" top="0.75" bottom="0.75" header="0.3" footer="0.3"/>
  <pageSetup orientation="portrait" r:id="rId1"/>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D28"/>
  <sheetViews>
    <sheetView zoomScale="110" zoomScaleNormal="150" workbookViewId="0">
      <selection sqref="A1:C1"/>
    </sheetView>
  </sheetViews>
  <sheetFormatPr baseColWidth="10" defaultColWidth="8.83203125" defaultRowHeight="13"/>
  <cols>
    <col min="1" max="1" width="13.5" bestFit="1" customWidth="1"/>
    <col min="2" max="3" width="15.33203125" bestFit="1" customWidth="1"/>
    <col min="4" max="4" width="14.33203125" bestFit="1" customWidth="1"/>
  </cols>
  <sheetData>
    <row r="1" spans="1:3" ht="14" thickBot="1">
      <c r="A1" s="296" t="s">
        <v>139</v>
      </c>
      <c r="B1" s="297"/>
      <c r="C1" s="298"/>
    </row>
    <row r="17" spans="1:4" ht="14" thickBot="1"/>
    <row r="18" spans="1:4">
      <c r="A18" s="91"/>
      <c r="B18" s="106" t="s">
        <v>140</v>
      </c>
      <c r="C18" s="106" t="s">
        <v>141</v>
      </c>
      <c r="D18" s="107" t="s">
        <v>142</v>
      </c>
    </row>
    <row r="19" spans="1:4">
      <c r="A19" s="93" t="s">
        <v>143</v>
      </c>
      <c r="B19" s="92" t="s">
        <v>149</v>
      </c>
      <c r="C19" s="92" t="s">
        <v>150</v>
      </c>
      <c r="D19" s="108" t="s">
        <v>151</v>
      </c>
    </row>
    <row r="20" spans="1:4">
      <c r="A20" s="93" t="s">
        <v>144</v>
      </c>
      <c r="B20" s="109">
        <v>197295000000</v>
      </c>
      <c r="C20" s="109">
        <v>131310000000</v>
      </c>
      <c r="D20" s="110">
        <v>84524000000</v>
      </c>
    </row>
    <row r="21" spans="1:4">
      <c r="A21" s="93" t="s">
        <v>145</v>
      </c>
      <c r="B21" s="109">
        <v>110855000000</v>
      </c>
      <c r="C21" s="109">
        <v>177866000000</v>
      </c>
      <c r="D21" s="110">
        <v>40653000000</v>
      </c>
    </row>
    <row r="22" spans="1:4">
      <c r="A22" s="93" t="s">
        <v>146</v>
      </c>
      <c r="B22" s="89">
        <v>58.88</v>
      </c>
      <c r="C22" s="89">
        <v>37.07</v>
      </c>
      <c r="D22" s="90">
        <v>86.58</v>
      </c>
    </row>
    <row r="23" spans="1:4">
      <c r="A23" s="93" t="s">
        <v>21</v>
      </c>
      <c r="B23" s="109">
        <v>12662000000</v>
      </c>
      <c r="C23" s="109">
        <v>3033000000</v>
      </c>
      <c r="D23" s="110">
        <v>15934000000</v>
      </c>
    </row>
    <row r="24" spans="1:4">
      <c r="A24" s="93" t="s">
        <v>147</v>
      </c>
      <c r="B24" s="109">
        <v>32905000000</v>
      </c>
      <c r="C24" s="109">
        <v>13252000000</v>
      </c>
      <c r="D24" s="110">
        <v>22532000000</v>
      </c>
    </row>
    <row r="25" spans="1:4">
      <c r="A25" s="93" t="s">
        <v>148</v>
      </c>
      <c r="B25" s="89"/>
      <c r="C25" s="89">
        <v>144.2124</v>
      </c>
      <c r="D25" s="90">
        <v>24.579000000000001</v>
      </c>
    </row>
    <row r="26" spans="1:4" ht="14" thickBot="1">
      <c r="A26" s="94" t="s">
        <v>58</v>
      </c>
      <c r="B26" s="111">
        <v>44793000000</v>
      </c>
      <c r="C26" s="111">
        <v>103601000000</v>
      </c>
      <c r="D26" s="112">
        <v>10177000000</v>
      </c>
    </row>
    <row r="28" spans="1:4">
      <c r="A28" s="113" t="s">
        <v>152</v>
      </c>
      <c r="B28" s="105" t="s">
        <v>153</v>
      </c>
    </row>
  </sheetData>
  <mergeCells count="1">
    <mergeCell ref="A1:C1"/>
  </mergeCells>
  <pageMargins left="0.7" right="0.7" top="0.75" bottom="0.75" header="0.3" footer="0.3"/>
  <drawing r:id="rId1"/>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J26:L32"/>
  <sheetViews>
    <sheetView workbookViewId="0">
      <selection activeCell="J32" sqref="J32"/>
    </sheetView>
  </sheetViews>
  <sheetFormatPr baseColWidth="10" defaultColWidth="11.5" defaultRowHeight="13"/>
  <sheetData>
    <row r="26" spans="10:12">
      <c r="L26" s="17" t="s">
        <v>215</v>
      </c>
    </row>
    <row r="32" spans="10:12">
      <c r="J32" s="17"/>
    </row>
  </sheetData>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sheetPr>
  <dimension ref="A1:J31"/>
  <sheetViews>
    <sheetView zoomScale="110" zoomScaleNormal="110" workbookViewId="0">
      <selection activeCell="H8" sqref="H8"/>
    </sheetView>
  </sheetViews>
  <sheetFormatPr baseColWidth="10" defaultColWidth="11.5" defaultRowHeight="13"/>
  <cols>
    <col min="1" max="1" width="27" bestFit="1" customWidth="1"/>
    <col min="2" max="6" width="10.5" bestFit="1" customWidth="1"/>
    <col min="8" max="8" width="5.1640625" bestFit="1" customWidth="1"/>
    <col min="9" max="9" width="9.6640625" bestFit="1" customWidth="1"/>
    <col min="10" max="10" width="14.1640625" bestFit="1" customWidth="1"/>
  </cols>
  <sheetData>
    <row r="1" spans="1:10" ht="21" thickBot="1">
      <c r="A1" s="303" t="s">
        <v>0</v>
      </c>
      <c r="B1" s="304"/>
      <c r="C1" s="304"/>
      <c r="D1" s="304"/>
      <c r="E1" s="304"/>
      <c r="F1" s="304"/>
      <c r="I1" s="133" t="s">
        <v>140</v>
      </c>
      <c r="J1" s="133" t="s">
        <v>217</v>
      </c>
    </row>
    <row r="2" spans="1:10" ht="14" thickBot="1">
      <c r="A2" s="187"/>
      <c r="B2" s="9">
        <v>2013</v>
      </c>
      <c r="C2" s="10">
        <v>2014</v>
      </c>
      <c r="D2" s="10">
        <v>2015</v>
      </c>
      <c r="E2" s="10">
        <v>2016</v>
      </c>
      <c r="F2" s="11">
        <v>2017</v>
      </c>
      <c r="H2" s="193">
        <v>2004</v>
      </c>
      <c r="I2" s="193">
        <v>100.43</v>
      </c>
      <c r="J2" s="17"/>
    </row>
    <row r="3" spans="1:10" ht="15">
      <c r="A3" s="188" t="s">
        <v>216</v>
      </c>
      <c r="B3" s="3">
        <v>671664.58400000003</v>
      </c>
      <c r="C3" s="3">
        <v>680172</v>
      </c>
      <c r="D3" s="3">
        <v>687348</v>
      </c>
      <c r="E3" s="3">
        <v>691293</v>
      </c>
      <c r="F3" s="3">
        <v>694783</v>
      </c>
      <c r="H3" s="192">
        <v>2017</v>
      </c>
      <c r="I3" s="194">
        <v>1109.6500000000001</v>
      </c>
      <c r="J3" s="195">
        <f>(I3-I2)/I2</f>
        <v>10.048989345813004</v>
      </c>
    </row>
    <row r="4" spans="1:10">
      <c r="A4" s="189"/>
      <c r="H4" s="17"/>
    </row>
    <row r="5" spans="1:10">
      <c r="H5" s="17"/>
    </row>
    <row r="30" spans="9:9">
      <c r="I30" s="190"/>
    </row>
    <row r="31" spans="9:9">
      <c r="I31" s="191"/>
    </row>
  </sheetData>
  <mergeCells count="1">
    <mergeCell ref="A1:F1"/>
  </mergeCells>
  <pageMargins left="0.7" right="0.7" top="0.75" bottom="0.75" header="0.3" footer="0.3"/>
  <drawing r:id="rId1"/>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499984740745262"/>
  </sheetPr>
  <dimension ref="A1:S254"/>
  <sheetViews>
    <sheetView zoomScaleNormal="137" workbookViewId="0">
      <pane xSplit="1" ySplit="1" topLeftCell="B2" activePane="bottomRight" state="frozen"/>
      <selection pane="topRight" activeCell="B1" sqref="B1"/>
      <selection pane="bottomLeft" activeCell="A2" sqref="A2"/>
      <selection pane="bottomRight"/>
    </sheetView>
  </sheetViews>
  <sheetFormatPr baseColWidth="10" defaultColWidth="10.83203125" defaultRowHeight="16"/>
  <cols>
    <col min="1" max="1" width="12.6640625" style="128" bestFit="1" customWidth="1"/>
    <col min="2" max="3" width="15.5" style="127" bestFit="1" customWidth="1"/>
    <col min="4" max="4" width="13" style="128" bestFit="1" customWidth="1"/>
    <col min="5" max="5" width="7.1640625" style="127" bestFit="1" customWidth="1"/>
    <col min="6" max="6" width="12.33203125" style="126" bestFit="1" customWidth="1"/>
    <col min="7" max="7" width="14.1640625" style="126" bestFit="1" customWidth="1"/>
    <col min="8" max="8" width="14.5" style="126" bestFit="1" customWidth="1"/>
    <col min="9" max="9" width="9" style="126" bestFit="1" customWidth="1"/>
    <col min="10" max="10" width="16.1640625" style="126" bestFit="1" customWidth="1"/>
    <col min="11" max="11" width="17.1640625" style="126" bestFit="1" customWidth="1"/>
    <col min="12" max="12" width="10.83203125" style="126"/>
    <col min="13" max="14" width="15.5" style="126" bestFit="1" customWidth="1"/>
    <col min="15" max="15" width="16.33203125" style="126" bestFit="1" customWidth="1"/>
    <col min="16" max="16" width="25.5" style="128" bestFit="1" customWidth="1"/>
    <col min="17" max="17" width="30.5" style="128" bestFit="1" customWidth="1"/>
    <col min="18" max="18" width="21.83203125" style="126" bestFit="1" customWidth="1"/>
    <col min="19" max="19" width="20.1640625" style="126" bestFit="1" customWidth="1"/>
    <col min="20" max="16384" width="10.83203125" style="126"/>
  </cols>
  <sheetData>
    <row r="1" spans="1:19">
      <c r="A1" s="132" t="s">
        <v>161</v>
      </c>
      <c r="B1" s="133" t="s">
        <v>140</v>
      </c>
      <c r="C1" s="134" t="s">
        <v>160</v>
      </c>
      <c r="D1" s="135" t="s">
        <v>159</v>
      </c>
      <c r="E1" s="136" t="s">
        <v>158</v>
      </c>
      <c r="F1" s="137" t="s">
        <v>157</v>
      </c>
      <c r="G1" s="133" t="s">
        <v>162</v>
      </c>
      <c r="H1" s="134" t="s">
        <v>163</v>
      </c>
      <c r="I1" s="135" t="s">
        <v>166</v>
      </c>
      <c r="J1" s="133" t="s">
        <v>164</v>
      </c>
      <c r="K1" s="134" t="s">
        <v>165</v>
      </c>
      <c r="M1" s="133" t="s">
        <v>140</v>
      </c>
      <c r="N1" s="146" t="s">
        <v>194</v>
      </c>
      <c r="O1" s="147" t="s">
        <v>195</v>
      </c>
      <c r="P1" s="148" t="s">
        <v>196</v>
      </c>
      <c r="Q1" s="148" t="s">
        <v>197</v>
      </c>
      <c r="R1" s="149"/>
      <c r="S1" s="149"/>
    </row>
    <row r="2" spans="1:19">
      <c r="A2" s="131" t="d">
        <v>2017-01-03</v>
      </c>
      <c r="B2" s="127">
        <v>808.01000999999997</v>
      </c>
      <c r="C2" s="127">
        <v>2257.830078</v>
      </c>
      <c r="D2" s="130" t="d">
        <v>2017-01-03</v>
      </c>
      <c r="E2" s="129">
        <v>0.53</v>
      </c>
      <c r="F2" s="126">
        <f t="shared" ref="F2:F65" si="0">VLOOKUP($A$1:$A$251,$D$1:$E$251,2)</f>
        <v>0.53</v>
      </c>
      <c r="I2" s="126">
        <f>E2/100</f>
        <v>5.3E-3</v>
      </c>
      <c r="J2" s="126" t="s">
        <v>167</v>
      </c>
      <c r="K2" s="126" t="s">
        <v>168</v>
      </c>
      <c r="M2" s="127">
        <v>808.01000999999997</v>
      </c>
      <c r="N2" s="126">
        <f>AVERAGE($M$2:$M$251)</f>
        <v>939.56292264400054</v>
      </c>
      <c r="O2" s="126">
        <f>M2-$N2</f>
        <v>-131.55291264400057</v>
      </c>
      <c r="P2" s="128">
        <f>O2^2</f>
        <v>17306.168825120047</v>
      </c>
      <c r="Q2" s="152">
        <f>SUM(P2:P251)</f>
        <v>1417287.6071895666</v>
      </c>
      <c r="R2" s="150"/>
      <c r="S2" s="149"/>
    </row>
    <row r="3" spans="1:19">
      <c r="A3" s="131" t="d">
        <v>2017-01-04</v>
      </c>
      <c r="B3" s="127">
        <v>807.77002000000005</v>
      </c>
      <c r="C3" s="127">
        <v>2270.75</v>
      </c>
      <c r="D3" s="130" t="d">
        <v>2017-01-04</v>
      </c>
      <c r="E3" s="129">
        <v>0.52</v>
      </c>
      <c r="F3" s="126">
        <f t="shared" si="0"/>
        <v>0.52</v>
      </c>
      <c r="G3" s="138">
        <f>(B3-B2)/B2</f>
        <v>-2.9701364714518905E-4</v>
      </c>
      <c r="H3" s="138">
        <f>(C3-C2)/C2</f>
        <v>5.7222738442055795E-3</v>
      </c>
      <c r="I3" s="126">
        <f t="shared" ref="I3:I66" si="1">E3/100</f>
        <v>5.1999999999999998E-3</v>
      </c>
      <c r="J3" s="139">
        <f>G3-$I3</f>
        <v>-5.4970136471451884E-3</v>
      </c>
      <c r="K3" s="139">
        <f>H3-$I3</f>
        <v>5.2227384420557976E-4</v>
      </c>
      <c r="M3" s="127">
        <v>807.77002000000005</v>
      </c>
      <c r="N3" s="126">
        <f t="shared" ref="N3:N66" si="2">AVERAGE($M$2:$M$251)</f>
        <v>939.56292264400054</v>
      </c>
      <c r="O3" s="126">
        <f t="shared" ref="O3:O66" si="3">M3-$N3</f>
        <v>-131.79290264400049</v>
      </c>
      <c r="P3" s="128">
        <f t="shared" ref="P3:P66" si="4">O3^2</f>
        <v>17369.369187330991</v>
      </c>
    </row>
    <row r="4" spans="1:19">
      <c r="A4" s="131" t="d">
        <v>2017-01-05</v>
      </c>
      <c r="B4" s="127">
        <v>813.02002000000005</v>
      </c>
      <c r="C4" s="127">
        <v>2269</v>
      </c>
      <c r="D4" s="130" t="d">
        <v>2017-01-05</v>
      </c>
      <c r="E4" s="129">
        <v>0.51</v>
      </c>
      <c r="F4" s="126">
        <f t="shared" si="0"/>
        <v>0.51</v>
      </c>
      <c r="G4" s="138">
        <f t="shared" ref="G4:G67" si="5">(B4-B3)/B3</f>
        <v>6.4993746611195094E-3</v>
      </c>
      <c r="H4" s="138">
        <f t="shared" ref="H4:H67" si="6">(C4-C3)/C3</f>
        <v>-7.7067048332048887E-4</v>
      </c>
      <c r="I4" s="126">
        <f t="shared" si="1"/>
        <v>5.1000000000000004E-3</v>
      </c>
      <c r="J4" s="139">
        <f t="shared" ref="J4:J67" si="7">G4-$I4</f>
        <v>1.3993746611195091E-3</v>
      </c>
      <c r="K4" s="139">
        <f t="shared" ref="K4:K67" si="8">H4-$I4</f>
        <v>-5.8706704833204892E-3</v>
      </c>
      <c r="M4" s="127">
        <v>813.02002000000005</v>
      </c>
      <c r="N4" s="126">
        <f t="shared" si="2"/>
        <v>939.56292264400054</v>
      </c>
      <c r="O4" s="126">
        <f>M4-$N4</f>
        <v>-126.54290264400049</v>
      </c>
      <c r="P4" s="128">
        <f t="shared" si="4"/>
        <v>16013.106209568987</v>
      </c>
      <c r="Q4" s="148" t="s">
        <v>198</v>
      </c>
    </row>
    <row r="5" spans="1:19">
      <c r="A5" s="131" t="d">
        <v>2017-01-06</v>
      </c>
      <c r="B5" s="127">
        <v>825.21002199999998</v>
      </c>
      <c r="C5" s="127">
        <v>2276.9799800000001</v>
      </c>
      <c r="D5" s="130" t="d">
        <v>2017-01-06</v>
      </c>
      <c r="E5" s="129">
        <v>0.52</v>
      </c>
      <c r="F5" s="126">
        <f t="shared" si="0"/>
        <v>0.52</v>
      </c>
      <c r="G5" s="138">
        <f>(B5-B4)/B4</f>
        <v>1.4993483186305714E-2</v>
      </c>
      <c r="H5" s="138">
        <f t="shared" si="6"/>
        <v>3.5169590127809912E-3</v>
      </c>
      <c r="I5" s="126">
        <f t="shared" si="1"/>
        <v>5.1999999999999998E-3</v>
      </c>
      <c r="J5" s="139">
        <f t="shared" si="7"/>
        <v>9.7934831863057143E-3</v>
      </c>
      <c r="K5" s="139">
        <f t="shared" si="8"/>
        <v>-1.6830409872190086E-3</v>
      </c>
      <c r="M5" s="127">
        <v>825.21002199999998</v>
      </c>
      <c r="N5" s="126">
        <f>AVERAGE($M$2:$M$251)</f>
        <v>939.56292264400054</v>
      </c>
      <c r="O5" s="126">
        <f t="shared" si="3"/>
        <v>-114.35290064400056</v>
      </c>
      <c r="P5" s="128">
        <f t="shared" si="4"/>
        <v>13076.585885696662</v>
      </c>
      <c r="Q5" s="153">
        <f>Q2/251</f>
        <v>5646.5641720699869</v>
      </c>
      <c r="R5" s="233"/>
    </row>
    <row r="6" spans="1:19">
      <c r="A6" s="131" t="d">
        <v>2017-01-09</v>
      </c>
      <c r="B6" s="127">
        <v>827.17999299999997</v>
      </c>
      <c r="C6" s="127">
        <v>2268.8999020000001</v>
      </c>
      <c r="D6" s="130" t="d">
        <v>2017-01-09</v>
      </c>
      <c r="E6" s="129">
        <v>0.5</v>
      </c>
      <c r="F6" s="126">
        <f t="shared" si="0"/>
        <v>0.5</v>
      </c>
      <c r="G6" s="138">
        <f>(B6-B5)/B5</f>
        <v>2.3872359126535024E-3</v>
      </c>
      <c r="H6" s="138">
        <f t="shared" si="6"/>
        <v>-3.548594221719928E-3</v>
      </c>
      <c r="I6" s="126">
        <f>E6/100</f>
        <v>5.0000000000000001E-3</v>
      </c>
      <c r="J6" s="139">
        <f t="shared" si="7"/>
        <v>-2.6127640873464977E-3</v>
      </c>
      <c r="K6" s="139">
        <f t="shared" si="8"/>
        <v>-8.5485942217199285E-3</v>
      </c>
      <c r="M6" s="127">
        <v>827.17999299999997</v>
      </c>
      <c r="N6" s="126">
        <f t="shared" si="2"/>
        <v>939.56292264400054</v>
      </c>
      <c r="O6" s="126">
        <f t="shared" si="3"/>
        <v>-112.38292964400057</v>
      </c>
      <c r="P6" s="128">
        <f t="shared" si="4"/>
        <v>12629.922875368382</v>
      </c>
    </row>
    <row r="7" spans="1:19">
      <c r="A7" s="131" t="d">
        <v>2017-01-10</v>
      </c>
      <c r="B7" s="127">
        <v>826.01000999999997</v>
      </c>
      <c r="C7" s="127">
        <v>2268.8999020000001</v>
      </c>
      <c r="D7" s="130" t="d">
        <v>2017-01-10</v>
      </c>
      <c r="E7" s="129">
        <v>0.51</v>
      </c>
      <c r="F7" s="126">
        <f t="shared" si="0"/>
        <v>0.51</v>
      </c>
      <c r="G7" s="138">
        <f t="shared" si="5"/>
        <v>-1.4144237166045699E-3</v>
      </c>
      <c r="H7" s="138">
        <f t="shared" si="6"/>
        <v>0</v>
      </c>
      <c r="I7" s="126">
        <f t="shared" si="1"/>
        <v>5.1000000000000004E-3</v>
      </c>
      <c r="J7" s="139">
        <f t="shared" si="7"/>
        <v>-6.51442371660457E-3</v>
      </c>
      <c r="K7" s="139">
        <f t="shared" si="8"/>
        <v>-5.1000000000000004E-3</v>
      </c>
      <c r="M7" s="127">
        <v>826.01000999999997</v>
      </c>
      <c r="N7" s="126">
        <f t="shared" si="2"/>
        <v>939.56292264400054</v>
      </c>
      <c r="O7" s="126">
        <f t="shared" si="3"/>
        <v>-113.55291264400057</v>
      </c>
      <c r="P7" s="128">
        <f>O7^2</f>
        <v>12894.263969936024</v>
      </c>
      <c r="Q7" s="151" t="s">
        <v>199</v>
      </c>
    </row>
    <row r="8" spans="1:19">
      <c r="A8" s="131" t="d">
        <v>2017-01-11</v>
      </c>
      <c r="B8" s="127">
        <v>829.85998500000005</v>
      </c>
      <c r="C8" s="127">
        <v>2275.320068</v>
      </c>
      <c r="D8" s="130" t="d">
        <v>2017-01-11</v>
      </c>
      <c r="E8" s="129">
        <v>0.51</v>
      </c>
      <c r="F8" s="126">
        <f t="shared" si="0"/>
        <v>0.51</v>
      </c>
      <c r="G8" s="138">
        <f t="shared" si="5"/>
        <v>4.6609301986547183E-3</v>
      </c>
      <c r="H8" s="138">
        <f t="shared" si="6"/>
        <v>2.8296382728654553E-3</v>
      </c>
      <c r="I8" s="126">
        <f t="shared" si="1"/>
        <v>5.1000000000000004E-3</v>
      </c>
      <c r="J8" s="139">
        <f t="shared" si="7"/>
        <v>-4.3906980134528206E-4</v>
      </c>
      <c r="K8" s="139">
        <f t="shared" si="8"/>
        <v>-2.2703617271345451E-3</v>
      </c>
      <c r="M8" s="127">
        <v>829.85998500000005</v>
      </c>
      <c r="N8" s="126">
        <f t="shared" si="2"/>
        <v>939.56292264400054</v>
      </c>
      <c r="O8" s="126">
        <f t="shared" si="3"/>
        <v>-109.70293764400049</v>
      </c>
      <c r="P8" s="128">
        <f>O8^2</f>
        <v>12034.734527723458</v>
      </c>
      <c r="Q8" s="234">
        <f>SQRT(Q5)</f>
        <v>75.143623628821544</v>
      </c>
    </row>
    <row r="9" spans="1:19">
      <c r="A9" s="131" t="d">
        <v>2017-01-12</v>
      </c>
      <c r="B9" s="127">
        <v>829.53002900000001</v>
      </c>
      <c r="C9" s="127">
        <v>2270.4399410000001</v>
      </c>
      <c r="D9" s="130" t="d">
        <v>2017-01-12</v>
      </c>
      <c r="E9" s="129">
        <v>0.51</v>
      </c>
      <c r="F9" s="126">
        <f t="shared" si="0"/>
        <v>0.51</v>
      </c>
      <c r="G9" s="138">
        <f t="shared" si="5"/>
        <v>-3.9760442238944479E-4</v>
      </c>
      <c r="H9" s="138">
        <f t="shared" si="6"/>
        <v>-2.144809017699879E-3</v>
      </c>
      <c r="I9" s="126">
        <f t="shared" si="1"/>
        <v>5.1000000000000004E-3</v>
      </c>
      <c r="J9" s="139">
        <f t="shared" si="7"/>
        <v>-5.4976044223894452E-3</v>
      </c>
      <c r="K9" s="139">
        <f t="shared" si="8"/>
        <v>-7.2448090176998794E-3</v>
      </c>
      <c r="M9" s="127">
        <v>829.53002900000001</v>
      </c>
      <c r="N9" s="126">
        <f t="shared" si="2"/>
        <v>939.56292264400054</v>
      </c>
      <c r="O9" s="126">
        <f>M9-$N9</f>
        <v>-110.03289364400052</v>
      </c>
      <c r="P9" s="128">
        <f t="shared" si="4"/>
        <v>12107.23768367193</v>
      </c>
    </row>
    <row r="10" spans="1:19">
      <c r="A10" s="131" t="d">
        <v>2017-01-13</v>
      </c>
      <c r="B10" s="127">
        <v>830.94000200000005</v>
      </c>
      <c r="C10" s="127">
        <v>2274.639893</v>
      </c>
      <c r="D10" s="130" t="d">
        <v>2017-01-13</v>
      </c>
      <c r="E10" s="129">
        <v>0.52</v>
      </c>
      <c r="F10" s="126">
        <f t="shared" si="0"/>
        <v>0.52</v>
      </c>
      <c r="G10" s="138">
        <f t="shared" si="5"/>
        <v>1.6997250861427661E-3</v>
      </c>
      <c r="H10" s="138">
        <f t="shared" si="6"/>
        <v>1.8498406076093335E-3</v>
      </c>
      <c r="I10" s="126">
        <f t="shared" si="1"/>
        <v>5.1999999999999998E-3</v>
      </c>
      <c r="J10" s="139">
        <f t="shared" si="7"/>
        <v>-3.5002749138572336E-3</v>
      </c>
      <c r="K10" s="139">
        <f t="shared" si="8"/>
        <v>-3.3501593923906661E-3</v>
      </c>
      <c r="M10" s="127">
        <v>830.94000200000005</v>
      </c>
      <c r="N10" s="126">
        <f t="shared" si="2"/>
        <v>939.56292264400054</v>
      </c>
      <c r="O10" s="126">
        <f t="shared" si="3"/>
        <v>-108.62292064400049</v>
      </c>
      <c r="P10" s="128">
        <f t="shared" si="4"/>
        <v>11798.938889232828</v>
      </c>
    </row>
    <row r="11" spans="1:19">
      <c r="A11" s="131" t="d">
        <v>2017-01-17</v>
      </c>
      <c r="B11" s="127">
        <v>827.46002199999998</v>
      </c>
      <c r="C11" s="127">
        <v>2267.889893</v>
      </c>
      <c r="D11" s="130" t="d">
        <v>2017-01-17</v>
      </c>
      <c r="E11" s="129">
        <v>0.54</v>
      </c>
      <c r="F11" s="126">
        <f t="shared" si="0"/>
        <v>0.54</v>
      </c>
      <c r="G11" s="138">
        <f t="shared" si="5"/>
        <v>-4.1880039372566742E-3</v>
      </c>
      <c r="H11" s="138">
        <f t="shared" si="6"/>
        <v>-2.9675026894465883E-3</v>
      </c>
      <c r="I11" s="126">
        <f t="shared" si="1"/>
        <v>5.4000000000000003E-3</v>
      </c>
      <c r="J11" s="139">
        <f>G11-$I11</f>
        <v>-9.5880039372566745E-3</v>
      </c>
      <c r="K11" s="139">
        <f t="shared" si="8"/>
        <v>-8.367502689446589E-3</v>
      </c>
      <c r="M11" s="127">
        <v>827.46002199999998</v>
      </c>
      <c r="N11" s="126">
        <f>AVERAGE($M$2:$M$251)</f>
        <v>939.56292264400054</v>
      </c>
      <c r="O11" s="126">
        <f t="shared" si="3"/>
        <v>-112.10290064400056</v>
      </c>
      <c r="P11" s="128">
        <f>O11^2</f>
        <v>12567.060332798661</v>
      </c>
    </row>
    <row r="12" spans="1:19">
      <c r="A12" s="131" t="d">
        <v>2017-01-18</v>
      </c>
      <c r="B12" s="127">
        <v>829.02002000000005</v>
      </c>
      <c r="C12" s="127">
        <v>2271.889893</v>
      </c>
      <c r="D12" s="130" t="d">
        <v>2017-01-18</v>
      </c>
      <c r="E12" s="129">
        <v>0.52</v>
      </c>
      <c r="F12" s="126">
        <f t="shared" si="0"/>
        <v>0.52</v>
      </c>
      <c r="G12" s="138">
        <f t="shared" si="5"/>
        <v>1.885285039184726E-3</v>
      </c>
      <c r="H12" s="138">
        <f t="shared" si="6"/>
        <v>1.7637540571728276E-3</v>
      </c>
      <c r="I12" s="126">
        <f t="shared" si="1"/>
        <v>5.1999999999999998E-3</v>
      </c>
      <c r="J12" s="139">
        <f t="shared" si="7"/>
        <v>-3.3147149608152736E-3</v>
      </c>
      <c r="K12" s="139">
        <f t="shared" si="8"/>
        <v>-3.4362459428271723E-3</v>
      </c>
      <c r="M12" s="127">
        <v>829.02002000000005</v>
      </c>
      <c r="N12" s="126">
        <f t="shared" si="2"/>
        <v>939.56292264400054</v>
      </c>
      <c r="O12" s="126">
        <f t="shared" si="3"/>
        <v>-110.54290264400049</v>
      </c>
      <c r="P12" s="128">
        <f>O12^2</f>
        <v>12219.733324960971</v>
      </c>
    </row>
    <row r="13" spans="1:19">
      <c r="A13" s="131" t="d">
        <v>2017-01-19</v>
      </c>
      <c r="B13" s="127">
        <v>824.36999500000002</v>
      </c>
      <c r="C13" s="127">
        <v>2263.6899410000001</v>
      </c>
      <c r="D13" s="130" t="d">
        <v>2017-01-19</v>
      </c>
      <c r="E13" s="129">
        <v>0.51</v>
      </c>
      <c r="F13" s="126">
        <f t="shared" si="0"/>
        <v>0.51</v>
      </c>
      <c r="G13" s="138">
        <f t="shared" si="5"/>
        <v>-5.6090623722211529E-3</v>
      </c>
      <c r="H13" s="138">
        <f t="shared" si="6"/>
        <v>-3.6093087192584027E-3</v>
      </c>
      <c r="I13" s="126">
        <f t="shared" si="1"/>
        <v>5.1000000000000004E-3</v>
      </c>
      <c r="J13" s="139">
        <f t="shared" si="7"/>
        <v>-1.0709062372221153E-2</v>
      </c>
      <c r="K13" s="139">
        <f t="shared" si="8"/>
        <v>-8.7093087192584035E-3</v>
      </c>
      <c r="M13" s="127">
        <v>824.36999500000002</v>
      </c>
      <c r="N13" s="126">
        <f t="shared" si="2"/>
        <v>939.56292264400054</v>
      </c>
      <c r="O13" s="126">
        <f>M13-$N13</f>
        <v>-115.19292764400052</v>
      </c>
      <c r="P13" s="128">
        <f t="shared" si="4"/>
        <v>13269.410579195939</v>
      </c>
    </row>
    <row r="14" spans="1:19">
      <c r="A14" s="131" t="d">
        <v>2017-01-20</v>
      </c>
      <c r="B14" s="127">
        <v>828.169983</v>
      </c>
      <c r="C14" s="127">
        <v>2271.3100589999999</v>
      </c>
      <c r="D14" s="130" t="d">
        <v>2017-01-20</v>
      </c>
      <c r="E14" s="129">
        <v>0.49</v>
      </c>
      <c r="F14" s="126">
        <f t="shared" si="0"/>
        <v>0.49</v>
      </c>
      <c r="G14" s="138">
        <f t="shared" si="5"/>
        <v>4.609566120853276E-3</v>
      </c>
      <c r="H14" s="138">
        <f t="shared" si="6"/>
        <v>3.3662375142390669E-3</v>
      </c>
      <c r="I14" s="126">
        <f t="shared" si="1"/>
        <v>4.8999999999999998E-3</v>
      </c>
      <c r="J14" s="139">
        <f t="shared" si="7"/>
        <v>-2.9043387914672383E-4</v>
      </c>
      <c r="K14" s="139">
        <f t="shared" si="8"/>
        <v>-1.5337624857609329E-3</v>
      </c>
      <c r="M14" s="127">
        <v>828.169983</v>
      </c>
      <c r="N14" s="126">
        <f t="shared" si="2"/>
        <v>939.56292264400054</v>
      </c>
      <c r="O14" s="126">
        <f t="shared" si="3"/>
        <v>-111.39293964400053</v>
      </c>
      <c r="P14" s="128">
        <f t="shared" si="4"/>
        <v>12408.387002531947</v>
      </c>
    </row>
    <row r="15" spans="1:19">
      <c r="A15" s="131" t="d">
        <v>2017-01-23</v>
      </c>
      <c r="B15" s="127">
        <v>844.42999299999997</v>
      </c>
      <c r="C15" s="127">
        <v>2265.1999510000001</v>
      </c>
      <c r="D15" s="130" t="d">
        <v>2017-01-23</v>
      </c>
      <c r="E15" s="129">
        <v>0.51</v>
      </c>
      <c r="F15" s="126">
        <f t="shared" si="0"/>
        <v>0.51</v>
      </c>
      <c r="G15" s="138">
        <f t="shared" si="5"/>
        <v>1.963366257383415E-2</v>
      </c>
      <c r="H15" s="138">
        <f t="shared" si="6"/>
        <v>-2.6901250121218502E-3</v>
      </c>
      <c r="I15" s="126">
        <f t="shared" si="1"/>
        <v>5.1000000000000004E-3</v>
      </c>
      <c r="J15" s="139">
        <f t="shared" si="7"/>
        <v>1.453366257383415E-2</v>
      </c>
      <c r="K15" s="139">
        <f t="shared" si="8"/>
        <v>-7.7901250121218506E-3</v>
      </c>
      <c r="M15" s="127">
        <v>844.42999299999997</v>
      </c>
      <c r="N15" s="126">
        <f t="shared" si="2"/>
        <v>939.56292264400054</v>
      </c>
      <c r="O15" s="126">
        <f t="shared" si="3"/>
        <v>-95.132929644000569</v>
      </c>
      <c r="P15" s="128">
        <f>O15^2</f>
        <v>9050.2743026503631</v>
      </c>
    </row>
    <row r="16" spans="1:19">
      <c r="A16" s="131" t="d">
        <v>2017-01-24</v>
      </c>
      <c r="B16" s="127">
        <v>849.53002900000001</v>
      </c>
      <c r="C16" s="127">
        <v>2280.070068</v>
      </c>
      <c r="D16" s="130" t="d">
        <v>2017-01-24</v>
      </c>
      <c r="E16" s="129">
        <v>0.5</v>
      </c>
      <c r="F16" s="126">
        <f t="shared" si="0"/>
        <v>0.5</v>
      </c>
      <c r="G16" s="138">
        <f t="shared" si="5"/>
        <v>6.0396196751387127E-3</v>
      </c>
      <c r="H16" s="138">
        <f t="shared" si="6"/>
        <v>6.5645935553880538E-3</v>
      </c>
      <c r="I16" s="126">
        <f t="shared" si="1"/>
        <v>5.0000000000000001E-3</v>
      </c>
      <c r="J16" s="139">
        <f t="shared" si="7"/>
        <v>1.0396196751387126E-3</v>
      </c>
      <c r="K16" s="139">
        <f t="shared" si="8"/>
        <v>1.5645935553880537E-3</v>
      </c>
      <c r="M16" s="127">
        <v>849.53002900000001</v>
      </c>
      <c r="N16" s="126">
        <f t="shared" si="2"/>
        <v>939.56292264400054</v>
      </c>
      <c r="O16" s="126">
        <f t="shared" si="3"/>
        <v>-90.032893644000524</v>
      </c>
      <c r="P16" s="128">
        <f t="shared" si="4"/>
        <v>8105.9219379119095</v>
      </c>
    </row>
    <row r="17" spans="1:16">
      <c r="A17" s="131" t="d">
        <v>2017-01-25</v>
      </c>
      <c r="B17" s="127">
        <v>858.45001200000002</v>
      </c>
      <c r="C17" s="127">
        <v>2298.3701169999999</v>
      </c>
      <c r="D17" s="130" t="d">
        <v>2017-01-25</v>
      </c>
      <c r="E17" s="129">
        <v>0.49</v>
      </c>
      <c r="F17" s="126">
        <f t="shared" si="0"/>
        <v>0.49</v>
      </c>
      <c r="G17" s="138">
        <f t="shared" si="5"/>
        <v>1.0499903117609516E-2</v>
      </c>
      <c r="H17" s="138">
        <f t="shared" si="6"/>
        <v>8.0260906262640107E-3</v>
      </c>
      <c r="I17" s="126">
        <f t="shared" si="1"/>
        <v>4.8999999999999998E-3</v>
      </c>
      <c r="J17" s="139">
        <f t="shared" si="7"/>
        <v>5.5999031176095157E-3</v>
      </c>
      <c r="K17" s="139">
        <f t="shared" si="8"/>
        <v>3.1260906262640109E-3</v>
      </c>
      <c r="M17" s="127">
        <v>858.45001200000002</v>
      </c>
      <c r="N17" s="126">
        <f>AVERAGE($M$2:$M$251)</f>
        <v>939.56292264400054</v>
      </c>
      <c r="O17" s="126">
        <f t="shared" si="3"/>
        <v>-81.112910644000522</v>
      </c>
      <c r="P17" s="128">
        <f t="shared" si="4"/>
        <v>6579.3042731416135</v>
      </c>
    </row>
    <row r="18" spans="1:16">
      <c r="A18" s="131" t="d">
        <v>2017-01-26</v>
      </c>
      <c r="B18" s="127">
        <v>856.97997999999995</v>
      </c>
      <c r="C18" s="127">
        <v>2296.679932</v>
      </c>
      <c r="D18" s="130" t="d">
        <v>2017-01-26</v>
      </c>
      <c r="E18" s="129">
        <v>0.5</v>
      </c>
      <c r="F18" s="126">
        <f t="shared" si="0"/>
        <v>0.5</v>
      </c>
      <c r="G18" s="138">
        <f t="shared" si="5"/>
        <v>-1.7124258599230588E-3</v>
      </c>
      <c r="H18" s="138">
        <f t="shared" si="6"/>
        <v>-7.3538416963325347E-4</v>
      </c>
      <c r="I18" s="126">
        <f t="shared" si="1"/>
        <v>5.0000000000000001E-3</v>
      </c>
      <c r="J18" s="139">
        <f>G18-$I18</f>
        <v>-6.7124258599230591E-3</v>
      </c>
      <c r="K18" s="139">
        <f t="shared" si="8"/>
        <v>-5.7353841696332532E-3</v>
      </c>
      <c r="M18" s="127">
        <v>856.97997999999995</v>
      </c>
      <c r="N18" s="126">
        <f t="shared" si="2"/>
        <v>939.56292264400054</v>
      </c>
      <c r="O18" s="126">
        <f>M18-$N18</f>
        <v>-82.582942644000582</v>
      </c>
      <c r="P18" s="128">
        <f>O18^2</f>
        <v>6819.94241574229</v>
      </c>
    </row>
    <row r="19" spans="1:16">
      <c r="A19" s="131" t="d">
        <v>2017-01-27</v>
      </c>
      <c r="B19" s="127">
        <v>845.03002900000001</v>
      </c>
      <c r="C19" s="127">
        <v>2294.6899410000001</v>
      </c>
      <c r="D19" s="130" t="d">
        <v>2017-01-27</v>
      </c>
      <c r="E19" s="129">
        <v>0.51</v>
      </c>
      <c r="F19" s="126">
        <f t="shared" si="0"/>
        <v>0.51</v>
      </c>
      <c r="G19" s="138">
        <f t="shared" si="5"/>
        <v>-1.394425923462056E-2</v>
      </c>
      <c r="H19" s="138">
        <f t="shared" si="6"/>
        <v>-8.6646422615230918E-4</v>
      </c>
      <c r="I19" s="126">
        <f t="shared" si="1"/>
        <v>5.1000000000000004E-3</v>
      </c>
      <c r="J19" s="139">
        <f t="shared" si="7"/>
        <v>-1.904425923462056E-2</v>
      </c>
      <c r="K19" s="139">
        <f t="shared" si="8"/>
        <v>-5.9664642261523099E-3</v>
      </c>
      <c r="M19" s="127">
        <v>845.03002900000001</v>
      </c>
      <c r="N19" s="126">
        <f t="shared" si="2"/>
        <v>939.56292264400054</v>
      </c>
      <c r="O19" s="126">
        <f t="shared" si="3"/>
        <v>-94.532893644000524</v>
      </c>
      <c r="P19" s="128">
        <f t="shared" si="4"/>
        <v>8936.4679807079137</v>
      </c>
    </row>
    <row r="20" spans="1:16">
      <c r="A20" s="131" t="d">
        <v>2017-01-30</v>
      </c>
      <c r="B20" s="127">
        <v>823.830017</v>
      </c>
      <c r="C20" s="127">
        <v>2280.8999020000001</v>
      </c>
      <c r="D20" s="130" t="d">
        <v>2017-01-30</v>
      </c>
      <c r="E20" s="129">
        <v>0.51</v>
      </c>
      <c r="F20" s="126">
        <f t="shared" si="0"/>
        <v>0.51</v>
      </c>
      <c r="G20" s="138">
        <f t="shared" si="5"/>
        <v>-2.5087880042662974E-2</v>
      </c>
      <c r="H20" s="138">
        <f t="shared" si="6"/>
        <v>-6.0095434915230575E-3</v>
      </c>
      <c r="I20" s="126">
        <f t="shared" si="1"/>
        <v>5.1000000000000004E-3</v>
      </c>
      <c r="J20" s="139">
        <f t="shared" si="7"/>
        <v>-3.0187880042662974E-2</v>
      </c>
      <c r="K20" s="139">
        <f t="shared" si="8"/>
        <v>-1.1109543491523058E-2</v>
      </c>
      <c r="M20" s="127">
        <v>823.830017</v>
      </c>
      <c r="N20" s="126">
        <f t="shared" si="2"/>
        <v>939.56292264400054</v>
      </c>
      <c r="O20" s="126">
        <f t="shared" si="3"/>
        <v>-115.73290564400054</v>
      </c>
      <c r="P20" s="128">
        <f>O20^2</f>
        <v>13394.105448803131</v>
      </c>
    </row>
    <row r="21" spans="1:16">
      <c r="A21" s="131" t="d">
        <v>2017-01-31</v>
      </c>
      <c r="B21" s="127">
        <v>820.19000200000005</v>
      </c>
      <c r="C21" s="127">
        <v>2278.8701169999999</v>
      </c>
      <c r="D21" s="130" t="d">
        <v>2017-01-31</v>
      </c>
      <c r="E21" s="129">
        <v>0.52</v>
      </c>
      <c r="F21" s="126">
        <f t="shared" si="0"/>
        <v>0.52</v>
      </c>
      <c r="G21" s="138">
        <f t="shared" si="5"/>
        <v>-4.4184054051042768E-3</v>
      </c>
      <c r="H21" s="138">
        <f t="shared" si="6"/>
        <v>-8.8990533877456165E-4</v>
      </c>
      <c r="I21" s="126">
        <f t="shared" si="1"/>
        <v>5.1999999999999998E-3</v>
      </c>
      <c r="J21" s="139">
        <f t="shared" si="7"/>
        <v>-9.6184054051042765E-3</v>
      </c>
      <c r="K21" s="139">
        <f t="shared" si="8"/>
        <v>-6.0899053387745618E-3</v>
      </c>
      <c r="M21" s="127">
        <v>820.19000200000005</v>
      </c>
      <c r="N21" s="126">
        <f t="shared" si="2"/>
        <v>939.56292264400054</v>
      </c>
      <c r="O21" s="126">
        <f>M21-$N21</f>
        <v>-119.37292064400049</v>
      </c>
      <c r="P21" s="128">
        <f t="shared" si="4"/>
        <v>14249.894183078837</v>
      </c>
    </row>
    <row r="22" spans="1:16">
      <c r="A22" s="131" t="d">
        <v>2017-02-01</v>
      </c>
      <c r="B22" s="127">
        <v>815.23999000000003</v>
      </c>
      <c r="C22" s="127">
        <v>2279.5500489999999</v>
      </c>
      <c r="D22" s="130" t="d">
        <v>2017-02-01</v>
      </c>
      <c r="E22" s="129">
        <v>0.5</v>
      </c>
      <c r="F22" s="126">
        <f t="shared" si="0"/>
        <v>0.5</v>
      </c>
      <c r="G22" s="138">
        <f t="shared" si="5"/>
        <v>-6.0352015849127784E-3</v>
      </c>
      <c r="H22" s="138">
        <f t="shared" si="6"/>
        <v>2.9836364737412019E-4</v>
      </c>
      <c r="I22" s="126">
        <f t="shared" si="1"/>
        <v>5.0000000000000001E-3</v>
      </c>
      <c r="J22" s="139">
        <f t="shared" si="7"/>
        <v>-1.1035201584912779E-2</v>
      </c>
      <c r="K22" s="139">
        <f t="shared" si="8"/>
        <v>-4.7016363526258802E-3</v>
      </c>
      <c r="M22" s="127">
        <v>815.23999000000003</v>
      </c>
      <c r="N22" s="126">
        <f>AVERAGE($M$2:$M$251)</f>
        <v>939.56292264400054</v>
      </c>
      <c r="O22" s="126">
        <f t="shared" si="3"/>
        <v>-124.3229326440005</v>
      </c>
      <c r="P22" s="128">
        <f t="shared" si="4"/>
        <v>15456.191581204686</v>
      </c>
    </row>
    <row r="23" spans="1:16">
      <c r="A23" s="131" t="d">
        <v>2017-02-02</v>
      </c>
      <c r="B23" s="127">
        <v>818.26000999999997</v>
      </c>
      <c r="C23" s="127">
        <v>2280.8500979999999</v>
      </c>
      <c r="D23" s="130" t="d">
        <v>2017-02-02</v>
      </c>
      <c r="E23" s="129">
        <v>0.51</v>
      </c>
      <c r="F23" s="126">
        <f t="shared" si="0"/>
        <v>0.51</v>
      </c>
      <c r="G23" s="138">
        <f t="shared" si="5"/>
        <v>3.7044551752177064E-3</v>
      </c>
      <c r="H23" s="138">
        <f t="shared" si="6"/>
        <v>5.7030947864919837E-4</v>
      </c>
      <c r="I23" s="126">
        <f t="shared" si="1"/>
        <v>5.1000000000000004E-3</v>
      </c>
      <c r="J23" s="139">
        <f t="shared" si="7"/>
        <v>-1.395544824782294E-3</v>
      </c>
      <c r="K23" s="139">
        <f t="shared" si="8"/>
        <v>-4.5296905213508022E-3</v>
      </c>
      <c r="M23" s="127">
        <v>818.26000999999997</v>
      </c>
      <c r="N23" s="126">
        <f t="shared" si="2"/>
        <v>939.56292264400054</v>
      </c>
      <c r="O23" s="126">
        <f t="shared" si="3"/>
        <v>-121.30291264400057</v>
      </c>
      <c r="P23" s="128">
        <f t="shared" si="4"/>
        <v>14714.396615918035</v>
      </c>
    </row>
    <row r="24" spans="1:16">
      <c r="A24" s="131" t="d">
        <v>2017-02-03</v>
      </c>
      <c r="B24" s="127">
        <v>820.13000499999998</v>
      </c>
      <c r="C24" s="127">
        <v>2297.419922</v>
      </c>
      <c r="D24" s="130" t="d">
        <v>2017-02-03</v>
      </c>
      <c r="E24" s="129">
        <v>0.5</v>
      </c>
      <c r="F24" s="126">
        <f t="shared" si="0"/>
        <v>0.5</v>
      </c>
      <c r="G24" s="138">
        <f t="shared" si="5"/>
        <v>2.2853310404354447E-3</v>
      </c>
      <c r="H24" s="138">
        <f t="shared" si="6"/>
        <v>7.2647580016458203E-3</v>
      </c>
      <c r="I24" s="126">
        <f t="shared" si="1"/>
        <v>5.0000000000000001E-3</v>
      </c>
      <c r="J24" s="139">
        <f t="shared" si="7"/>
        <v>-2.7146689595645554E-3</v>
      </c>
      <c r="K24" s="139">
        <f t="shared" si="8"/>
        <v>2.2647580016458202E-3</v>
      </c>
      <c r="M24" s="127">
        <v>820.13000499999998</v>
      </c>
      <c r="N24" s="126">
        <f t="shared" si="2"/>
        <v>939.56292264400054</v>
      </c>
      <c r="O24" s="126">
        <f t="shared" si="3"/>
        <v>-119.43291764400055</v>
      </c>
      <c r="P24" s="128">
        <f t="shared" si="4"/>
        <v>14264.221816958619</v>
      </c>
    </row>
    <row r="25" spans="1:16">
      <c r="A25" s="131" t="d">
        <v>2017-02-06</v>
      </c>
      <c r="B25" s="127">
        <v>821.61999500000002</v>
      </c>
      <c r="C25" s="127">
        <v>2292.5600589999999</v>
      </c>
      <c r="D25" s="130" t="d">
        <v>2017-02-06</v>
      </c>
      <c r="E25" s="129">
        <v>0.53</v>
      </c>
      <c r="F25" s="126">
        <f t="shared" si="0"/>
        <v>0.53</v>
      </c>
      <c r="G25" s="138">
        <f t="shared" si="5"/>
        <v>1.8167729395536924E-3</v>
      </c>
      <c r="H25" s="138">
        <f t="shared" si="6"/>
        <v>-2.1153568633501788E-3</v>
      </c>
      <c r="I25" s="126">
        <f t="shared" si="1"/>
        <v>5.3E-3</v>
      </c>
      <c r="J25" s="139">
        <f t="shared" si="7"/>
        <v>-3.4832270604463079E-3</v>
      </c>
      <c r="K25" s="139">
        <f t="shared" si="8"/>
        <v>-7.4153568633501792E-3</v>
      </c>
      <c r="M25" s="127">
        <v>821.61999500000002</v>
      </c>
      <c r="N25" s="126">
        <f t="shared" si="2"/>
        <v>939.56292264400054</v>
      </c>
      <c r="O25" s="126">
        <f t="shared" si="3"/>
        <v>-117.94292764400052</v>
      </c>
      <c r="P25" s="128">
        <f t="shared" si="4"/>
        <v>13910.534181237941</v>
      </c>
    </row>
    <row r="26" spans="1:16">
      <c r="A26" s="131" t="d">
        <v>2017-02-07</v>
      </c>
      <c r="B26" s="127">
        <v>829.22997999999995</v>
      </c>
      <c r="C26" s="127">
        <v>2293.080078</v>
      </c>
      <c r="D26" s="130" t="d">
        <v>2017-02-07</v>
      </c>
      <c r="E26" s="129">
        <v>0.53</v>
      </c>
      <c r="F26" s="126">
        <f t="shared" si="0"/>
        <v>0.53</v>
      </c>
      <c r="G26" s="138">
        <f t="shared" si="5"/>
        <v>9.2621711330186617E-3</v>
      </c>
      <c r="H26" s="138">
        <f t="shared" si="6"/>
        <v>2.2682895392798412E-4</v>
      </c>
      <c r="I26" s="126">
        <f t="shared" si="1"/>
        <v>5.3E-3</v>
      </c>
      <c r="J26" s="139">
        <f t="shared" si="7"/>
        <v>3.9621711330186616E-3</v>
      </c>
      <c r="K26" s="139">
        <f t="shared" si="8"/>
        <v>-5.0731710460720156E-3</v>
      </c>
      <c r="M26" s="127">
        <v>829.22997999999995</v>
      </c>
      <c r="N26" s="126">
        <f t="shared" si="2"/>
        <v>939.56292264400054</v>
      </c>
      <c r="O26" s="126">
        <f t="shared" si="3"/>
        <v>-110.33294264400058</v>
      </c>
      <c r="P26" s="128">
        <f t="shared" si="4"/>
        <v>12173.358232484323</v>
      </c>
    </row>
    <row r="27" spans="1:16">
      <c r="A27" s="131" t="d">
        <v>2017-02-08</v>
      </c>
      <c r="B27" s="127">
        <v>829.88000499999998</v>
      </c>
      <c r="C27" s="127">
        <v>2294.669922</v>
      </c>
      <c r="D27" s="130" t="d">
        <v>2017-02-08</v>
      </c>
      <c r="E27" s="129">
        <v>0.53</v>
      </c>
      <c r="F27" s="126">
        <f t="shared" si="0"/>
        <v>0.53</v>
      </c>
      <c r="G27" s="138">
        <f t="shared" si="5"/>
        <v>7.8388989264477371E-4</v>
      </c>
      <c r="H27" s="138">
        <f t="shared" si="6"/>
        <v>6.9332249460155341E-4</v>
      </c>
      <c r="I27" s="126">
        <f t="shared" si="1"/>
        <v>5.3E-3</v>
      </c>
      <c r="J27" s="139">
        <f t="shared" si="7"/>
        <v>-4.5161101073552265E-3</v>
      </c>
      <c r="K27" s="139">
        <f t="shared" si="8"/>
        <v>-4.606677505398447E-3</v>
      </c>
      <c r="M27" s="127">
        <v>829.88000499999998</v>
      </c>
      <c r="N27" s="126">
        <f t="shared" si="2"/>
        <v>939.56292264400054</v>
      </c>
      <c r="O27" s="126">
        <f t="shared" si="3"/>
        <v>-109.68291764400055</v>
      </c>
      <c r="P27" s="128">
        <f t="shared" si="4"/>
        <v>12030.342422900609</v>
      </c>
    </row>
    <row r="28" spans="1:16">
      <c r="A28" s="131" t="d">
        <v>2017-02-09</v>
      </c>
      <c r="B28" s="127">
        <v>830.05999799999995</v>
      </c>
      <c r="C28" s="127">
        <v>2307.8701169999999</v>
      </c>
      <c r="D28" s="130" t="d">
        <v>2017-02-09</v>
      </c>
      <c r="E28" s="129">
        <v>0.53</v>
      </c>
      <c r="F28" s="126">
        <f t="shared" si="0"/>
        <v>0.53</v>
      </c>
      <c r="G28" s="138">
        <f t="shared" si="5"/>
        <v>2.1689039248507698E-4</v>
      </c>
      <c r="H28" s="138">
        <f t="shared" si="6"/>
        <v>5.7525463132818691E-3</v>
      </c>
      <c r="I28" s="126">
        <f t="shared" si="1"/>
        <v>5.3E-3</v>
      </c>
      <c r="J28" s="139">
        <f t="shared" si="7"/>
        <v>-5.0831096075149226E-3</v>
      </c>
      <c r="K28" s="139">
        <f t="shared" si="8"/>
        <v>4.5254631328186905E-4</v>
      </c>
      <c r="M28" s="127">
        <v>830.05999799999995</v>
      </c>
      <c r="N28" s="126">
        <f t="shared" si="2"/>
        <v>939.56292264400054</v>
      </c>
      <c r="O28" s="126">
        <f t="shared" si="3"/>
        <v>-109.50292464400059</v>
      </c>
      <c r="P28" s="128">
        <f t="shared" si="4"/>
        <v>11990.89050558967</v>
      </c>
    </row>
    <row r="29" spans="1:16">
      <c r="A29" s="131" t="d">
        <v>2017-02-10</v>
      </c>
      <c r="B29" s="127">
        <v>834.84997599999997</v>
      </c>
      <c r="C29" s="127">
        <v>2316.1000979999999</v>
      </c>
      <c r="D29" s="130" t="d">
        <v>2017-02-10</v>
      </c>
      <c r="E29" s="129">
        <v>0.54</v>
      </c>
      <c r="F29" s="126">
        <f t="shared" si="0"/>
        <v>0.54</v>
      </c>
      <c r="G29" s="138">
        <f t="shared" si="5"/>
        <v>5.7706406904817738E-3</v>
      </c>
      <c r="H29" s="138">
        <f t="shared" si="6"/>
        <v>3.5660503333255615E-3</v>
      </c>
      <c r="I29" s="126">
        <f t="shared" si="1"/>
        <v>5.4000000000000003E-3</v>
      </c>
      <c r="J29" s="139">
        <f t="shared" si="7"/>
        <v>3.7064069048177353E-4</v>
      </c>
      <c r="K29" s="139">
        <f t="shared" si="8"/>
        <v>-1.8339496666744388E-3</v>
      </c>
      <c r="M29" s="127">
        <v>834.84997599999997</v>
      </c>
      <c r="N29" s="126">
        <f t="shared" si="2"/>
        <v>939.56292264400054</v>
      </c>
      <c r="O29" s="126">
        <f t="shared" si="3"/>
        <v>-104.71294664400057</v>
      </c>
      <c r="P29" s="128">
        <f t="shared" si="4"/>
        <v>10964.801194869309</v>
      </c>
    </row>
    <row r="30" spans="1:16">
      <c r="A30" s="131" t="d">
        <v>2017-02-13</v>
      </c>
      <c r="B30" s="127">
        <v>838.96002199999998</v>
      </c>
      <c r="C30" s="127">
        <v>2328.25</v>
      </c>
      <c r="D30" s="130" t="d">
        <v>2017-02-13</v>
      </c>
      <c r="E30" s="129">
        <v>0.52</v>
      </c>
      <c r="F30" s="126">
        <f t="shared" si="0"/>
        <v>0.52</v>
      </c>
      <c r="G30" s="138">
        <f t="shared" si="5"/>
        <v>4.9230953083240084E-3</v>
      </c>
      <c r="H30" s="138">
        <f t="shared" si="6"/>
        <v>5.2458449487963847E-3</v>
      </c>
      <c r="I30" s="126">
        <f t="shared" si="1"/>
        <v>5.1999999999999998E-3</v>
      </c>
      <c r="J30" s="139">
        <f t="shared" si="7"/>
        <v>-2.7690469167599135E-4</v>
      </c>
      <c r="K30" s="139">
        <f t="shared" si="8"/>
        <v>4.5844948796384954E-5</v>
      </c>
      <c r="M30" s="127">
        <v>838.96002199999998</v>
      </c>
      <c r="N30" s="126">
        <f t="shared" si="2"/>
        <v>939.56292264400054</v>
      </c>
      <c r="O30" s="126">
        <f t="shared" si="3"/>
        <v>-100.60290064400056</v>
      </c>
      <c r="P30" s="128">
        <f t="shared" si="4"/>
        <v>10120.943617986648</v>
      </c>
    </row>
    <row r="31" spans="1:16">
      <c r="A31" s="131" t="d">
        <v>2017-02-14</v>
      </c>
      <c r="B31" s="127">
        <v>840.03002900000001</v>
      </c>
      <c r="C31" s="127">
        <v>2337.580078</v>
      </c>
      <c r="D31" s="130" t="d">
        <v>2017-02-14</v>
      </c>
      <c r="E31" s="129">
        <v>0.54</v>
      </c>
      <c r="F31" s="126">
        <f t="shared" si="0"/>
        <v>0.54</v>
      </c>
      <c r="G31" s="138">
        <f t="shared" si="5"/>
        <v>1.2753968865515648E-3</v>
      </c>
      <c r="H31" s="138">
        <f t="shared" si="6"/>
        <v>4.0073351229464012E-3</v>
      </c>
      <c r="I31" s="126">
        <f t="shared" si="1"/>
        <v>5.4000000000000003E-3</v>
      </c>
      <c r="J31" s="139">
        <f t="shared" si="7"/>
        <v>-4.1246031134484357E-3</v>
      </c>
      <c r="K31" s="139">
        <f t="shared" si="8"/>
        <v>-1.3926648770535991E-3</v>
      </c>
      <c r="M31" s="127">
        <v>840.03002900000001</v>
      </c>
      <c r="N31" s="126">
        <f t="shared" si="2"/>
        <v>939.56292264400054</v>
      </c>
      <c r="O31" s="126">
        <f t="shared" si="3"/>
        <v>-99.532893644000524</v>
      </c>
      <c r="P31" s="128">
        <f t="shared" si="4"/>
        <v>9906.7969171479199</v>
      </c>
    </row>
    <row r="32" spans="1:16">
      <c r="A32" s="131" t="d">
        <v>2017-02-15</v>
      </c>
      <c r="B32" s="127">
        <v>837.32000700000003</v>
      </c>
      <c r="C32" s="127">
        <v>2349.25</v>
      </c>
      <c r="D32" s="130" t="d">
        <v>2017-02-15</v>
      </c>
      <c r="E32" s="129">
        <v>0.53</v>
      </c>
      <c r="F32" s="126">
        <f t="shared" si="0"/>
        <v>0.53</v>
      </c>
      <c r="G32" s="138">
        <f t="shared" si="5"/>
        <v>-3.2261013373844293E-3</v>
      </c>
      <c r="H32" s="138">
        <f t="shared" si="6"/>
        <v>4.99230897363938E-3</v>
      </c>
      <c r="I32" s="126">
        <f t="shared" si="1"/>
        <v>5.3E-3</v>
      </c>
      <c r="J32" s="139">
        <f t="shared" si="7"/>
        <v>-8.5261013373844289E-3</v>
      </c>
      <c r="K32" s="139">
        <f t="shared" si="8"/>
        <v>-3.0769102636061998E-4</v>
      </c>
      <c r="M32" s="127">
        <v>837.32000700000003</v>
      </c>
      <c r="N32" s="126">
        <f t="shared" si="2"/>
        <v>939.56292264400054</v>
      </c>
      <c r="O32" s="126">
        <f t="shared" si="3"/>
        <v>-102.2429156440005</v>
      </c>
      <c r="P32" s="128">
        <f t="shared" si="4"/>
        <v>10453.613799386203</v>
      </c>
    </row>
    <row r="33" spans="1:16">
      <c r="A33" s="131" t="d">
        <v>2017-02-16</v>
      </c>
      <c r="B33" s="127">
        <v>842.169983</v>
      </c>
      <c r="C33" s="127">
        <v>2347.219971</v>
      </c>
      <c r="D33" s="130" t="d">
        <v>2017-02-16</v>
      </c>
      <c r="E33" s="129">
        <v>0.52</v>
      </c>
      <c r="F33" s="126">
        <f t="shared" si="0"/>
        <v>0.52</v>
      </c>
      <c r="G33" s="138">
        <f t="shared" si="5"/>
        <v>5.7922609748413305E-3</v>
      </c>
      <c r="H33" s="138">
        <f t="shared" si="6"/>
        <v>-8.64117909971273E-4</v>
      </c>
      <c r="I33" s="126">
        <f t="shared" si="1"/>
        <v>5.1999999999999998E-3</v>
      </c>
      <c r="J33" s="139">
        <f t="shared" si="7"/>
        <v>5.9226097484133076E-4</v>
      </c>
      <c r="K33" s="139">
        <f t="shared" si="8"/>
        <v>-6.0641179099712728E-3</v>
      </c>
      <c r="M33" s="127">
        <v>842.169983</v>
      </c>
      <c r="N33" s="126">
        <f t="shared" si="2"/>
        <v>939.56292264400054</v>
      </c>
      <c r="O33" s="126">
        <f t="shared" si="3"/>
        <v>-97.392939644000535</v>
      </c>
      <c r="P33" s="128">
        <f t="shared" si="4"/>
        <v>9485.3846924999307</v>
      </c>
    </row>
    <row r="34" spans="1:16">
      <c r="A34" s="131" t="d">
        <v>2017-02-17</v>
      </c>
      <c r="B34" s="127">
        <v>846.54998799999998</v>
      </c>
      <c r="C34" s="127">
        <v>2351.1599120000001</v>
      </c>
      <c r="D34" s="130" t="d">
        <v>2017-02-17</v>
      </c>
      <c r="E34" s="129">
        <v>0.52</v>
      </c>
      <c r="F34" s="126">
        <f t="shared" si="0"/>
        <v>0.52</v>
      </c>
      <c r="G34" s="138">
        <f t="shared" si="5"/>
        <v>5.2008562266698394E-3</v>
      </c>
      <c r="H34" s="138">
        <f t="shared" si="6"/>
        <v>1.6785563554665623E-3</v>
      </c>
      <c r="I34" s="126">
        <f t="shared" si="1"/>
        <v>5.1999999999999998E-3</v>
      </c>
      <c r="J34" s="139">
        <f t="shared" si="7"/>
        <v>8.5622666983961593E-7</v>
      </c>
      <c r="K34" s="139">
        <f t="shared" si="8"/>
        <v>-3.5214436445334374E-3</v>
      </c>
      <c r="M34" s="127">
        <v>846.54998799999998</v>
      </c>
      <c r="N34" s="126">
        <f t="shared" si="2"/>
        <v>939.56292264400054</v>
      </c>
      <c r="O34" s="126">
        <f t="shared" si="3"/>
        <v>-93.012934644000552</v>
      </c>
      <c r="P34" s="128">
        <f t="shared" si="4"/>
        <v>8651.4060110891187</v>
      </c>
    </row>
    <row r="35" spans="1:16">
      <c r="A35" s="131" t="d">
        <v>2017-02-21</v>
      </c>
      <c r="B35" s="127">
        <v>849.27002000000005</v>
      </c>
      <c r="C35" s="127">
        <v>2365.3798830000001</v>
      </c>
      <c r="D35" s="130" t="d">
        <v>2017-02-21</v>
      </c>
      <c r="E35" s="129">
        <v>0.53</v>
      </c>
      <c r="F35" s="126">
        <f t="shared" si="0"/>
        <v>0.53</v>
      </c>
      <c r="G35" s="138">
        <f t="shared" si="5"/>
        <v>3.2130790131203219E-3</v>
      </c>
      <c r="H35" s="138">
        <f t="shared" si="6"/>
        <v>6.0480662873772179E-3</v>
      </c>
      <c r="I35" s="126">
        <f t="shared" si="1"/>
        <v>5.3E-3</v>
      </c>
      <c r="J35" s="139">
        <f t="shared" si="7"/>
        <v>-2.0869209868796782E-3</v>
      </c>
      <c r="K35" s="139">
        <f t="shared" si="8"/>
        <v>7.4806628737721786E-4</v>
      </c>
      <c r="M35" s="127">
        <v>849.27002000000005</v>
      </c>
      <c r="N35" s="126">
        <f t="shared" si="2"/>
        <v>939.56292264400054</v>
      </c>
      <c r="O35" s="126">
        <f t="shared" si="3"/>
        <v>-90.292902644000492</v>
      </c>
      <c r="P35" s="128">
        <f t="shared" si="4"/>
        <v>8152.8082678789506</v>
      </c>
    </row>
    <row r="36" spans="1:16">
      <c r="A36" s="131" t="d">
        <v>2017-02-22</v>
      </c>
      <c r="B36" s="127">
        <v>851.35998500000005</v>
      </c>
      <c r="C36" s="127">
        <v>2362.820068</v>
      </c>
      <c r="D36" s="130" t="d">
        <v>2017-02-22</v>
      </c>
      <c r="E36" s="129">
        <v>0.52</v>
      </c>
      <c r="F36" s="126">
        <f t="shared" si="0"/>
        <v>0.52</v>
      </c>
      <c r="G36" s="138">
        <f t="shared" si="5"/>
        <v>2.4608957702286563E-3</v>
      </c>
      <c r="H36" s="138">
        <f t="shared" si="6"/>
        <v>-1.0822003765219607E-3</v>
      </c>
      <c r="I36" s="126">
        <f t="shared" si="1"/>
        <v>5.1999999999999998E-3</v>
      </c>
      <c r="J36" s="139">
        <f t="shared" si="7"/>
        <v>-2.7391042297713435E-3</v>
      </c>
      <c r="K36" s="139">
        <f t="shared" si="8"/>
        <v>-6.2822003765219602E-3</v>
      </c>
      <c r="M36" s="127">
        <v>851.35998500000005</v>
      </c>
      <c r="N36" s="126">
        <f t="shared" si="2"/>
        <v>939.56292264400054</v>
      </c>
      <c r="O36" s="126">
        <f t="shared" si="3"/>
        <v>-88.202937644000485</v>
      </c>
      <c r="P36" s="128">
        <f t="shared" si="4"/>
        <v>7779.7582090314381</v>
      </c>
    </row>
    <row r="37" spans="1:16">
      <c r="A37" s="131" t="d">
        <v>2017-02-23</v>
      </c>
      <c r="B37" s="127">
        <v>851</v>
      </c>
      <c r="C37" s="127">
        <v>2363.8100589999999</v>
      </c>
      <c r="D37" s="130" t="d">
        <v>2017-02-23</v>
      </c>
      <c r="E37" s="129">
        <v>0.51</v>
      </c>
      <c r="F37" s="126">
        <f t="shared" si="0"/>
        <v>0.51</v>
      </c>
      <c r="G37" s="138">
        <f t="shared" si="5"/>
        <v>-4.2283523579047643E-4</v>
      </c>
      <c r="H37" s="138">
        <f t="shared" si="6"/>
        <v>4.1898704577953419E-4</v>
      </c>
      <c r="I37" s="126">
        <f t="shared" si="1"/>
        <v>5.1000000000000004E-3</v>
      </c>
      <c r="J37" s="139">
        <f t="shared" si="7"/>
        <v>-5.5228352357904768E-3</v>
      </c>
      <c r="K37" s="139">
        <f t="shared" si="8"/>
        <v>-4.6810129542204666E-3</v>
      </c>
      <c r="M37" s="127">
        <v>851</v>
      </c>
      <c r="N37" s="126">
        <f t="shared" si="2"/>
        <v>939.56292264400054</v>
      </c>
      <c r="O37" s="126">
        <f t="shared" si="3"/>
        <v>-88.562922644000537</v>
      </c>
      <c r="P37" s="128">
        <f t="shared" si="4"/>
        <v>7843.3912672472234</v>
      </c>
    </row>
    <row r="38" spans="1:16">
      <c r="A38" s="131" t="d">
        <v>2017-02-24</v>
      </c>
      <c r="B38" s="127">
        <v>847.80999799999995</v>
      </c>
      <c r="C38" s="127">
        <v>2367.3400879999999</v>
      </c>
      <c r="D38" s="130" t="d">
        <v>2017-02-24</v>
      </c>
      <c r="E38" s="129">
        <v>0.51</v>
      </c>
      <c r="F38" s="126">
        <f t="shared" si="0"/>
        <v>0.51</v>
      </c>
      <c r="G38" s="138">
        <f t="shared" si="5"/>
        <v>-3.748533490011809E-3</v>
      </c>
      <c r="H38" s="138">
        <f t="shared" si="6"/>
        <v>1.4933640655939071E-3</v>
      </c>
      <c r="I38" s="126">
        <f t="shared" si="1"/>
        <v>5.1000000000000004E-3</v>
      </c>
      <c r="J38" s="139">
        <f t="shared" si="7"/>
        <v>-8.8485334900118093E-3</v>
      </c>
      <c r="K38" s="139">
        <f t="shared" si="8"/>
        <v>-3.6066359344060933E-3</v>
      </c>
      <c r="M38" s="127">
        <v>847.80999799999995</v>
      </c>
      <c r="N38" s="126">
        <f t="shared" si="2"/>
        <v>939.56292264400054</v>
      </c>
      <c r="O38" s="126">
        <f t="shared" si="3"/>
        <v>-91.752924644000586</v>
      </c>
      <c r="P38" s="128">
        <f t="shared" si="4"/>
        <v>8418.5991807276496</v>
      </c>
    </row>
    <row r="39" spans="1:16">
      <c r="A39" s="131" t="d">
        <v>2017-02-27</v>
      </c>
      <c r="B39" s="127">
        <v>849.669983</v>
      </c>
      <c r="C39" s="127">
        <v>2369.75</v>
      </c>
      <c r="D39" s="130" t="d">
        <v>2017-02-27</v>
      </c>
      <c r="E39" s="129">
        <v>0.5</v>
      </c>
      <c r="F39" s="126">
        <f t="shared" si="0"/>
        <v>0.5</v>
      </c>
      <c r="G39" s="138">
        <f t="shared" si="5"/>
        <v>2.1938700939925122E-3</v>
      </c>
      <c r="H39" s="138">
        <f t="shared" si="6"/>
        <v>1.0179830148679832E-3</v>
      </c>
      <c r="I39" s="126">
        <f t="shared" si="1"/>
        <v>5.0000000000000001E-3</v>
      </c>
      <c r="J39" s="139">
        <f t="shared" si="7"/>
        <v>-2.8061299060074879E-3</v>
      </c>
      <c r="K39" s="139">
        <f t="shared" si="8"/>
        <v>-3.9820169851320173E-3</v>
      </c>
      <c r="M39" s="127">
        <v>849.669983</v>
      </c>
      <c r="N39" s="126">
        <f t="shared" si="2"/>
        <v>939.56292264400054</v>
      </c>
      <c r="O39" s="126">
        <f t="shared" si="3"/>
        <v>-89.892939644000535</v>
      </c>
      <c r="P39" s="128">
        <f t="shared" si="4"/>
        <v>8080.7405978399229</v>
      </c>
    </row>
    <row r="40" spans="1:16">
      <c r="A40" s="131" t="d">
        <v>2017-02-28</v>
      </c>
      <c r="B40" s="127">
        <v>844.92999299999997</v>
      </c>
      <c r="C40" s="127">
        <v>2363.639893</v>
      </c>
      <c r="D40" s="130" t="d">
        <v>2017-02-28</v>
      </c>
      <c r="E40" s="129">
        <v>0.53</v>
      </c>
      <c r="F40" s="126">
        <f t="shared" si="0"/>
        <v>0.53</v>
      </c>
      <c r="G40" s="138">
        <f t="shared" si="5"/>
        <v>-5.5786247541241363E-3</v>
      </c>
      <c r="H40" s="138">
        <f t="shared" si="6"/>
        <v>-2.5783762000210868E-3</v>
      </c>
      <c r="I40" s="126">
        <f t="shared" si="1"/>
        <v>5.3E-3</v>
      </c>
      <c r="J40" s="139">
        <f t="shared" si="7"/>
        <v>-1.0878624754124136E-2</v>
      </c>
      <c r="K40" s="139">
        <f t="shared" si="8"/>
        <v>-7.8783762000210859E-3</v>
      </c>
      <c r="M40" s="127">
        <v>844.92999299999997</v>
      </c>
      <c r="N40" s="126">
        <f t="shared" si="2"/>
        <v>939.56292264400054</v>
      </c>
      <c r="O40" s="126">
        <f t="shared" si="3"/>
        <v>-94.632929644000569</v>
      </c>
      <c r="P40" s="128">
        <f t="shared" si="4"/>
        <v>8955.3913730063614</v>
      </c>
    </row>
    <row r="41" spans="1:16">
      <c r="A41" s="131" t="d">
        <v>2017-03-01</v>
      </c>
      <c r="B41" s="127">
        <v>856.75</v>
      </c>
      <c r="C41" s="127">
        <v>2395.959961</v>
      </c>
      <c r="D41" s="130" t="d">
        <v>2017-03-01</v>
      </c>
      <c r="E41" s="129">
        <v>0.62</v>
      </c>
      <c r="F41" s="126">
        <f t="shared" si="0"/>
        <v>0.62</v>
      </c>
      <c r="G41" s="138">
        <f t="shared" si="5"/>
        <v>1.398933296003854E-2</v>
      </c>
      <c r="H41" s="138">
        <f t="shared" si="6"/>
        <v>1.3673854505382556E-2</v>
      </c>
      <c r="I41" s="126">
        <f t="shared" si="1"/>
        <v>6.1999999999999998E-3</v>
      </c>
      <c r="J41" s="139">
        <f t="shared" si="7"/>
        <v>7.7893329600385404E-3</v>
      </c>
      <c r="K41" s="139">
        <f t="shared" si="8"/>
        <v>7.4738545053825564E-3</v>
      </c>
      <c r="M41" s="127">
        <v>856.75</v>
      </c>
      <c r="N41" s="126">
        <f t="shared" si="2"/>
        <v>939.56292264400054</v>
      </c>
      <c r="O41" s="126">
        <f t="shared" si="3"/>
        <v>-82.812922644000537</v>
      </c>
      <c r="P41" s="128">
        <f t="shared" si="4"/>
        <v>6857.9801568412167</v>
      </c>
    </row>
    <row r="42" spans="1:16">
      <c r="A42" s="131" t="d">
        <v>2017-03-02</v>
      </c>
      <c r="B42" s="127">
        <v>849.84997599999997</v>
      </c>
      <c r="C42" s="127">
        <v>2381.919922</v>
      </c>
      <c r="D42" s="130" t="d">
        <v>2017-03-02</v>
      </c>
      <c r="E42" s="129">
        <v>0.66</v>
      </c>
      <c r="F42" s="126">
        <f t="shared" si="0"/>
        <v>0.66</v>
      </c>
      <c r="G42" s="138">
        <f t="shared" si="5"/>
        <v>-8.0537192880070392E-3</v>
      </c>
      <c r="H42" s="138">
        <f t="shared" si="6"/>
        <v>-5.8598804773599385E-3</v>
      </c>
      <c r="I42" s="126">
        <f t="shared" si="1"/>
        <v>6.6E-3</v>
      </c>
      <c r="J42" s="139">
        <f t="shared" si="7"/>
        <v>-1.4653719288007039E-2</v>
      </c>
      <c r="K42" s="139">
        <f t="shared" si="8"/>
        <v>-1.2459880477359939E-2</v>
      </c>
      <c r="M42" s="127">
        <v>849.84997599999997</v>
      </c>
      <c r="N42" s="126">
        <f t="shared" si="2"/>
        <v>939.56292264400054</v>
      </c>
      <c r="O42" s="126">
        <f t="shared" si="3"/>
        <v>-89.712946644000567</v>
      </c>
      <c r="P42" s="128">
        <f t="shared" si="4"/>
        <v>8048.4127955492922</v>
      </c>
    </row>
    <row r="43" spans="1:16">
      <c r="A43" s="131" t="d">
        <v>2017-03-03</v>
      </c>
      <c r="B43" s="127">
        <v>849.080017</v>
      </c>
      <c r="C43" s="127">
        <v>2383.1201169999999</v>
      </c>
      <c r="D43" s="130" t="d">
        <v>2017-03-03</v>
      </c>
      <c r="E43" s="129">
        <v>0.7</v>
      </c>
      <c r="F43" s="126">
        <f t="shared" si="0"/>
        <v>0.7</v>
      </c>
      <c r="G43" s="138">
        <f t="shared" si="5"/>
        <v>-9.0599402452647907E-4</v>
      </c>
      <c r="H43" s="138">
        <f t="shared" si="6"/>
        <v>5.0387714083693458E-4</v>
      </c>
      <c r="I43" s="126">
        <f t="shared" si="1"/>
        <v>6.9999999999999993E-3</v>
      </c>
      <c r="J43" s="139">
        <f t="shared" si="7"/>
        <v>-7.9059940245264776E-3</v>
      </c>
      <c r="K43" s="139">
        <f t="shared" si="8"/>
        <v>-6.4961228591630645E-3</v>
      </c>
      <c r="M43" s="127">
        <v>849.080017</v>
      </c>
      <c r="N43" s="126">
        <f t="shared" si="2"/>
        <v>939.56292264400054</v>
      </c>
      <c r="O43" s="126">
        <f t="shared" si="3"/>
        <v>-90.482905644000539</v>
      </c>
      <c r="P43" s="128">
        <f t="shared" si="4"/>
        <v>8187.1562137811043</v>
      </c>
    </row>
    <row r="44" spans="1:16">
      <c r="A44" s="131" t="d">
        <v>2017-03-06</v>
      </c>
      <c r="B44" s="127">
        <v>847.27002000000005</v>
      </c>
      <c r="C44" s="127">
        <v>2375.3100589999999</v>
      </c>
      <c r="D44" s="130" t="d">
        <v>2017-03-06</v>
      </c>
      <c r="E44" s="129">
        <v>0.73</v>
      </c>
      <c r="F44" s="126">
        <f t="shared" si="0"/>
        <v>0.73</v>
      </c>
      <c r="G44" s="138">
        <f t="shared" si="5"/>
        <v>-2.1317154611588899E-3</v>
      </c>
      <c r="H44" s="138">
        <f t="shared" si="6"/>
        <v>-3.2772405991149741E-3</v>
      </c>
      <c r="I44" s="126">
        <f t="shared" si="1"/>
        <v>7.3000000000000001E-3</v>
      </c>
      <c r="J44" s="139">
        <f t="shared" si="7"/>
        <v>-9.4317154611588891E-3</v>
      </c>
      <c r="K44" s="139">
        <f t="shared" si="8"/>
        <v>-1.0577240599114975E-2</v>
      </c>
      <c r="M44" s="127">
        <v>847.27002000000005</v>
      </c>
      <c r="N44" s="126">
        <f t="shared" si="2"/>
        <v>939.56292264400054</v>
      </c>
      <c r="O44" s="126">
        <f t="shared" si="3"/>
        <v>-92.292902644000492</v>
      </c>
      <c r="P44" s="128">
        <f t="shared" si="4"/>
        <v>8517.979878454953</v>
      </c>
    </row>
    <row r="45" spans="1:16">
      <c r="A45" s="131" t="d">
        <v>2017-03-07</v>
      </c>
      <c r="B45" s="127">
        <v>851.15002400000003</v>
      </c>
      <c r="C45" s="127">
        <v>2368.389893</v>
      </c>
      <c r="D45" s="130" t="d">
        <v>2017-03-07</v>
      </c>
      <c r="E45" s="129">
        <v>0.75</v>
      </c>
      <c r="F45" s="126">
        <f t="shared" si="0"/>
        <v>0.75</v>
      </c>
      <c r="G45" s="138">
        <f t="shared" si="5"/>
        <v>4.579418495180539E-3</v>
      </c>
      <c r="H45" s="138">
        <f t="shared" si="6"/>
        <v>-2.9133737609452364E-3</v>
      </c>
      <c r="I45" s="126">
        <f t="shared" si="1"/>
        <v>7.4999999999999997E-3</v>
      </c>
      <c r="J45" s="139">
        <f t="shared" si="7"/>
        <v>-2.9205815048194608E-3</v>
      </c>
      <c r="K45" s="139">
        <f t="shared" si="8"/>
        <v>-1.0413373760945236E-2</v>
      </c>
      <c r="M45" s="127">
        <v>851.15002400000003</v>
      </c>
      <c r="N45" s="126">
        <f t="shared" si="2"/>
        <v>939.56292264400054</v>
      </c>
      <c r="O45" s="126">
        <f t="shared" si="3"/>
        <v>-88.412898644000506</v>
      </c>
      <c r="P45" s="128">
        <f t="shared" si="4"/>
        <v>7816.8406466343067</v>
      </c>
    </row>
    <row r="46" spans="1:16">
      <c r="A46" s="131" t="d">
        <v>2017-03-08</v>
      </c>
      <c r="B46" s="127">
        <v>853.64001499999995</v>
      </c>
      <c r="C46" s="127">
        <v>2362.9799800000001</v>
      </c>
      <c r="D46" s="130" t="d">
        <v>2017-03-08</v>
      </c>
      <c r="E46" s="129">
        <v>0.72</v>
      </c>
      <c r="F46" s="126">
        <f t="shared" si="0"/>
        <v>0.72</v>
      </c>
      <c r="G46" s="138">
        <f t="shared" si="5"/>
        <v>2.925443141384342E-3</v>
      </c>
      <c r="H46" s="138">
        <f t="shared" si="6"/>
        <v>-2.2842155406884099E-3</v>
      </c>
      <c r="I46" s="126">
        <f t="shared" si="1"/>
        <v>7.1999999999999998E-3</v>
      </c>
      <c r="J46" s="139">
        <f t="shared" si="7"/>
        <v>-4.2745568586156583E-3</v>
      </c>
      <c r="K46" s="139">
        <f t="shared" si="8"/>
        <v>-9.4842155406884097E-3</v>
      </c>
      <c r="M46" s="127">
        <v>853.64001499999995</v>
      </c>
      <c r="N46" s="126">
        <f t="shared" si="2"/>
        <v>939.56292264400054</v>
      </c>
      <c r="O46" s="126">
        <f t="shared" si="3"/>
        <v>-85.922907644000588</v>
      </c>
      <c r="P46" s="128">
        <f t="shared" si="4"/>
        <v>7382.7460579994549</v>
      </c>
    </row>
    <row r="47" spans="1:16">
      <c r="A47" s="131" t="d">
        <v>2017-03-09</v>
      </c>
      <c r="B47" s="127">
        <v>857.84002699999996</v>
      </c>
      <c r="C47" s="127">
        <v>2364.8701169999999</v>
      </c>
      <c r="D47" s="130" t="d">
        <v>2017-03-09</v>
      </c>
      <c r="E47" s="129">
        <v>0.72</v>
      </c>
      <c r="F47" s="126">
        <f t="shared" si="0"/>
        <v>0.72</v>
      </c>
      <c r="G47" s="138">
        <f t="shared" si="5"/>
        <v>4.9201208075982886E-3</v>
      </c>
      <c r="H47" s="138">
        <f t="shared" si="6"/>
        <v>7.9989547774326369E-4</v>
      </c>
      <c r="I47" s="126">
        <f t="shared" si="1"/>
        <v>7.1999999999999998E-3</v>
      </c>
      <c r="J47" s="139">
        <f t="shared" si="7"/>
        <v>-2.2798791924017112E-3</v>
      </c>
      <c r="K47" s="139">
        <f t="shared" si="8"/>
        <v>-6.4001045222567363E-3</v>
      </c>
      <c r="M47" s="127">
        <v>857.84002699999996</v>
      </c>
      <c r="N47" s="126">
        <f t="shared" si="2"/>
        <v>939.56292264400054</v>
      </c>
      <c r="O47" s="126">
        <f t="shared" si="3"/>
        <v>-81.722895644000573</v>
      </c>
      <c r="P47" s="128">
        <f t="shared" si="4"/>
        <v>6678.6316724402077</v>
      </c>
    </row>
    <row r="48" spans="1:16">
      <c r="A48" s="131" t="d">
        <v>2017-03-10</v>
      </c>
      <c r="B48" s="127">
        <v>861.40997300000004</v>
      </c>
      <c r="C48" s="127">
        <v>2372.6000979999999</v>
      </c>
      <c r="D48" s="130" t="d">
        <v>2017-03-10</v>
      </c>
      <c r="E48" s="129">
        <v>0.73</v>
      </c>
      <c r="F48" s="126">
        <f t="shared" si="0"/>
        <v>0.73</v>
      </c>
      <c r="G48" s="138">
        <f t="shared" si="5"/>
        <v>4.1615521398374582E-3</v>
      </c>
      <c r="H48" s="138">
        <f t="shared" si="6"/>
        <v>3.2686704206005036E-3</v>
      </c>
      <c r="I48" s="126">
        <f t="shared" si="1"/>
        <v>7.3000000000000001E-3</v>
      </c>
      <c r="J48" s="139">
        <f t="shared" si="7"/>
        <v>-3.1384478601625418E-3</v>
      </c>
      <c r="K48" s="139">
        <f t="shared" si="8"/>
        <v>-4.0313295793994964E-3</v>
      </c>
      <c r="M48" s="127">
        <v>861.40997300000004</v>
      </c>
      <c r="N48" s="126">
        <f t="shared" si="2"/>
        <v>939.56292264400054</v>
      </c>
      <c r="O48" s="126">
        <f t="shared" si="3"/>
        <v>-78.1529496440005</v>
      </c>
      <c r="P48" s="128">
        <f t="shared" si="4"/>
        <v>6107.8835380576784</v>
      </c>
    </row>
    <row r="49" spans="1:16">
      <c r="A49" s="131" t="d">
        <v>2017-03-13</v>
      </c>
      <c r="B49" s="127">
        <v>864.580017</v>
      </c>
      <c r="C49" s="127">
        <v>2373.469971</v>
      </c>
      <c r="D49" s="130" t="d">
        <v>2017-03-13</v>
      </c>
      <c r="E49" s="129">
        <v>0.78</v>
      </c>
      <c r="F49" s="126">
        <f t="shared" si="0"/>
        <v>0.78</v>
      </c>
      <c r="G49" s="138">
        <f t="shared" si="5"/>
        <v>3.6800641963312414E-3</v>
      </c>
      <c r="H49" s="138">
        <f t="shared" si="6"/>
        <v>3.6663279274638967E-4</v>
      </c>
      <c r="I49" s="126">
        <f t="shared" si="1"/>
        <v>7.8000000000000005E-3</v>
      </c>
      <c r="J49" s="139">
        <f t="shared" si="7"/>
        <v>-4.1199358036687591E-3</v>
      </c>
      <c r="K49" s="139">
        <f t="shared" si="8"/>
        <v>-7.4333672072536107E-3</v>
      </c>
      <c r="M49" s="127">
        <v>864.580017</v>
      </c>
      <c r="N49" s="126">
        <f t="shared" si="2"/>
        <v>939.56292264400054</v>
      </c>
      <c r="O49" s="126">
        <f t="shared" si="3"/>
        <v>-74.982905644000539</v>
      </c>
      <c r="P49" s="128">
        <f t="shared" si="4"/>
        <v>5622.4361388170882</v>
      </c>
    </row>
    <row r="50" spans="1:16">
      <c r="A50" s="131" t="d">
        <v>2017-03-14</v>
      </c>
      <c r="B50" s="127">
        <v>865.90997300000004</v>
      </c>
      <c r="C50" s="127">
        <v>2365.4499510000001</v>
      </c>
      <c r="D50" s="130" t="d">
        <v>2017-03-14</v>
      </c>
      <c r="E50" s="129">
        <v>0.77</v>
      </c>
      <c r="F50" s="126">
        <f t="shared" si="0"/>
        <v>0.77</v>
      </c>
      <c r="G50" s="138">
        <f t="shared" si="5"/>
        <v>1.5382682618722129E-3</v>
      </c>
      <c r="H50" s="138">
        <f t="shared" si="6"/>
        <v>-3.379027372577587E-3</v>
      </c>
      <c r="I50" s="126">
        <f t="shared" si="1"/>
        <v>7.7000000000000002E-3</v>
      </c>
      <c r="J50" s="139">
        <f t="shared" si="7"/>
        <v>-6.1617317381277873E-3</v>
      </c>
      <c r="K50" s="139">
        <f t="shared" si="8"/>
        <v>-1.1079027372577587E-2</v>
      </c>
      <c r="M50" s="127">
        <v>865.90997300000004</v>
      </c>
      <c r="N50" s="126">
        <f t="shared" si="2"/>
        <v>939.56292264400054</v>
      </c>
      <c r="O50" s="126">
        <f t="shared" si="3"/>
        <v>-73.6529496440005</v>
      </c>
      <c r="P50" s="128">
        <f t="shared" si="4"/>
        <v>5424.7569912616736</v>
      </c>
    </row>
    <row r="51" spans="1:16">
      <c r="A51" s="131" t="d">
        <v>2017-03-15</v>
      </c>
      <c r="B51" s="127">
        <v>868.39001499999995</v>
      </c>
      <c r="C51" s="127">
        <v>2385.26001</v>
      </c>
      <c r="D51" s="130" t="d">
        <v>2017-03-15</v>
      </c>
      <c r="E51" s="129">
        <v>0.72</v>
      </c>
      <c r="F51" s="126">
        <f t="shared" si="0"/>
        <v>0.72</v>
      </c>
      <c r="G51" s="138">
        <f t="shared" si="5"/>
        <v>2.864087581076875E-3</v>
      </c>
      <c r="H51" s="138">
        <f t="shared" si="6"/>
        <v>8.3747529689331014E-3</v>
      </c>
      <c r="I51" s="126">
        <f t="shared" si="1"/>
        <v>7.1999999999999998E-3</v>
      </c>
      <c r="J51" s="139">
        <f t="shared" si="7"/>
        <v>-4.3359124189231244E-3</v>
      </c>
      <c r="K51" s="139">
        <f t="shared" si="8"/>
        <v>1.1747529689331015E-3</v>
      </c>
      <c r="M51" s="127">
        <v>868.39001499999995</v>
      </c>
      <c r="N51" s="126">
        <f t="shared" si="2"/>
        <v>939.56292264400054</v>
      </c>
      <c r="O51" s="126">
        <f t="shared" si="3"/>
        <v>-71.172907644000588</v>
      </c>
      <c r="P51" s="128">
        <f t="shared" si="4"/>
        <v>5065.5827825014376</v>
      </c>
    </row>
    <row r="52" spans="1:16">
      <c r="A52" s="131" t="d">
        <v>2017-03-16</v>
      </c>
      <c r="B52" s="127">
        <v>870</v>
      </c>
      <c r="C52" s="127">
        <v>2381.3798830000001</v>
      </c>
      <c r="D52" s="130" t="d">
        <v>2017-03-16</v>
      </c>
      <c r="E52" s="129">
        <v>0.72</v>
      </c>
      <c r="F52" s="126">
        <f t="shared" si="0"/>
        <v>0.72</v>
      </c>
      <c r="G52" s="138">
        <f t="shared" si="5"/>
        <v>1.853988383318815E-3</v>
      </c>
      <c r="H52" s="138">
        <f t="shared" si="6"/>
        <v>-1.6267102889130742E-3</v>
      </c>
      <c r="I52" s="126">
        <f t="shared" si="1"/>
        <v>7.1999999999999998E-3</v>
      </c>
      <c r="J52" s="139">
        <f t="shared" si="7"/>
        <v>-5.3460116166811848E-3</v>
      </c>
      <c r="K52" s="139">
        <f t="shared" si="8"/>
        <v>-8.8267102889130738E-3</v>
      </c>
      <c r="M52" s="127">
        <v>870</v>
      </c>
      <c r="N52" s="126">
        <f t="shared" si="2"/>
        <v>939.56292264400054</v>
      </c>
      <c r="O52" s="126">
        <f t="shared" si="3"/>
        <v>-69.562922644000537</v>
      </c>
      <c r="P52" s="128">
        <f t="shared" si="4"/>
        <v>4839.000206775203</v>
      </c>
    </row>
    <row r="53" spans="1:16">
      <c r="A53" s="131" t="d">
        <v>2017-03-17</v>
      </c>
      <c r="B53" s="127">
        <v>872.36999500000002</v>
      </c>
      <c r="C53" s="127">
        <v>2378.25</v>
      </c>
      <c r="D53" s="130" t="d">
        <v>2017-03-17</v>
      </c>
      <c r="E53" s="129">
        <v>0.72</v>
      </c>
      <c r="F53" s="126">
        <f t="shared" si="0"/>
        <v>0.72</v>
      </c>
      <c r="G53" s="138">
        <f t="shared" si="5"/>
        <v>2.7241321839080656E-3</v>
      </c>
      <c r="H53" s="138">
        <f t="shared" si="6"/>
        <v>-1.3143148736341548E-3</v>
      </c>
      <c r="I53" s="126">
        <f t="shared" si="1"/>
        <v>7.1999999999999998E-3</v>
      </c>
      <c r="J53" s="139">
        <f t="shared" si="7"/>
        <v>-4.4758678160919342E-3</v>
      </c>
      <c r="K53" s="139">
        <f t="shared" si="8"/>
        <v>-8.5143148736341549E-3</v>
      </c>
      <c r="M53" s="127">
        <v>872.36999500000002</v>
      </c>
      <c r="N53" s="126">
        <f t="shared" si="2"/>
        <v>939.56292264400054</v>
      </c>
      <c r="O53" s="126">
        <f t="shared" si="3"/>
        <v>-67.19292764400052</v>
      </c>
      <c r="P53" s="128">
        <f t="shared" si="4"/>
        <v>4514.8895253718892</v>
      </c>
    </row>
    <row r="54" spans="1:16">
      <c r="A54" s="131" t="d">
        <v>2017-03-20</v>
      </c>
      <c r="B54" s="127">
        <v>867.90997300000004</v>
      </c>
      <c r="C54" s="127">
        <v>2373.469971</v>
      </c>
      <c r="D54" s="130" t="d">
        <v>2017-03-20</v>
      </c>
      <c r="E54" s="129">
        <v>0.75</v>
      </c>
      <c r="F54" s="126">
        <f t="shared" si="0"/>
        <v>0.75</v>
      </c>
      <c r="G54" s="138">
        <f t="shared" si="5"/>
        <v>-5.112534848244042E-3</v>
      </c>
      <c r="H54" s="138">
        <f t="shared" si="6"/>
        <v>-2.0098934090192425E-3</v>
      </c>
      <c r="I54" s="126">
        <f t="shared" si="1"/>
        <v>7.4999999999999997E-3</v>
      </c>
      <c r="J54" s="139">
        <f t="shared" si="7"/>
        <v>-1.2612534848244043E-2</v>
      </c>
      <c r="K54" s="139">
        <f t="shared" si="8"/>
        <v>-9.5098934090192423E-3</v>
      </c>
      <c r="M54" s="127">
        <v>867.90997300000004</v>
      </c>
      <c r="N54" s="126">
        <f t="shared" si="2"/>
        <v>939.56292264400054</v>
      </c>
      <c r="O54" s="126">
        <f t="shared" si="3"/>
        <v>-71.6529496440005</v>
      </c>
      <c r="P54" s="128">
        <f t="shared" si="4"/>
        <v>5134.1451926856716</v>
      </c>
    </row>
    <row r="55" spans="1:16">
      <c r="A55" s="131" t="d">
        <v>2017-03-21</v>
      </c>
      <c r="B55" s="127">
        <v>850.14001499999995</v>
      </c>
      <c r="C55" s="127">
        <v>2344.0200199999999</v>
      </c>
      <c r="D55" s="130" t="d">
        <v>2017-03-21</v>
      </c>
      <c r="E55" s="129">
        <v>0.76</v>
      </c>
      <c r="F55" s="126">
        <f t="shared" si="0"/>
        <v>0.76</v>
      </c>
      <c r="G55" s="138">
        <f t="shared" si="5"/>
        <v>-2.0474425404488454E-2</v>
      </c>
      <c r="H55" s="138">
        <f t="shared" si="6"/>
        <v>-1.2407972866659898E-2</v>
      </c>
      <c r="I55" s="126">
        <f t="shared" si="1"/>
        <v>7.6E-3</v>
      </c>
      <c r="J55" s="139">
        <f t="shared" si="7"/>
        <v>-2.8074425404488453E-2</v>
      </c>
      <c r="K55" s="139">
        <f t="shared" si="8"/>
        <v>-2.0007972866659899E-2</v>
      </c>
      <c r="M55" s="127">
        <v>850.14001499999995</v>
      </c>
      <c r="N55" s="126">
        <f t="shared" si="2"/>
        <v>939.56292264400054</v>
      </c>
      <c r="O55" s="126">
        <f t="shared" si="3"/>
        <v>-89.422907644000588</v>
      </c>
      <c r="P55" s="128">
        <f t="shared" si="4"/>
        <v>7996.4564115074591</v>
      </c>
    </row>
    <row r="56" spans="1:16">
      <c r="A56" s="131" t="d">
        <v>2017-03-22</v>
      </c>
      <c r="B56" s="127">
        <v>849.79998799999998</v>
      </c>
      <c r="C56" s="127">
        <v>2348.4499510000001</v>
      </c>
      <c r="D56" s="130" t="d">
        <v>2017-03-22</v>
      </c>
      <c r="E56" s="129">
        <v>0.76</v>
      </c>
      <c r="F56" s="126">
        <f t="shared" si="0"/>
        <v>0.76</v>
      </c>
      <c r="G56" s="138">
        <f t="shared" si="5"/>
        <v>-3.9996588091429112E-4</v>
      </c>
      <c r="H56" s="138">
        <f t="shared" si="6"/>
        <v>1.8898861623204584E-3</v>
      </c>
      <c r="I56" s="126">
        <f t="shared" si="1"/>
        <v>7.6E-3</v>
      </c>
      <c r="J56" s="139">
        <f t="shared" si="7"/>
        <v>-7.9999658809142907E-3</v>
      </c>
      <c r="K56" s="139">
        <f t="shared" si="8"/>
        <v>-5.7101138376795414E-3</v>
      </c>
      <c r="M56" s="127">
        <v>849.79998799999998</v>
      </c>
      <c r="N56" s="126">
        <f t="shared" si="2"/>
        <v>939.56292264400054</v>
      </c>
      <c r="O56" s="126">
        <f t="shared" si="3"/>
        <v>-89.762934644000552</v>
      </c>
      <c r="P56" s="128">
        <f t="shared" si="4"/>
        <v>8057.3844359031145</v>
      </c>
    </row>
    <row r="57" spans="1:16">
      <c r="A57" s="131" t="d">
        <v>2017-03-23</v>
      </c>
      <c r="B57" s="127">
        <v>839.65002400000003</v>
      </c>
      <c r="C57" s="127">
        <v>2345.959961</v>
      </c>
      <c r="D57" s="130" t="d">
        <v>2017-03-23</v>
      </c>
      <c r="E57" s="129">
        <v>0.75</v>
      </c>
      <c r="F57" s="126">
        <f t="shared" si="0"/>
        <v>0.75</v>
      </c>
      <c r="G57" s="138">
        <f t="shared" si="5"/>
        <v>-1.1943944626179443E-2</v>
      </c>
      <c r="H57" s="138">
        <f t="shared" si="6"/>
        <v>-1.0602695616058434E-3</v>
      </c>
      <c r="I57" s="126">
        <f t="shared" si="1"/>
        <v>7.4999999999999997E-3</v>
      </c>
      <c r="J57" s="139">
        <f t="shared" si="7"/>
        <v>-1.9443944626179443E-2</v>
      </c>
      <c r="K57" s="139">
        <f t="shared" si="8"/>
        <v>-8.560269561605844E-3</v>
      </c>
      <c r="M57" s="127">
        <v>839.65002400000003</v>
      </c>
      <c r="N57" s="126">
        <f t="shared" si="2"/>
        <v>939.56292264400054</v>
      </c>
      <c r="O57" s="126">
        <f t="shared" si="3"/>
        <v>-99.912898644000506</v>
      </c>
      <c r="P57" s="128">
        <f t="shared" si="4"/>
        <v>9982.5873154463188</v>
      </c>
    </row>
    <row r="58" spans="1:16">
      <c r="A58" s="131" t="d">
        <v>2017-03-24</v>
      </c>
      <c r="B58" s="127">
        <v>835.14001499999995</v>
      </c>
      <c r="C58" s="127">
        <v>2343.9799800000001</v>
      </c>
      <c r="D58" s="130" t="d">
        <v>2017-03-24</v>
      </c>
      <c r="E58" s="129">
        <v>0.77</v>
      </c>
      <c r="F58" s="126">
        <f t="shared" si="0"/>
        <v>0.77</v>
      </c>
      <c r="G58" s="138">
        <f t="shared" si="5"/>
        <v>-5.3712962199594745E-3</v>
      </c>
      <c r="H58" s="138">
        <f t="shared" si="6"/>
        <v>-8.4399607534476262E-4</v>
      </c>
      <c r="I58" s="126">
        <f t="shared" si="1"/>
        <v>7.7000000000000002E-3</v>
      </c>
      <c r="J58" s="139">
        <f t="shared" si="7"/>
        <v>-1.3071296219959474E-2</v>
      </c>
      <c r="K58" s="139">
        <f t="shared" si="8"/>
        <v>-8.5439960753447633E-3</v>
      </c>
      <c r="M58" s="127">
        <v>835.14001499999995</v>
      </c>
      <c r="N58" s="126">
        <f t="shared" si="2"/>
        <v>939.56292264400054</v>
      </c>
      <c r="O58" s="126">
        <f t="shared" si="3"/>
        <v>-104.42290764400059</v>
      </c>
      <c r="P58" s="128">
        <f t="shared" si="4"/>
        <v>10904.143640827477</v>
      </c>
    </row>
    <row r="59" spans="1:16">
      <c r="A59" s="131" t="d">
        <v>2017-03-27</v>
      </c>
      <c r="B59" s="127">
        <v>838.51000999999997</v>
      </c>
      <c r="C59" s="127">
        <v>2341.5900879999999</v>
      </c>
      <c r="D59" s="130" t="d">
        <v>2017-03-27</v>
      </c>
      <c r="E59" s="129">
        <v>0.77</v>
      </c>
      <c r="F59" s="126">
        <f t="shared" si="0"/>
        <v>0.77</v>
      </c>
      <c r="G59" s="138">
        <f t="shared" si="5"/>
        <v>4.0352455150888889E-3</v>
      </c>
      <c r="H59" s="138">
        <f t="shared" si="6"/>
        <v>-1.0195872065426707E-3</v>
      </c>
      <c r="I59" s="126">
        <f t="shared" si="1"/>
        <v>7.7000000000000002E-3</v>
      </c>
      <c r="J59" s="139">
        <f t="shared" si="7"/>
        <v>-3.6647544849111114E-3</v>
      </c>
      <c r="K59" s="139">
        <f t="shared" si="8"/>
        <v>-8.719587206542671E-3</v>
      </c>
      <c r="M59" s="127">
        <v>838.51000999999997</v>
      </c>
      <c r="N59" s="126">
        <f t="shared" si="2"/>
        <v>939.56292264400054</v>
      </c>
      <c r="O59" s="126">
        <f t="shared" si="3"/>
        <v>-101.05291264400057</v>
      </c>
      <c r="P59" s="128">
        <f t="shared" si="4"/>
        <v>10211.691153836011</v>
      </c>
    </row>
    <row r="60" spans="1:16">
      <c r="A60" s="131" t="d">
        <v>2017-03-28</v>
      </c>
      <c r="B60" s="127">
        <v>840.63000499999998</v>
      </c>
      <c r="C60" s="127">
        <v>2358.570068</v>
      </c>
      <c r="D60" s="130" t="d">
        <v>2017-03-28</v>
      </c>
      <c r="E60" s="129">
        <v>0.77</v>
      </c>
      <c r="F60" s="126">
        <f t="shared" si="0"/>
        <v>0.77</v>
      </c>
      <c r="G60" s="138">
        <f t="shared" si="5"/>
        <v>2.5282882430944591E-3</v>
      </c>
      <c r="H60" s="138">
        <f t="shared" si="6"/>
        <v>7.2514741529773972E-3</v>
      </c>
      <c r="I60" s="126">
        <f t="shared" si="1"/>
        <v>7.7000000000000002E-3</v>
      </c>
      <c r="J60" s="139">
        <f t="shared" si="7"/>
        <v>-5.1717117569055407E-3</v>
      </c>
      <c r="K60" s="139">
        <f t="shared" si="8"/>
        <v>-4.4852584702260306E-4</v>
      </c>
      <c r="M60" s="127">
        <v>840.63000499999998</v>
      </c>
      <c r="N60" s="126">
        <f t="shared" si="2"/>
        <v>939.56292264400054</v>
      </c>
      <c r="O60" s="126">
        <f t="shared" si="3"/>
        <v>-98.932917644000554</v>
      </c>
      <c r="P60" s="128">
        <f t="shared" si="4"/>
        <v>9787.7221935545967</v>
      </c>
    </row>
    <row r="61" spans="1:16">
      <c r="A61" s="131" t="d">
        <v>2017-03-29</v>
      </c>
      <c r="B61" s="127">
        <v>849.86999500000002</v>
      </c>
      <c r="C61" s="127">
        <v>2361.1298830000001</v>
      </c>
      <c r="D61" s="130" t="d">
        <v>2017-03-29</v>
      </c>
      <c r="E61" s="129">
        <v>0.77</v>
      </c>
      <c r="F61" s="126">
        <f t="shared" si="0"/>
        <v>0.77</v>
      </c>
      <c r="G61" s="138">
        <f t="shared" si="5"/>
        <v>1.0991744221644853E-2</v>
      </c>
      <c r="H61" s="138">
        <f t="shared" si="6"/>
        <v>1.0853249749627838E-3</v>
      </c>
      <c r="I61" s="126">
        <f t="shared" si="1"/>
        <v>7.7000000000000002E-3</v>
      </c>
      <c r="J61" s="139">
        <f t="shared" si="7"/>
        <v>3.2917442216448527E-3</v>
      </c>
      <c r="K61" s="139">
        <f t="shared" si="8"/>
        <v>-6.6146750250372166E-3</v>
      </c>
      <c r="M61" s="127">
        <v>849.86999500000002</v>
      </c>
      <c r="N61" s="126">
        <f t="shared" si="2"/>
        <v>939.56292264400054</v>
      </c>
      <c r="O61" s="126">
        <f t="shared" si="3"/>
        <v>-89.69292764400052</v>
      </c>
      <c r="P61" s="128">
        <f t="shared" si="4"/>
        <v>8044.8212693519126</v>
      </c>
    </row>
    <row r="62" spans="1:16">
      <c r="A62" s="131" t="d">
        <v>2017-03-30</v>
      </c>
      <c r="B62" s="127">
        <v>849.47997999999995</v>
      </c>
      <c r="C62" s="127">
        <v>2368.0600589999999</v>
      </c>
      <c r="D62" s="130" t="d">
        <v>2017-03-30</v>
      </c>
      <c r="E62" s="129">
        <v>0.77</v>
      </c>
      <c r="F62" s="126">
        <f t="shared" si="0"/>
        <v>0.77</v>
      </c>
      <c r="G62" s="138">
        <f t="shared" si="5"/>
        <v>-4.5891136561429275E-4</v>
      </c>
      <c r="H62" s="138">
        <f t="shared" si="6"/>
        <v>2.9351100292689179E-3</v>
      </c>
      <c r="I62" s="126">
        <f t="shared" si="1"/>
        <v>7.7000000000000002E-3</v>
      </c>
      <c r="J62" s="139">
        <f t="shared" si="7"/>
        <v>-8.1589113656142936E-3</v>
      </c>
      <c r="K62" s="139">
        <f t="shared" si="8"/>
        <v>-4.7648899707310819E-3</v>
      </c>
      <c r="M62" s="127">
        <v>849.47997999999995</v>
      </c>
      <c r="N62" s="126">
        <f t="shared" si="2"/>
        <v>939.56292264400054</v>
      </c>
      <c r="O62" s="126">
        <f t="shared" si="3"/>
        <v>-90.082942644000582</v>
      </c>
      <c r="P62" s="128">
        <f t="shared" si="4"/>
        <v>8114.9365554022988</v>
      </c>
    </row>
    <row r="63" spans="1:16">
      <c r="A63" s="131" t="d">
        <v>2017-03-31</v>
      </c>
      <c r="B63" s="127">
        <v>847.79998799999998</v>
      </c>
      <c r="C63" s="127">
        <v>2362.719971</v>
      </c>
      <c r="D63" s="130" t="d">
        <v>2017-03-31</v>
      </c>
      <c r="E63" s="129">
        <v>0.75</v>
      </c>
      <c r="F63" s="126">
        <f t="shared" si="0"/>
        <v>0.75</v>
      </c>
      <c r="G63" s="138">
        <f t="shared" si="5"/>
        <v>-1.9776710923781514E-3</v>
      </c>
      <c r="H63" s="138">
        <f t="shared" si="6"/>
        <v>-2.2550475355151978E-3</v>
      </c>
      <c r="I63" s="126">
        <f t="shared" si="1"/>
        <v>7.4999999999999997E-3</v>
      </c>
      <c r="J63" s="139">
        <f t="shared" si="7"/>
        <v>-9.4776710923781503E-3</v>
      </c>
      <c r="K63" s="139">
        <f t="shared" si="8"/>
        <v>-9.7550475355151975E-3</v>
      </c>
      <c r="M63" s="127">
        <v>847.79998799999998</v>
      </c>
      <c r="N63" s="126">
        <f t="shared" si="2"/>
        <v>939.56292264400054</v>
      </c>
      <c r="O63" s="126">
        <f t="shared" si="3"/>
        <v>-91.762934644000552</v>
      </c>
      <c r="P63" s="128">
        <f t="shared" si="4"/>
        <v>8420.4361744791167</v>
      </c>
    </row>
    <row r="64" spans="1:16">
      <c r="A64" s="131" t="d">
        <v>2017-04-03</v>
      </c>
      <c r="B64" s="127">
        <v>856.75</v>
      </c>
      <c r="C64" s="127">
        <v>2358.8400879999999</v>
      </c>
      <c r="D64" s="130" t="d">
        <v>2017-04-03</v>
      </c>
      <c r="E64" s="129">
        <v>0.78</v>
      </c>
      <c r="F64" s="126">
        <f t="shared" si="0"/>
        <v>0.78</v>
      </c>
      <c r="G64" s="138">
        <f t="shared" si="5"/>
        <v>1.0556749382732966E-2</v>
      </c>
      <c r="H64" s="138">
        <f t="shared" si="6"/>
        <v>-1.642125621157694E-3</v>
      </c>
      <c r="I64" s="126">
        <f t="shared" si="1"/>
        <v>7.8000000000000005E-3</v>
      </c>
      <c r="J64" s="139">
        <f t="shared" si="7"/>
        <v>2.7567493827329653E-3</v>
      </c>
      <c r="K64" s="139">
        <f t="shared" si="8"/>
        <v>-9.4421256211576939E-3</v>
      </c>
      <c r="M64" s="127">
        <v>856.75</v>
      </c>
      <c r="N64" s="126">
        <f t="shared" si="2"/>
        <v>939.56292264400054</v>
      </c>
      <c r="O64" s="126">
        <f t="shared" si="3"/>
        <v>-82.812922644000537</v>
      </c>
      <c r="P64" s="128">
        <f t="shared" si="4"/>
        <v>6857.9801568412167</v>
      </c>
    </row>
    <row r="65" spans="1:16">
      <c r="A65" s="131" t="d">
        <v>2017-04-04</v>
      </c>
      <c r="B65" s="127">
        <v>852.57000700000003</v>
      </c>
      <c r="C65" s="127">
        <v>2360.1599120000001</v>
      </c>
      <c r="D65" s="130" t="d">
        <v>2017-04-04</v>
      </c>
      <c r="E65" s="129">
        <v>0.78</v>
      </c>
      <c r="F65" s="126">
        <f t="shared" si="0"/>
        <v>0.78</v>
      </c>
      <c r="G65" s="138">
        <f t="shared" si="5"/>
        <v>-4.8788946600524866E-3</v>
      </c>
      <c r="H65" s="138">
        <f t="shared" si="6"/>
        <v>5.5952245627604127E-4</v>
      </c>
      <c r="I65" s="126">
        <f t="shared" si="1"/>
        <v>7.8000000000000005E-3</v>
      </c>
      <c r="J65" s="139">
        <f t="shared" si="7"/>
        <v>-1.2678894660052488E-2</v>
      </c>
      <c r="K65" s="139">
        <f t="shared" si="8"/>
        <v>-7.2404775437239595E-3</v>
      </c>
      <c r="M65" s="127">
        <v>852.57000700000003</v>
      </c>
      <c r="N65" s="126">
        <f t="shared" si="2"/>
        <v>939.56292264400054</v>
      </c>
      <c r="O65" s="126">
        <f t="shared" si="3"/>
        <v>-86.992915644000504</v>
      </c>
      <c r="P65" s="128">
        <f t="shared" si="4"/>
        <v>7567.7673722441878</v>
      </c>
    </row>
    <row r="66" spans="1:16">
      <c r="A66" s="131" t="d">
        <v>2017-04-05</v>
      </c>
      <c r="B66" s="127">
        <v>848.90997300000004</v>
      </c>
      <c r="C66" s="127">
        <v>2352.9499510000001</v>
      </c>
      <c r="D66" s="130" t="d">
        <v>2017-04-05</v>
      </c>
      <c r="E66" s="129">
        <v>0.79</v>
      </c>
      <c r="F66" s="126">
        <f t="shared" ref="F66:F129" si="9">VLOOKUP($A$1:$A$251,$D$1:$E$251,2)</f>
        <v>0.79</v>
      </c>
      <c r="G66" s="138">
        <f t="shared" si="5"/>
        <v>-4.2929424797370289E-3</v>
      </c>
      <c r="H66" s="138">
        <f t="shared" si="6"/>
        <v>-3.0548612250134773E-3</v>
      </c>
      <c r="I66" s="126">
        <f t="shared" si="1"/>
        <v>7.9000000000000008E-3</v>
      </c>
      <c r="J66" s="139">
        <f t="shared" si="7"/>
        <v>-1.219294247973703E-2</v>
      </c>
      <c r="K66" s="139">
        <f t="shared" si="8"/>
        <v>-1.0954861225013478E-2</v>
      </c>
      <c r="M66" s="127">
        <v>848.90997300000004</v>
      </c>
      <c r="N66" s="126">
        <f t="shared" si="2"/>
        <v>939.56292264400054</v>
      </c>
      <c r="O66" s="126">
        <f t="shared" si="3"/>
        <v>-90.6529496440005</v>
      </c>
      <c r="P66" s="128">
        <f t="shared" si="4"/>
        <v>8217.9572791576902</v>
      </c>
    </row>
    <row r="67" spans="1:16">
      <c r="A67" s="131" t="d">
        <v>2017-04-06</v>
      </c>
      <c r="B67" s="127">
        <v>845.09997599999997</v>
      </c>
      <c r="C67" s="127">
        <v>2357.48999</v>
      </c>
      <c r="D67" s="130" t="d">
        <v>2017-04-06</v>
      </c>
      <c r="E67" s="129">
        <v>0.78</v>
      </c>
      <c r="F67" s="126">
        <f t="shared" si="9"/>
        <v>0.78</v>
      </c>
      <c r="G67" s="138">
        <f t="shared" si="5"/>
        <v>-4.4881048888326192E-3</v>
      </c>
      <c r="H67" s="138">
        <f t="shared" si="6"/>
        <v>1.9295093795218506E-3</v>
      </c>
      <c r="I67" s="126">
        <f t="shared" ref="I67:I130" si="10">E67/100</f>
        <v>7.8000000000000005E-3</v>
      </c>
      <c r="J67" s="139">
        <f t="shared" si="7"/>
        <v>-1.228810488883262E-2</v>
      </c>
      <c r="K67" s="139">
        <f t="shared" si="8"/>
        <v>-5.8704906204781497E-3</v>
      </c>
      <c r="M67" s="127">
        <v>845.09997599999997</v>
      </c>
      <c r="N67" s="126">
        <f t="shared" ref="N67:N130" si="11">AVERAGE($M$2:$M$251)</f>
        <v>939.56292264400054</v>
      </c>
      <c r="O67" s="126">
        <f t="shared" ref="O67:O130" si="12">M67-$N67</f>
        <v>-94.462946644000567</v>
      </c>
      <c r="P67" s="128">
        <f t="shared" ref="P67:P130" si="13">O67^2</f>
        <v>8923.2482886672988</v>
      </c>
    </row>
    <row r="68" spans="1:16">
      <c r="A68" s="131" t="d">
        <v>2017-04-07</v>
      </c>
      <c r="B68" s="127">
        <v>842.09997599999997</v>
      </c>
      <c r="C68" s="127">
        <v>2355.540039</v>
      </c>
      <c r="D68" s="130" t="d">
        <v>2017-04-07</v>
      </c>
      <c r="E68" s="129">
        <v>0.81</v>
      </c>
      <c r="F68" s="126">
        <f t="shared" si="9"/>
        <v>0.81</v>
      </c>
      <c r="G68" s="138">
        <f t="shared" ref="G68:G131" si="14">(B68-B67)/B67</f>
        <v>-3.5498758551615437E-3</v>
      </c>
      <c r="H68" s="138">
        <f t="shared" ref="H68:H131" si="15">(C68-C67)/C67</f>
        <v>-8.2713012919306416E-4</v>
      </c>
      <c r="I68" s="126">
        <f t="shared" si="10"/>
        <v>8.1000000000000013E-3</v>
      </c>
      <c r="J68" s="139">
        <f t="shared" ref="J68:J131" si="16">G68-$I68</f>
        <v>-1.1649875855161545E-2</v>
      </c>
      <c r="K68" s="139">
        <f t="shared" ref="K68:K131" si="17">H68-$I68</f>
        <v>-8.9271301291930661E-3</v>
      </c>
      <c r="M68" s="127">
        <v>842.09997599999997</v>
      </c>
      <c r="N68" s="126">
        <f t="shared" si="11"/>
        <v>939.56292264400054</v>
      </c>
      <c r="O68" s="126">
        <f t="shared" si="12"/>
        <v>-97.462946644000567</v>
      </c>
      <c r="P68" s="128">
        <f t="shared" si="13"/>
        <v>9499.0259685313013</v>
      </c>
    </row>
    <row r="69" spans="1:16">
      <c r="A69" s="131" t="d">
        <v>2017-04-10</v>
      </c>
      <c r="B69" s="127">
        <v>841.70001200000002</v>
      </c>
      <c r="C69" s="127">
        <v>2357.1599120000001</v>
      </c>
      <c r="D69" s="130" t="d">
        <v>2017-04-10</v>
      </c>
      <c r="E69" s="129">
        <v>0.81</v>
      </c>
      <c r="F69" s="126">
        <f t="shared" si="9"/>
        <v>0.81</v>
      </c>
      <c r="G69" s="138">
        <f t="shared" si="14"/>
        <v>-4.7496023203776278E-4</v>
      </c>
      <c r="H69" s="138">
        <f t="shared" si="15"/>
        <v>6.8768646390225837E-4</v>
      </c>
      <c r="I69" s="126">
        <f t="shared" si="10"/>
        <v>8.1000000000000013E-3</v>
      </c>
      <c r="J69" s="139">
        <f t="shared" si="16"/>
        <v>-8.5749602320377635E-3</v>
      </c>
      <c r="K69" s="139">
        <f t="shared" si="17"/>
        <v>-7.4123135360977428E-3</v>
      </c>
      <c r="M69" s="127">
        <v>841.70001200000002</v>
      </c>
      <c r="N69" s="126">
        <f t="shared" si="11"/>
        <v>939.56292264400054</v>
      </c>
      <c r="O69" s="126">
        <f t="shared" si="12"/>
        <v>-97.862910644000522</v>
      </c>
      <c r="P69" s="128">
        <f t="shared" si="13"/>
        <v>9577.1492797156297</v>
      </c>
    </row>
    <row r="70" spans="1:16">
      <c r="A70" s="131" t="d">
        <v>2017-04-11</v>
      </c>
      <c r="B70" s="127">
        <v>839.88000499999998</v>
      </c>
      <c r="C70" s="127">
        <v>2353.780029</v>
      </c>
      <c r="D70" s="130" t="d">
        <v>2017-04-11</v>
      </c>
      <c r="E70" s="129">
        <v>0.81</v>
      </c>
      <c r="F70" s="126">
        <f t="shared" si="9"/>
        <v>0.81</v>
      </c>
      <c r="G70" s="138">
        <f t="shared" si="14"/>
        <v>-2.1622988880271423E-3</v>
      </c>
      <c r="H70" s="138">
        <f t="shared" si="15"/>
        <v>-1.4338793828935876E-3</v>
      </c>
      <c r="I70" s="126">
        <f t="shared" si="10"/>
        <v>8.1000000000000013E-3</v>
      </c>
      <c r="J70" s="139">
        <f t="shared" si="16"/>
        <v>-1.0262298888027144E-2</v>
      </c>
      <c r="K70" s="139">
        <f t="shared" si="17"/>
        <v>-9.5338793828935887E-3</v>
      </c>
      <c r="M70" s="127">
        <v>839.88000499999998</v>
      </c>
      <c r="N70" s="126">
        <f t="shared" si="11"/>
        <v>939.56292264400054</v>
      </c>
      <c r="O70" s="126">
        <f t="shared" si="12"/>
        <v>-99.682917644000554</v>
      </c>
      <c r="P70" s="128">
        <f t="shared" si="13"/>
        <v>9936.6840700205976</v>
      </c>
    </row>
    <row r="71" spans="1:16">
      <c r="A71" s="131" t="d">
        <v>2017-04-12</v>
      </c>
      <c r="B71" s="127">
        <v>841.46002199999998</v>
      </c>
      <c r="C71" s="127">
        <v>2344.929932</v>
      </c>
      <c r="D71" s="130" t="d">
        <v>2017-04-12</v>
      </c>
      <c r="E71" s="129">
        <v>0.8</v>
      </c>
      <c r="F71" s="126">
        <f t="shared" si="9"/>
        <v>0.8</v>
      </c>
      <c r="G71" s="138">
        <f t="shared" si="14"/>
        <v>1.8812413566149822E-3</v>
      </c>
      <c r="H71" s="138">
        <f t="shared" si="15"/>
        <v>-3.7599507562140187E-3</v>
      </c>
      <c r="I71" s="126">
        <f t="shared" si="10"/>
        <v>8.0000000000000002E-3</v>
      </c>
      <c r="J71" s="139">
        <f t="shared" si="16"/>
        <v>-6.1187586433850182E-3</v>
      </c>
      <c r="K71" s="139">
        <f t="shared" si="17"/>
        <v>-1.1759950756214018E-2</v>
      </c>
      <c r="M71" s="127">
        <v>841.46002199999998</v>
      </c>
      <c r="N71" s="126">
        <f t="shared" si="11"/>
        <v>939.56292264400054</v>
      </c>
      <c r="O71" s="126">
        <f t="shared" si="12"/>
        <v>-98.102900644000556</v>
      </c>
      <c r="P71" s="128">
        <f t="shared" si="13"/>
        <v>9624.1791147666445</v>
      </c>
    </row>
    <row r="72" spans="1:16">
      <c r="A72" s="131" t="d">
        <v>2017-04-13</v>
      </c>
      <c r="B72" s="127">
        <v>840.17999299999997</v>
      </c>
      <c r="C72" s="127">
        <v>2328.9499510000001</v>
      </c>
      <c r="D72" s="130" t="d">
        <v>2017-04-13</v>
      </c>
      <c r="E72" s="129">
        <v>0.8</v>
      </c>
      <c r="F72" s="126">
        <f t="shared" si="9"/>
        <v>0.8</v>
      </c>
      <c r="G72" s="138">
        <f t="shared" si="14"/>
        <v>-1.5212000172718997E-3</v>
      </c>
      <c r="H72" s="138">
        <f t="shared" si="15"/>
        <v>-6.814694452883103E-3</v>
      </c>
      <c r="I72" s="126">
        <f t="shared" si="10"/>
        <v>8.0000000000000002E-3</v>
      </c>
      <c r="J72" s="139">
        <f t="shared" si="16"/>
        <v>-9.5212000172718997E-3</v>
      </c>
      <c r="K72" s="139">
        <f t="shared" si="17"/>
        <v>-1.4814694452883102E-2</v>
      </c>
      <c r="M72" s="127">
        <v>840.17999299999997</v>
      </c>
      <c r="N72" s="126">
        <f t="shared" si="11"/>
        <v>939.56292264400054</v>
      </c>
      <c r="O72" s="126">
        <f t="shared" si="12"/>
        <v>-99.382929644000569</v>
      </c>
      <c r="P72" s="128">
        <f t="shared" si="13"/>
        <v>9876.9667046243667</v>
      </c>
    </row>
    <row r="73" spans="1:16">
      <c r="A73" s="131" t="d">
        <v>2017-04-17</v>
      </c>
      <c r="B73" s="127">
        <v>855.13000499999998</v>
      </c>
      <c r="C73" s="127">
        <v>2349.01001</v>
      </c>
      <c r="D73" s="130" t="d">
        <v>2017-04-17</v>
      </c>
      <c r="E73" s="129">
        <v>0.82</v>
      </c>
      <c r="F73" s="126">
        <f t="shared" si="9"/>
        <v>0.82</v>
      </c>
      <c r="G73" s="138">
        <f t="shared" si="14"/>
        <v>1.7793820520075172E-2</v>
      </c>
      <c r="H73" s="138">
        <f t="shared" si="15"/>
        <v>8.6133491152897302E-3</v>
      </c>
      <c r="I73" s="126">
        <f t="shared" si="10"/>
        <v>8.199999999999999E-3</v>
      </c>
      <c r="J73" s="139">
        <f t="shared" si="16"/>
        <v>9.5938205200751733E-3</v>
      </c>
      <c r="K73" s="139">
        <f t="shared" si="17"/>
        <v>4.1334911528973124E-4</v>
      </c>
      <c r="M73" s="127">
        <v>855.13000499999998</v>
      </c>
      <c r="N73" s="126">
        <f t="shared" si="11"/>
        <v>939.56292264400054</v>
      </c>
      <c r="O73" s="126">
        <f t="shared" si="12"/>
        <v>-84.432917644000554</v>
      </c>
      <c r="P73" s="128">
        <f t="shared" si="13"/>
        <v>7128.9175818785798</v>
      </c>
    </row>
    <row r="74" spans="1:16">
      <c r="A74" s="131" t="d">
        <v>2017-04-18</v>
      </c>
      <c r="B74" s="127">
        <v>853.98999000000003</v>
      </c>
      <c r="C74" s="127">
        <v>2342.1899410000001</v>
      </c>
      <c r="D74" s="130" t="d">
        <v>2017-04-18</v>
      </c>
      <c r="E74" s="129">
        <v>0.81</v>
      </c>
      <c r="F74" s="126">
        <f t="shared" si="9"/>
        <v>0.81</v>
      </c>
      <c r="G74" s="138">
        <f t="shared" si="14"/>
        <v>-1.3331481685056163E-3</v>
      </c>
      <c r="H74" s="138">
        <f t="shared" si="15"/>
        <v>-2.9033801350211684E-3</v>
      </c>
      <c r="I74" s="126">
        <f t="shared" si="10"/>
        <v>8.1000000000000013E-3</v>
      </c>
      <c r="J74" s="139">
        <f t="shared" si="16"/>
        <v>-9.433148168505618E-3</v>
      </c>
      <c r="K74" s="139">
        <f t="shared" si="17"/>
        <v>-1.100338013502117E-2</v>
      </c>
      <c r="M74" s="127">
        <v>853.98999000000003</v>
      </c>
      <c r="N74" s="126">
        <f t="shared" si="11"/>
        <v>939.56292264400054</v>
      </c>
      <c r="O74" s="126">
        <f t="shared" si="12"/>
        <v>-85.572932644000502</v>
      </c>
      <c r="P74" s="128">
        <f t="shared" si="13"/>
        <v>7322.726801294647</v>
      </c>
    </row>
    <row r="75" spans="1:16">
      <c r="A75" s="131" t="d">
        <v>2017-04-19</v>
      </c>
      <c r="B75" s="127">
        <v>856.51000999999997</v>
      </c>
      <c r="C75" s="127">
        <v>2338.169922</v>
      </c>
      <c r="D75" s="130" t="d">
        <v>2017-04-19</v>
      </c>
      <c r="E75" s="129">
        <v>0.8</v>
      </c>
      <c r="F75" s="126">
        <f t="shared" si="9"/>
        <v>0.8</v>
      </c>
      <c r="G75" s="138">
        <f t="shared" si="14"/>
        <v>2.9508776794912213E-3</v>
      </c>
      <c r="H75" s="138">
        <f t="shared" si="15"/>
        <v>-1.7163505528008957E-3</v>
      </c>
      <c r="I75" s="126">
        <f t="shared" si="10"/>
        <v>8.0000000000000002E-3</v>
      </c>
      <c r="J75" s="139">
        <f t="shared" si="16"/>
        <v>-5.0491223205087789E-3</v>
      </c>
      <c r="K75" s="139">
        <f t="shared" si="17"/>
        <v>-9.7163505528008957E-3</v>
      </c>
      <c r="M75" s="127">
        <v>856.51000999999997</v>
      </c>
      <c r="N75" s="126">
        <f t="shared" si="11"/>
        <v>939.56292264400054</v>
      </c>
      <c r="O75" s="126">
        <f t="shared" si="12"/>
        <v>-83.052912644000571</v>
      </c>
      <c r="P75" s="128">
        <f t="shared" si="13"/>
        <v>6897.7862986519904</v>
      </c>
    </row>
    <row r="76" spans="1:16">
      <c r="A76" s="131" t="d">
        <v>2017-04-20</v>
      </c>
      <c r="B76" s="127">
        <v>860.080017</v>
      </c>
      <c r="C76" s="127">
        <v>2355.8400879999999</v>
      </c>
      <c r="D76" s="130" t="d">
        <v>2017-04-20</v>
      </c>
      <c r="E76" s="129">
        <v>0.78</v>
      </c>
      <c r="F76" s="126">
        <f t="shared" si="9"/>
        <v>0.78</v>
      </c>
      <c r="G76" s="138">
        <f t="shared" si="14"/>
        <v>4.1680855545401423E-3</v>
      </c>
      <c r="H76" s="138">
        <f t="shared" si="15"/>
        <v>7.5572634109010153E-3</v>
      </c>
      <c r="I76" s="126">
        <f t="shared" si="10"/>
        <v>7.8000000000000005E-3</v>
      </c>
      <c r="J76" s="139">
        <f t="shared" si="16"/>
        <v>-3.6319144454598582E-3</v>
      </c>
      <c r="K76" s="139">
        <f t="shared" si="17"/>
        <v>-2.4273658909898521E-4</v>
      </c>
      <c r="M76" s="127">
        <v>860.080017</v>
      </c>
      <c r="N76" s="126">
        <f t="shared" si="11"/>
        <v>939.56292264400054</v>
      </c>
      <c r="O76" s="126">
        <f t="shared" si="12"/>
        <v>-79.482905644000539</v>
      </c>
      <c r="P76" s="128">
        <f t="shared" si="13"/>
        <v>6317.5322896130929</v>
      </c>
    </row>
    <row r="77" spans="1:16">
      <c r="A77" s="131" t="d">
        <v>2017-04-21</v>
      </c>
      <c r="B77" s="127">
        <v>858.95001200000002</v>
      </c>
      <c r="C77" s="127">
        <v>2348.6899410000001</v>
      </c>
      <c r="D77" s="130" t="d">
        <v>2017-04-21</v>
      </c>
      <c r="E77" s="129">
        <v>0.78</v>
      </c>
      <c r="F77" s="126">
        <f t="shared" si="9"/>
        <v>0.78</v>
      </c>
      <c r="G77" s="138">
        <f t="shared" si="14"/>
        <v>-1.3138370589535309E-3</v>
      </c>
      <c r="H77" s="138">
        <f t="shared" si="15"/>
        <v>-3.0350731513657109E-3</v>
      </c>
      <c r="I77" s="126">
        <f t="shared" si="10"/>
        <v>7.8000000000000005E-3</v>
      </c>
      <c r="J77" s="139">
        <f t="shared" si="16"/>
        <v>-9.1138370589535309E-3</v>
      </c>
      <c r="K77" s="139">
        <f t="shared" si="17"/>
        <v>-1.0835073151365712E-2</v>
      </c>
      <c r="M77" s="127">
        <v>858.95001200000002</v>
      </c>
      <c r="N77" s="126">
        <f t="shared" si="11"/>
        <v>939.56292264400054</v>
      </c>
      <c r="O77" s="126">
        <f t="shared" si="12"/>
        <v>-80.612910644000522</v>
      </c>
      <c r="P77" s="128">
        <f t="shared" si="13"/>
        <v>6498.4413624976123</v>
      </c>
    </row>
    <row r="78" spans="1:16">
      <c r="A78" s="131" t="d">
        <v>2017-04-24</v>
      </c>
      <c r="B78" s="127">
        <v>878.92999299999997</v>
      </c>
      <c r="C78" s="127">
        <v>2374.1499020000001</v>
      </c>
      <c r="D78" s="130" t="d">
        <v>2017-04-24</v>
      </c>
      <c r="E78" s="129">
        <v>0.8</v>
      </c>
      <c r="F78" s="126">
        <f t="shared" si="9"/>
        <v>0.8</v>
      </c>
      <c r="G78" s="138">
        <f t="shared" si="14"/>
        <v>2.3260935701576023E-2</v>
      </c>
      <c r="H78" s="138">
        <f t="shared" si="15"/>
        <v>1.0840068991465068E-2</v>
      </c>
      <c r="I78" s="126">
        <f t="shared" si="10"/>
        <v>8.0000000000000002E-3</v>
      </c>
      <c r="J78" s="139">
        <f t="shared" si="16"/>
        <v>1.5260935701576023E-2</v>
      </c>
      <c r="K78" s="139">
        <f t="shared" si="17"/>
        <v>2.8400689914650674E-3</v>
      </c>
      <c r="M78" s="127">
        <v>878.92999299999997</v>
      </c>
      <c r="N78" s="126">
        <f t="shared" si="11"/>
        <v>939.56292264400054</v>
      </c>
      <c r="O78" s="126">
        <f t="shared" si="12"/>
        <v>-60.632929644000569</v>
      </c>
      <c r="P78" s="128">
        <f t="shared" si="13"/>
        <v>3676.3521572143231</v>
      </c>
    </row>
    <row r="79" spans="1:16">
      <c r="A79" s="131" t="d">
        <v>2017-04-25</v>
      </c>
      <c r="B79" s="127">
        <v>888.84002699999996</v>
      </c>
      <c r="C79" s="127">
        <v>2388.610107</v>
      </c>
      <c r="D79" s="130" t="d">
        <v>2017-04-25</v>
      </c>
      <c r="E79" s="129">
        <v>0.81</v>
      </c>
      <c r="F79" s="126">
        <f t="shared" si="9"/>
        <v>0.81</v>
      </c>
      <c r="G79" s="138">
        <f t="shared" si="14"/>
        <v>1.1275111873443596E-2</v>
      </c>
      <c r="H79" s="138">
        <f t="shared" si="15"/>
        <v>6.0906874447222079E-3</v>
      </c>
      <c r="I79" s="126">
        <f t="shared" si="10"/>
        <v>8.1000000000000013E-3</v>
      </c>
      <c r="J79" s="139">
        <f t="shared" si="16"/>
        <v>3.1751118734435948E-3</v>
      </c>
      <c r="K79" s="139">
        <f t="shared" si="17"/>
        <v>-2.0093125552777934E-3</v>
      </c>
      <c r="M79" s="127">
        <v>888.84002699999996</v>
      </c>
      <c r="N79" s="126">
        <f t="shared" si="11"/>
        <v>939.56292264400054</v>
      </c>
      <c r="O79" s="126">
        <f t="shared" si="12"/>
        <v>-50.722895644000573</v>
      </c>
      <c r="P79" s="128">
        <f t="shared" si="13"/>
        <v>2572.8121425121722</v>
      </c>
    </row>
    <row r="80" spans="1:16">
      <c r="A80" s="131" t="d">
        <v>2017-04-26</v>
      </c>
      <c r="B80" s="127">
        <v>889.14001499999995</v>
      </c>
      <c r="C80" s="127">
        <v>2387.4499510000001</v>
      </c>
      <c r="D80" s="130" t="d">
        <v>2017-04-26</v>
      </c>
      <c r="E80" s="129">
        <v>0.82</v>
      </c>
      <c r="F80" s="126">
        <f t="shared" si="9"/>
        <v>0.82</v>
      </c>
      <c r="G80" s="138">
        <f t="shared" si="14"/>
        <v>3.3750505252615588E-4</v>
      </c>
      <c r="H80" s="138">
        <f t="shared" si="15"/>
        <v>-4.8570337896502731E-4</v>
      </c>
      <c r="I80" s="126">
        <f t="shared" si="10"/>
        <v>8.199999999999999E-3</v>
      </c>
      <c r="J80" s="139">
        <f t="shared" si="16"/>
        <v>-7.8624949474738436E-3</v>
      </c>
      <c r="K80" s="139">
        <f t="shared" si="17"/>
        <v>-8.6857033789650255E-3</v>
      </c>
      <c r="M80" s="127">
        <v>889.14001499999995</v>
      </c>
      <c r="N80" s="126">
        <f t="shared" si="11"/>
        <v>939.56292264400054</v>
      </c>
      <c r="O80" s="126">
        <f t="shared" si="12"/>
        <v>-50.422907644000588</v>
      </c>
      <c r="P80" s="128">
        <f t="shared" si="13"/>
        <v>2542.4696152754132</v>
      </c>
    </row>
    <row r="81" spans="1:16">
      <c r="A81" s="131" t="d">
        <v>2017-04-27</v>
      </c>
      <c r="B81" s="127">
        <v>891.44000200000005</v>
      </c>
      <c r="C81" s="127">
        <v>2388.7700199999999</v>
      </c>
      <c r="D81" s="130" t="d">
        <v>2017-04-27</v>
      </c>
      <c r="E81" s="129">
        <v>0.8</v>
      </c>
      <c r="F81" s="126">
        <f t="shared" si="9"/>
        <v>0.8</v>
      </c>
      <c r="G81" s="138">
        <f t="shared" si="14"/>
        <v>2.5867545731817067E-3</v>
      </c>
      <c r="H81" s="138">
        <f t="shared" si="15"/>
        <v>5.5292007250118717E-4</v>
      </c>
      <c r="I81" s="126">
        <f t="shared" si="10"/>
        <v>8.0000000000000002E-3</v>
      </c>
      <c r="J81" s="139">
        <f t="shared" si="16"/>
        <v>-5.4132454268182931E-3</v>
      </c>
      <c r="K81" s="139">
        <f t="shared" si="17"/>
        <v>-7.4470799274988127E-3</v>
      </c>
      <c r="M81" s="127">
        <v>891.44000200000005</v>
      </c>
      <c r="N81" s="126">
        <f t="shared" si="11"/>
        <v>939.56292264400054</v>
      </c>
      <c r="O81" s="126">
        <f t="shared" si="12"/>
        <v>-48.122920644000487</v>
      </c>
      <c r="P81" s="128">
        <f t="shared" si="13"/>
        <v>2315.8154913087683</v>
      </c>
    </row>
    <row r="82" spans="1:16">
      <c r="A82" s="131" t="d">
        <v>2017-04-28</v>
      </c>
      <c r="B82" s="127">
        <v>924.52002000000005</v>
      </c>
      <c r="C82" s="127">
        <v>2384.1999510000001</v>
      </c>
      <c r="D82" s="130" t="d">
        <v>2017-04-28</v>
      </c>
      <c r="E82" s="129">
        <v>0.79</v>
      </c>
      <c r="F82" s="126">
        <f t="shared" si="9"/>
        <v>0.79</v>
      </c>
      <c r="G82" s="138">
        <f t="shared" si="14"/>
        <v>3.7108518717785782E-2</v>
      </c>
      <c r="H82" s="138">
        <f t="shared" si="15"/>
        <v>-1.9131473359665974E-3</v>
      </c>
      <c r="I82" s="126">
        <f t="shared" si="10"/>
        <v>7.9000000000000008E-3</v>
      </c>
      <c r="J82" s="139">
        <f t="shared" si="16"/>
        <v>2.9208518717785781E-2</v>
      </c>
      <c r="K82" s="139">
        <f t="shared" si="17"/>
        <v>-9.8131473359665978E-3</v>
      </c>
      <c r="M82" s="127">
        <v>924.52002000000005</v>
      </c>
      <c r="N82" s="126">
        <f t="shared" si="11"/>
        <v>939.56292264400054</v>
      </c>
      <c r="O82" s="126">
        <f t="shared" si="12"/>
        <v>-15.042902644000492</v>
      </c>
      <c r="P82" s="128">
        <f t="shared" si="13"/>
        <v>226.28891995687698</v>
      </c>
    </row>
    <row r="83" spans="1:16">
      <c r="A83" s="131" t="d">
        <v>2017-05-01</v>
      </c>
      <c r="B83" s="127">
        <v>932.82000700000003</v>
      </c>
      <c r="C83" s="127">
        <v>2388.330078</v>
      </c>
      <c r="D83" s="130" t="d">
        <v>2017-05-01</v>
      </c>
      <c r="E83" s="129">
        <v>0.82</v>
      </c>
      <c r="F83" s="126">
        <f t="shared" si="9"/>
        <v>0.82</v>
      </c>
      <c r="G83" s="138">
        <f t="shared" si="14"/>
        <v>8.9776173803137183E-3</v>
      </c>
      <c r="H83" s="138">
        <f t="shared" si="15"/>
        <v>1.7322905313657151E-3</v>
      </c>
      <c r="I83" s="126">
        <f t="shared" si="10"/>
        <v>8.199999999999999E-3</v>
      </c>
      <c r="J83" s="139">
        <f t="shared" si="16"/>
        <v>7.776173803137193E-4</v>
      </c>
      <c r="K83" s="139">
        <f t="shared" si="17"/>
        <v>-6.4677094686342836E-3</v>
      </c>
      <c r="M83" s="127">
        <v>932.82000700000003</v>
      </c>
      <c r="N83" s="126">
        <f t="shared" si="11"/>
        <v>939.56292264400054</v>
      </c>
      <c r="O83" s="126">
        <f t="shared" si="12"/>
        <v>-6.7429156440005045</v>
      </c>
      <c r="P83" s="128">
        <f t="shared" si="13"/>
        <v>45.466911382106737</v>
      </c>
    </row>
    <row r="84" spans="1:16">
      <c r="A84" s="131" t="d">
        <v>2017-05-02</v>
      </c>
      <c r="B84" s="127">
        <v>937.09002699999996</v>
      </c>
      <c r="C84" s="127">
        <v>2391.169922</v>
      </c>
      <c r="D84" s="130" t="d">
        <v>2017-05-02</v>
      </c>
      <c r="E84" s="129">
        <v>0.81</v>
      </c>
      <c r="F84" s="126">
        <f t="shared" si="9"/>
        <v>0.81</v>
      </c>
      <c r="G84" s="138">
        <f t="shared" si="14"/>
        <v>4.5775390407122038E-3</v>
      </c>
      <c r="H84" s="138">
        <f t="shared" si="15"/>
        <v>1.1890500505600905E-3</v>
      </c>
      <c r="I84" s="126">
        <f t="shared" si="10"/>
        <v>8.1000000000000013E-3</v>
      </c>
      <c r="J84" s="139">
        <f t="shared" si="16"/>
        <v>-3.5224609592877975E-3</v>
      </c>
      <c r="K84" s="139">
        <f t="shared" si="17"/>
        <v>-6.9109499494399108E-3</v>
      </c>
      <c r="M84" s="127">
        <v>937.09002699999996</v>
      </c>
      <c r="N84" s="126">
        <f t="shared" si="11"/>
        <v>939.56292264400054</v>
      </c>
      <c r="O84" s="126">
        <f t="shared" si="12"/>
        <v>-2.4728956440005732</v>
      </c>
      <c r="P84" s="128">
        <f t="shared" si="13"/>
        <v>6.1152128661170098</v>
      </c>
    </row>
    <row r="85" spans="1:16">
      <c r="A85" s="131" t="d">
        <v>2017-05-03</v>
      </c>
      <c r="B85" s="127">
        <v>948.45001200000002</v>
      </c>
      <c r="C85" s="127">
        <v>2388.1298830000001</v>
      </c>
      <c r="D85" s="130" t="d">
        <v>2017-05-03</v>
      </c>
      <c r="E85" s="129">
        <v>0.84</v>
      </c>
      <c r="F85" s="126">
        <f t="shared" si="9"/>
        <v>0.84</v>
      </c>
      <c r="G85" s="138">
        <f t="shared" si="14"/>
        <v>1.2122618609407153E-2</v>
      </c>
      <c r="H85" s="138">
        <f t="shared" si="15"/>
        <v>-1.271360505177841E-3</v>
      </c>
      <c r="I85" s="126">
        <f t="shared" si="10"/>
        <v>8.3999999999999995E-3</v>
      </c>
      <c r="J85" s="139">
        <f t="shared" si="16"/>
        <v>3.7226186094071537E-3</v>
      </c>
      <c r="K85" s="139">
        <f t="shared" si="17"/>
        <v>-9.6713605051778409E-3</v>
      </c>
      <c r="M85" s="127">
        <v>948.45001200000002</v>
      </c>
      <c r="N85" s="126">
        <f t="shared" si="11"/>
        <v>939.56292264400054</v>
      </c>
      <c r="O85" s="126">
        <f t="shared" si="12"/>
        <v>8.8870893559994784</v>
      </c>
      <c r="P85" s="128">
        <f t="shared" si="13"/>
        <v>78.980357221519228</v>
      </c>
    </row>
    <row r="86" spans="1:16">
      <c r="A86" s="131" t="d">
        <v>2017-05-04</v>
      </c>
      <c r="B86" s="127">
        <v>954.71997099999999</v>
      </c>
      <c r="C86" s="127">
        <v>2389.5200199999999</v>
      </c>
      <c r="D86" s="130" t="d">
        <v>2017-05-04</v>
      </c>
      <c r="E86" s="129">
        <v>0.84</v>
      </c>
      <c r="F86" s="126">
        <f t="shared" si="9"/>
        <v>0.84</v>
      </c>
      <c r="G86" s="138">
        <f t="shared" si="14"/>
        <v>6.6107427072286985E-3</v>
      </c>
      <c r="H86" s="138">
        <f t="shared" si="15"/>
        <v>5.8210276161929663E-4</v>
      </c>
      <c r="I86" s="126">
        <f t="shared" si="10"/>
        <v>8.3999999999999995E-3</v>
      </c>
      <c r="J86" s="139">
        <f t="shared" si="16"/>
        <v>-1.789257292771301E-3</v>
      </c>
      <c r="K86" s="139">
        <f t="shared" si="17"/>
        <v>-7.8178972383807031E-3</v>
      </c>
      <c r="M86" s="127">
        <v>954.71997099999999</v>
      </c>
      <c r="N86" s="126">
        <f t="shared" si="11"/>
        <v>939.56292264400054</v>
      </c>
      <c r="O86" s="126">
        <f t="shared" si="12"/>
        <v>15.15704835599945</v>
      </c>
      <c r="P86" s="128">
        <f t="shared" si="13"/>
        <v>229.73611486610562</v>
      </c>
    </row>
    <row r="87" spans="1:16">
      <c r="A87" s="131" t="d">
        <v>2017-05-05</v>
      </c>
      <c r="B87" s="127">
        <v>950.28002900000001</v>
      </c>
      <c r="C87" s="127">
        <v>2399.290039</v>
      </c>
      <c r="D87" s="130" t="d">
        <v>2017-05-05</v>
      </c>
      <c r="E87" s="129">
        <v>0.88</v>
      </c>
      <c r="F87" s="126">
        <f t="shared" si="9"/>
        <v>0.88</v>
      </c>
      <c r="G87" s="138">
        <f t="shared" si="14"/>
        <v>-4.6505175704551942E-3</v>
      </c>
      <c r="H87" s="138">
        <f t="shared" si="15"/>
        <v>4.0886951849016303E-3</v>
      </c>
      <c r="I87" s="126">
        <f t="shared" si="10"/>
        <v>8.8000000000000005E-3</v>
      </c>
      <c r="J87" s="139">
        <f t="shared" si="16"/>
        <v>-1.3450517570455196E-2</v>
      </c>
      <c r="K87" s="139">
        <f t="shared" si="17"/>
        <v>-4.7113048150983702E-3</v>
      </c>
      <c r="M87" s="127">
        <v>950.28002900000001</v>
      </c>
      <c r="N87" s="126">
        <f t="shared" si="11"/>
        <v>939.56292264400054</v>
      </c>
      <c r="O87" s="126">
        <f t="shared" si="12"/>
        <v>10.717106355999476</v>
      </c>
      <c r="P87" s="128">
        <f t="shared" si="13"/>
        <v>114.85636864580438</v>
      </c>
    </row>
    <row r="88" spans="1:16">
      <c r="A88" s="131" t="d">
        <v>2017-05-08</v>
      </c>
      <c r="B88" s="127">
        <v>958.69000200000005</v>
      </c>
      <c r="C88" s="127">
        <v>2399.3798830000001</v>
      </c>
      <c r="D88" s="130" t="d">
        <v>2017-05-08</v>
      </c>
      <c r="E88" s="129">
        <v>0.9</v>
      </c>
      <c r="F88" s="126">
        <f t="shared" si="9"/>
        <v>0.9</v>
      </c>
      <c r="G88" s="138">
        <f t="shared" si="14"/>
        <v>8.8499944683148087E-3</v>
      </c>
      <c r="H88" s="138">
        <f t="shared" si="15"/>
        <v>3.7446077189371702E-5</v>
      </c>
      <c r="I88" s="126">
        <f t="shared" si="10"/>
        <v>9.0000000000000011E-3</v>
      </c>
      <c r="J88" s="139">
        <f t="shared" si="16"/>
        <v>-1.5000553168519233E-4</v>
      </c>
      <c r="K88" s="139">
        <f t="shared" si="17"/>
        <v>-8.9625539228106298E-3</v>
      </c>
      <c r="M88" s="127">
        <v>958.69000200000005</v>
      </c>
      <c r="N88" s="126">
        <f t="shared" si="11"/>
        <v>939.56292264400054</v>
      </c>
      <c r="O88" s="126">
        <f t="shared" si="12"/>
        <v>19.127079355999513</v>
      </c>
      <c r="P88" s="128">
        <f t="shared" si="13"/>
        <v>365.84516469070275</v>
      </c>
    </row>
    <row r="89" spans="1:16">
      <c r="A89" s="131" t="d">
        <v>2017-05-09</v>
      </c>
      <c r="B89" s="127">
        <v>956.71002199999998</v>
      </c>
      <c r="C89" s="127">
        <v>2396.919922</v>
      </c>
      <c r="D89" s="130" t="d">
        <v>2017-05-09</v>
      </c>
      <c r="E89" s="129">
        <v>0.9</v>
      </c>
      <c r="F89" s="126">
        <f t="shared" si="9"/>
        <v>0.9</v>
      </c>
      <c r="G89" s="138">
        <f t="shared" si="14"/>
        <v>-2.0652974328192364E-3</v>
      </c>
      <c r="H89" s="138">
        <f t="shared" si="15"/>
        <v>-1.0252486558836506E-3</v>
      </c>
      <c r="I89" s="126">
        <f t="shared" si="10"/>
        <v>9.0000000000000011E-3</v>
      </c>
      <c r="J89" s="139">
        <f t="shared" si="16"/>
        <v>-1.1065297432819237E-2</v>
      </c>
      <c r="K89" s="139">
        <f t="shared" si="17"/>
        <v>-1.0025248655883652E-2</v>
      </c>
      <c r="M89" s="127">
        <v>956.71002199999998</v>
      </c>
      <c r="N89" s="126">
        <f t="shared" si="11"/>
        <v>939.56292264400054</v>
      </c>
      <c r="O89" s="126">
        <f t="shared" si="12"/>
        <v>17.147099355999444</v>
      </c>
      <c r="P89" s="128">
        <f t="shared" si="13"/>
        <v>294.02301632451656</v>
      </c>
    </row>
    <row r="90" spans="1:16">
      <c r="A90" s="131" t="d">
        <v>2017-05-10</v>
      </c>
      <c r="B90" s="127">
        <v>954.84002699999996</v>
      </c>
      <c r="C90" s="127">
        <v>2399.6298830000001</v>
      </c>
      <c r="D90" s="130" t="d">
        <v>2017-05-10</v>
      </c>
      <c r="E90" s="129">
        <v>0.89</v>
      </c>
      <c r="F90" s="126">
        <f t="shared" si="9"/>
        <v>0.89</v>
      </c>
      <c r="G90" s="138">
        <f t="shared" si="14"/>
        <v>-1.9546100249799802E-3</v>
      </c>
      <c r="H90" s="138">
        <f t="shared" si="15"/>
        <v>1.1306013918641129E-3</v>
      </c>
      <c r="I90" s="126">
        <f t="shared" si="10"/>
        <v>8.8999999999999999E-3</v>
      </c>
      <c r="J90" s="139">
        <f t="shared" si="16"/>
        <v>-1.0854610024979981E-2</v>
      </c>
      <c r="K90" s="139">
        <f t="shared" si="17"/>
        <v>-7.7693986081358874E-3</v>
      </c>
      <c r="M90" s="127">
        <v>954.84002699999996</v>
      </c>
      <c r="N90" s="126">
        <f t="shared" si="11"/>
        <v>939.56292264400054</v>
      </c>
      <c r="O90" s="126">
        <f t="shared" si="12"/>
        <v>15.277104355999427</v>
      </c>
      <c r="P90" s="128">
        <f t="shared" si="13"/>
        <v>233.38991750409667</v>
      </c>
    </row>
    <row r="91" spans="1:16">
      <c r="A91" s="131" t="d">
        <v>2017-05-11</v>
      </c>
      <c r="B91" s="127">
        <v>955.89001499999995</v>
      </c>
      <c r="C91" s="127">
        <v>2394.4399410000001</v>
      </c>
      <c r="D91" s="130" t="d">
        <v>2017-05-11</v>
      </c>
      <c r="E91" s="129">
        <v>0.87</v>
      </c>
      <c r="F91" s="126">
        <f t="shared" si="9"/>
        <v>0.87</v>
      </c>
      <c r="G91" s="138">
        <f t="shared" si="14"/>
        <v>1.0996480774888848E-3</v>
      </c>
      <c r="H91" s="138">
        <f t="shared" si="15"/>
        <v>-2.1628093718817775E-3</v>
      </c>
      <c r="I91" s="126">
        <f t="shared" si="10"/>
        <v>8.6999999999999994E-3</v>
      </c>
      <c r="J91" s="139">
        <f t="shared" si="16"/>
        <v>-7.6003519225111144E-3</v>
      </c>
      <c r="K91" s="139">
        <f t="shared" si="17"/>
        <v>-1.0862809371881776E-2</v>
      </c>
      <c r="M91" s="127">
        <v>955.89001499999995</v>
      </c>
      <c r="N91" s="126">
        <f t="shared" si="11"/>
        <v>939.56292264400054</v>
      </c>
      <c r="O91" s="126">
        <f t="shared" si="12"/>
        <v>16.327092355999412</v>
      </c>
      <c r="P91" s="128">
        <f t="shared" si="13"/>
        <v>266.57394480133439</v>
      </c>
    </row>
    <row r="92" spans="1:16">
      <c r="A92" s="131" t="d">
        <v>2017-05-12</v>
      </c>
      <c r="B92" s="127">
        <v>955.14001499999995</v>
      </c>
      <c r="C92" s="127">
        <v>2390.8999020000001</v>
      </c>
      <c r="D92" s="130" t="d">
        <v>2017-05-12</v>
      </c>
      <c r="E92" s="129">
        <v>0.86</v>
      </c>
      <c r="F92" s="126">
        <f t="shared" si="9"/>
        <v>0.86</v>
      </c>
      <c r="G92" s="138">
        <f t="shared" si="14"/>
        <v>-7.846090954302939E-4</v>
      </c>
      <c r="H92" s="138">
        <f t="shared" si="15"/>
        <v>-1.4784413421209208E-3</v>
      </c>
      <c r="I92" s="126">
        <f t="shared" si="10"/>
        <v>8.6E-3</v>
      </c>
      <c r="J92" s="139">
        <f t="shared" si="16"/>
        <v>-9.3846090954302942E-3</v>
      </c>
      <c r="K92" s="139">
        <f t="shared" si="17"/>
        <v>-1.0078441342120921E-2</v>
      </c>
      <c r="M92" s="127">
        <v>955.14001499999995</v>
      </c>
      <c r="N92" s="126">
        <f t="shared" si="11"/>
        <v>939.56292264400054</v>
      </c>
      <c r="O92" s="126">
        <f t="shared" si="12"/>
        <v>15.577092355999412</v>
      </c>
      <c r="P92" s="128">
        <f t="shared" si="13"/>
        <v>242.6458062673353</v>
      </c>
    </row>
    <row r="93" spans="1:16">
      <c r="A93" s="131" t="d">
        <v>2017-05-15</v>
      </c>
      <c r="B93" s="127">
        <v>959.21997099999999</v>
      </c>
      <c r="C93" s="127">
        <v>2402.320068</v>
      </c>
      <c r="D93" s="130" t="d">
        <v>2017-05-15</v>
      </c>
      <c r="E93" s="129">
        <v>0.89</v>
      </c>
      <c r="F93" s="126">
        <f t="shared" si="9"/>
        <v>0.89</v>
      </c>
      <c r="G93" s="138">
        <f t="shared" si="14"/>
        <v>4.2715789684510692E-3</v>
      </c>
      <c r="H93" s="138">
        <f t="shared" si="15"/>
        <v>4.7765136426024587E-3</v>
      </c>
      <c r="I93" s="126">
        <f t="shared" si="10"/>
        <v>8.8999999999999999E-3</v>
      </c>
      <c r="J93" s="139">
        <f t="shared" si="16"/>
        <v>-4.6284210315489308E-3</v>
      </c>
      <c r="K93" s="139">
        <f t="shared" si="17"/>
        <v>-4.1234863573975412E-3</v>
      </c>
      <c r="M93" s="127">
        <v>959.21997099999999</v>
      </c>
      <c r="N93" s="126">
        <f t="shared" si="11"/>
        <v>939.56292264400054</v>
      </c>
      <c r="O93" s="126">
        <f t="shared" si="12"/>
        <v>19.65704835599945</v>
      </c>
      <c r="P93" s="128">
        <f t="shared" si="13"/>
        <v>386.3995500701007</v>
      </c>
    </row>
    <row r="94" spans="1:16">
      <c r="A94" s="131" t="d">
        <v>2017-05-16</v>
      </c>
      <c r="B94" s="127">
        <v>964.60998500000005</v>
      </c>
      <c r="C94" s="127">
        <v>2400.669922</v>
      </c>
      <c r="D94" s="130" t="d">
        <v>2017-05-16</v>
      </c>
      <c r="E94" s="129">
        <v>0.89</v>
      </c>
      <c r="F94" s="126">
        <f t="shared" si="9"/>
        <v>0.89</v>
      </c>
      <c r="G94" s="138">
        <f t="shared" si="14"/>
        <v>5.6191636568835206E-3</v>
      </c>
      <c r="H94" s="138">
        <f t="shared" si="15"/>
        <v>-6.8689681361807189E-4</v>
      </c>
      <c r="I94" s="126">
        <f t="shared" si="10"/>
        <v>8.8999999999999999E-3</v>
      </c>
      <c r="J94" s="139">
        <f t="shared" si="16"/>
        <v>-3.2808363431164793E-3</v>
      </c>
      <c r="K94" s="139">
        <f t="shared" si="17"/>
        <v>-9.5868968136180715E-3</v>
      </c>
      <c r="M94" s="127">
        <v>964.60998500000005</v>
      </c>
      <c r="N94" s="126">
        <f t="shared" si="11"/>
        <v>939.56292264400054</v>
      </c>
      <c r="O94" s="126">
        <f t="shared" si="12"/>
        <v>25.047062355999515</v>
      </c>
      <c r="P94" s="128">
        <f t="shared" si="13"/>
        <v>627.35533266532798</v>
      </c>
    </row>
    <row r="95" spans="1:16">
      <c r="A95" s="131" t="d">
        <v>2017-05-17</v>
      </c>
      <c r="B95" s="127">
        <v>942.169983</v>
      </c>
      <c r="C95" s="127">
        <v>2357.030029</v>
      </c>
      <c r="D95" s="130" t="d">
        <v>2017-05-17</v>
      </c>
      <c r="E95" s="129">
        <v>0.89</v>
      </c>
      <c r="F95" s="126">
        <f t="shared" si="9"/>
        <v>0.89</v>
      </c>
      <c r="G95" s="138">
        <f t="shared" si="14"/>
        <v>-2.3263290188728504E-2</v>
      </c>
      <c r="H95" s="138">
        <f t="shared" si="15"/>
        <v>-1.8178214589219161E-2</v>
      </c>
      <c r="I95" s="126">
        <f t="shared" si="10"/>
        <v>8.8999999999999999E-3</v>
      </c>
      <c r="J95" s="139">
        <f t="shared" si="16"/>
        <v>-3.2163290188728502E-2</v>
      </c>
      <c r="K95" s="139">
        <f t="shared" si="17"/>
        <v>-2.7078214589219163E-2</v>
      </c>
      <c r="M95" s="127">
        <v>942.169983</v>
      </c>
      <c r="N95" s="126">
        <f t="shared" si="11"/>
        <v>939.56292264400054</v>
      </c>
      <c r="O95" s="126">
        <f t="shared" si="12"/>
        <v>2.6070603559994652</v>
      </c>
      <c r="P95" s="128">
        <f t="shared" si="13"/>
        <v>6.7967636998240577</v>
      </c>
    </row>
    <row r="96" spans="1:16">
      <c r="A96" s="131" t="d">
        <v>2017-05-18</v>
      </c>
      <c r="B96" s="127">
        <v>950.5</v>
      </c>
      <c r="C96" s="127">
        <v>2365.719971</v>
      </c>
      <c r="D96" s="130" t="d">
        <v>2017-05-18</v>
      </c>
      <c r="E96" s="129">
        <v>0.91</v>
      </c>
      <c r="F96" s="126">
        <f t="shared" si="9"/>
        <v>0.91</v>
      </c>
      <c r="G96" s="138">
        <f t="shared" si="14"/>
        <v>8.8413101142068521E-3</v>
      </c>
      <c r="H96" s="138">
        <f t="shared" si="15"/>
        <v>3.686818535649625E-3</v>
      </c>
      <c r="I96" s="126">
        <f t="shared" si="10"/>
        <v>9.1000000000000004E-3</v>
      </c>
      <c r="J96" s="139">
        <f t="shared" si="16"/>
        <v>-2.5868988579314835E-4</v>
      </c>
      <c r="K96" s="139">
        <f t="shared" si="17"/>
        <v>-5.4131814643503754E-3</v>
      </c>
      <c r="M96" s="127">
        <v>950.5</v>
      </c>
      <c r="N96" s="126">
        <f t="shared" si="11"/>
        <v>939.56292264400054</v>
      </c>
      <c r="O96" s="126">
        <f t="shared" si="12"/>
        <v>10.937077355999463</v>
      </c>
      <c r="P96" s="128">
        <f t="shared" si="13"/>
        <v>119.61966109111621</v>
      </c>
    </row>
    <row r="97" spans="1:16">
      <c r="A97" s="131" t="d">
        <v>2017-05-19</v>
      </c>
      <c r="B97" s="127">
        <v>954.65002400000003</v>
      </c>
      <c r="C97" s="127">
        <v>2381.7299800000001</v>
      </c>
      <c r="D97" s="130" t="d">
        <v>2017-05-19</v>
      </c>
      <c r="E97" s="129">
        <v>0.9</v>
      </c>
      <c r="F97" s="126">
        <f t="shared" si="9"/>
        <v>0.9</v>
      </c>
      <c r="G97" s="138">
        <f t="shared" si="14"/>
        <v>4.3661483429774123E-3</v>
      </c>
      <c r="H97" s="138">
        <f t="shared" si="15"/>
        <v>6.7674996179841957E-3</v>
      </c>
      <c r="I97" s="126">
        <f t="shared" si="10"/>
        <v>9.0000000000000011E-3</v>
      </c>
      <c r="J97" s="139">
        <f t="shared" si="16"/>
        <v>-4.6338516570225887E-3</v>
      </c>
      <c r="K97" s="139">
        <f t="shared" si="17"/>
        <v>-2.2325003820158054E-3</v>
      </c>
      <c r="M97" s="127">
        <v>954.65002400000003</v>
      </c>
      <c r="N97" s="126">
        <f t="shared" si="11"/>
        <v>939.56292264400054</v>
      </c>
      <c r="O97" s="126">
        <f t="shared" si="12"/>
        <v>15.087101355999494</v>
      </c>
      <c r="P97" s="128">
        <f t="shared" si="13"/>
        <v>227.62062732620177</v>
      </c>
    </row>
    <row r="98" spans="1:16">
      <c r="A98" s="131" t="d">
        <v>2017-05-22</v>
      </c>
      <c r="B98" s="127">
        <v>964.07000700000003</v>
      </c>
      <c r="C98" s="127">
        <v>2394.0200199999999</v>
      </c>
      <c r="D98" s="130" t="d">
        <v>2017-05-22</v>
      </c>
      <c r="E98" s="129">
        <v>0.92</v>
      </c>
      <c r="F98" s="126">
        <f t="shared" si="9"/>
        <v>0.92</v>
      </c>
      <c r="G98" s="138">
        <f t="shared" si="14"/>
        <v>9.8674726477564114E-3</v>
      </c>
      <c r="H98" s="138">
        <f t="shared" si="15"/>
        <v>5.1601315443826519E-3</v>
      </c>
      <c r="I98" s="126">
        <f t="shared" si="10"/>
        <v>9.1999999999999998E-3</v>
      </c>
      <c r="J98" s="139">
        <f t="shared" si="16"/>
        <v>6.6747264775641156E-4</v>
      </c>
      <c r="K98" s="139">
        <f t="shared" si="17"/>
        <v>-4.0398684556173479E-3</v>
      </c>
      <c r="M98" s="127">
        <v>964.07000700000003</v>
      </c>
      <c r="N98" s="126">
        <f t="shared" si="11"/>
        <v>939.56292264400054</v>
      </c>
      <c r="O98" s="126">
        <f t="shared" si="12"/>
        <v>24.507084355999496</v>
      </c>
      <c r="P98" s="128">
        <f t="shared" si="13"/>
        <v>600.59718363207526</v>
      </c>
    </row>
    <row r="99" spans="1:16">
      <c r="A99" s="131" t="d">
        <v>2017-05-23</v>
      </c>
      <c r="B99" s="127">
        <v>970.54998799999998</v>
      </c>
      <c r="C99" s="127">
        <v>2398.419922</v>
      </c>
      <c r="D99" s="130" t="d">
        <v>2017-05-23</v>
      </c>
      <c r="E99" s="129">
        <v>0.91</v>
      </c>
      <c r="F99" s="126">
        <f t="shared" si="9"/>
        <v>0.91</v>
      </c>
      <c r="G99" s="138">
        <f t="shared" si="14"/>
        <v>6.7214838683389852E-3</v>
      </c>
      <c r="H99" s="138">
        <f t="shared" si="15"/>
        <v>1.8378718487074769E-3</v>
      </c>
      <c r="I99" s="126">
        <f t="shared" si="10"/>
        <v>9.1000000000000004E-3</v>
      </c>
      <c r="J99" s="139">
        <f t="shared" si="16"/>
        <v>-2.3785161316610152E-3</v>
      </c>
      <c r="K99" s="139">
        <f t="shared" si="17"/>
        <v>-7.2621281512925233E-3</v>
      </c>
      <c r="M99" s="127">
        <v>970.54998799999998</v>
      </c>
      <c r="N99" s="126">
        <f t="shared" si="11"/>
        <v>939.56292264400054</v>
      </c>
      <c r="O99" s="126">
        <f t="shared" si="12"/>
        <v>30.987065355999448</v>
      </c>
      <c r="P99" s="128">
        <f t="shared" si="13"/>
        <v>960.19821937698123</v>
      </c>
    </row>
    <row r="100" spans="1:16">
      <c r="A100" s="131" t="d">
        <v>2017-05-24</v>
      </c>
      <c r="B100" s="127">
        <v>977.60998500000005</v>
      </c>
      <c r="C100" s="127">
        <v>2404.389893</v>
      </c>
      <c r="D100" s="130" t="d">
        <v>2017-05-24</v>
      </c>
      <c r="E100" s="129">
        <v>0.92</v>
      </c>
      <c r="F100" s="126">
        <f t="shared" si="9"/>
        <v>0.92</v>
      </c>
      <c r="G100" s="138">
        <f t="shared" si="14"/>
        <v>7.2742229532643784E-3</v>
      </c>
      <c r="H100" s="138">
        <f t="shared" si="15"/>
        <v>2.4891266726227547E-3</v>
      </c>
      <c r="I100" s="126">
        <f t="shared" si="10"/>
        <v>9.1999999999999998E-3</v>
      </c>
      <c r="J100" s="139">
        <f t="shared" si="16"/>
        <v>-1.9257770467356215E-3</v>
      </c>
      <c r="K100" s="139">
        <f t="shared" si="17"/>
        <v>-6.7108733273772451E-3</v>
      </c>
      <c r="M100" s="127">
        <v>977.60998500000005</v>
      </c>
      <c r="N100" s="126">
        <f t="shared" si="11"/>
        <v>939.56292264400054</v>
      </c>
      <c r="O100" s="126">
        <f t="shared" si="12"/>
        <v>38.047062355999515</v>
      </c>
      <c r="P100" s="128">
        <f t="shared" si="13"/>
        <v>1447.5789539213154</v>
      </c>
    </row>
    <row r="101" spans="1:16">
      <c r="A101" s="131" t="d">
        <v>2017-05-25</v>
      </c>
      <c r="B101" s="127">
        <v>991.85998500000005</v>
      </c>
      <c r="C101" s="127">
        <v>2415.070068</v>
      </c>
      <c r="D101" s="130" t="d">
        <v>2017-05-25</v>
      </c>
      <c r="E101" s="129">
        <v>0.92</v>
      </c>
      <c r="F101" s="126">
        <f t="shared" si="9"/>
        <v>0.92</v>
      </c>
      <c r="G101" s="138">
        <f t="shared" si="14"/>
        <v>1.4576365031705358E-2</v>
      </c>
      <c r="H101" s="138">
        <f t="shared" si="15"/>
        <v>4.4419480513928295E-3</v>
      </c>
      <c r="I101" s="126">
        <f t="shared" si="10"/>
        <v>9.1999999999999998E-3</v>
      </c>
      <c r="J101" s="139">
        <f t="shared" si="16"/>
        <v>5.3763650317053581E-3</v>
      </c>
      <c r="K101" s="139">
        <f t="shared" si="17"/>
        <v>-4.7580519486071704E-3</v>
      </c>
      <c r="M101" s="127">
        <v>991.85998500000005</v>
      </c>
      <c r="N101" s="126">
        <f t="shared" si="11"/>
        <v>939.56292264400054</v>
      </c>
      <c r="O101" s="126">
        <f t="shared" si="12"/>
        <v>52.297062355999515</v>
      </c>
      <c r="P101" s="128">
        <f t="shared" si="13"/>
        <v>2734.9827310673013</v>
      </c>
    </row>
    <row r="102" spans="1:16">
      <c r="A102" s="131" t="d">
        <v>2017-05-26</v>
      </c>
      <c r="B102" s="127">
        <v>993.27002000000005</v>
      </c>
      <c r="C102" s="127">
        <v>2415.820068</v>
      </c>
      <c r="D102" s="130" t="d">
        <v>2017-05-26</v>
      </c>
      <c r="E102" s="129">
        <v>0.92</v>
      </c>
      <c r="F102" s="126">
        <f t="shared" si="9"/>
        <v>0.92</v>
      </c>
      <c r="G102" s="138">
        <f t="shared" si="14"/>
        <v>1.4216069015023259E-3</v>
      </c>
      <c r="H102" s="138">
        <f t="shared" si="15"/>
        <v>3.1054999601775528E-4</v>
      </c>
      <c r="I102" s="126">
        <f t="shared" si="10"/>
        <v>9.1999999999999998E-3</v>
      </c>
      <c r="J102" s="139">
        <f t="shared" si="16"/>
        <v>-7.7783930984976742E-3</v>
      </c>
      <c r="K102" s="139">
        <f t="shared" si="17"/>
        <v>-8.8894500039822452E-3</v>
      </c>
      <c r="M102" s="127">
        <v>993.27002000000005</v>
      </c>
      <c r="N102" s="126">
        <f t="shared" si="11"/>
        <v>939.56292264400054</v>
      </c>
      <c r="O102" s="126">
        <f t="shared" si="12"/>
        <v>53.707097355999508</v>
      </c>
      <c r="P102" s="128">
        <f t="shared" si="13"/>
        <v>2884.4523064068094</v>
      </c>
    </row>
    <row r="103" spans="1:16">
      <c r="A103" s="131" t="d">
        <v>2017-05-30</v>
      </c>
      <c r="B103" s="127">
        <v>996.169983</v>
      </c>
      <c r="C103" s="127">
        <v>2412.9099120000001</v>
      </c>
      <c r="D103" s="130" t="d">
        <v>2017-05-30</v>
      </c>
      <c r="E103" s="129">
        <v>0.92</v>
      </c>
      <c r="F103" s="126">
        <f t="shared" si="9"/>
        <v>0.92</v>
      </c>
      <c r="G103" s="138">
        <f t="shared" si="14"/>
        <v>2.919611929895918E-3</v>
      </c>
      <c r="H103" s="138">
        <f t="shared" si="15"/>
        <v>-1.2046244828196847E-3</v>
      </c>
      <c r="I103" s="126">
        <f t="shared" si="10"/>
        <v>9.1999999999999998E-3</v>
      </c>
      <c r="J103" s="139">
        <f t="shared" si="16"/>
        <v>-6.2803880701040819E-3</v>
      </c>
      <c r="K103" s="139">
        <f t="shared" si="17"/>
        <v>-1.0404624482819685E-2</v>
      </c>
      <c r="M103" s="127">
        <v>996.169983</v>
      </c>
      <c r="N103" s="126">
        <f t="shared" si="11"/>
        <v>939.56292264400054</v>
      </c>
      <c r="O103" s="126">
        <f t="shared" si="12"/>
        <v>56.607060355999465</v>
      </c>
      <c r="P103" s="128">
        <f t="shared" si="13"/>
        <v>3204.3592821477664</v>
      </c>
    </row>
    <row r="104" spans="1:16">
      <c r="A104" s="131" t="d">
        <v>2017-05-31</v>
      </c>
      <c r="B104" s="127">
        <v>987.09002699999996</v>
      </c>
      <c r="C104" s="127">
        <v>2411.8000489999999</v>
      </c>
      <c r="D104" s="130" t="d">
        <v>2017-05-31</v>
      </c>
      <c r="E104" s="129">
        <v>0.96</v>
      </c>
      <c r="F104" s="126">
        <f t="shared" si="9"/>
        <v>0.96</v>
      </c>
      <c r="G104" s="138">
        <f t="shared" si="14"/>
        <v>-9.1148660920854496E-3</v>
      </c>
      <c r="H104" s="138">
        <f t="shared" si="15"/>
        <v>-4.5996868531249669E-4</v>
      </c>
      <c r="I104" s="126">
        <f t="shared" si="10"/>
        <v>9.5999999999999992E-3</v>
      </c>
      <c r="J104" s="139">
        <f t="shared" si="16"/>
        <v>-1.8714866092085447E-2</v>
      </c>
      <c r="K104" s="139">
        <f t="shared" si="17"/>
        <v>-1.0059968685312497E-2</v>
      </c>
      <c r="M104" s="127">
        <v>987.09002699999996</v>
      </c>
      <c r="N104" s="126">
        <f t="shared" si="11"/>
        <v>939.56292264400054</v>
      </c>
      <c r="O104" s="126">
        <f t="shared" si="12"/>
        <v>47.527104355999427</v>
      </c>
      <c r="P104" s="128">
        <f t="shared" si="13"/>
        <v>2258.8256484660596</v>
      </c>
    </row>
    <row r="105" spans="1:16">
      <c r="A105" s="131" t="d">
        <v>2017-06-01</v>
      </c>
      <c r="B105" s="127">
        <v>988.28997800000002</v>
      </c>
      <c r="C105" s="127">
        <v>2430.0600589999999</v>
      </c>
      <c r="D105" s="130" t="d">
        <v>2017-06-01</v>
      </c>
      <c r="E105" s="129">
        <v>0.96</v>
      </c>
      <c r="F105" s="126">
        <f t="shared" si="9"/>
        <v>0.96</v>
      </c>
      <c r="G105" s="138">
        <f t="shared" si="14"/>
        <v>1.2156449433968961E-3</v>
      </c>
      <c r="H105" s="138">
        <f t="shared" si="15"/>
        <v>7.5711127079423849E-3</v>
      </c>
      <c r="I105" s="126">
        <f t="shared" si="10"/>
        <v>9.5999999999999992E-3</v>
      </c>
      <c r="J105" s="139">
        <f t="shared" si="16"/>
        <v>-8.3843550566031037E-3</v>
      </c>
      <c r="K105" s="139">
        <f t="shared" si="17"/>
        <v>-2.0288872920576143E-3</v>
      </c>
      <c r="M105" s="127">
        <v>988.28997800000002</v>
      </c>
      <c r="N105" s="126">
        <f t="shared" si="11"/>
        <v>939.56292264400054</v>
      </c>
      <c r="O105" s="126">
        <f t="shared" si="12"/>
        <v>48.727055355999482</v>
      </c>
      <c r="P105" s="128">
        <f t="shared" si="13"/>
        <v>2374.3259236666377</v>
      </c>
    </row>
    <row r="106" spans="1:16">
      <c r="A106" s="131" t="d">
        <v>2017-06-02</v>
      </c>
      <c r="B106" s="127">
        <v>996.11999500000002</v>
      </c>
      <c r="C106" s="127">
        <v>2439.070068</v>
      </c>
      <c r="D106" s="130" t="d">
        <v>2017-06-02</v>
      </c>
      <c r="E106" s="129">
        <v>0.96</v>
      </c>
      <c r="F106" s="126">
        <f t="shared" si="9"/>
        <v>0.96</v>
      </c>
      <c r="G106" s="138">
        <f t="shared" si="14"/>
        <v>7.9227930812832727E-3</v>
      </c>
      <c r="H106" s="138">
        <f t="shared" si="15"/>
        <v>3.7077309948083397E-3</v>
      </c>
      <c r="I106" s="126">
        <f t="shared" si="10"/>
        <v>9.5999999999999992E-3</v>
      </c>
      <c r="J106" s="139">
        <f t="shared" si="16"/>
        <v>-1.6772069187167265E-3</v>
      </c>
      <c r="K106" s="139">
        <f t="shared" si="17"/>
        <v>-5.8922690051916599E-3</v>
      </c>
      <c r="M106" s="127">
        <v>996.11999500000002</v>
      </c>
      <c r="N106" s="126">
        <f t="shared" si="11"/>
        <v>939.56292264400054</v>
      </c>
      <c r="O106" s="126">
        <f t="shared" si="12"/>
        <v>56.55707235599948</v>
      </c>
      <c r="P106" s="128">
        <f t="shared" si="13"/>
        <v>3198.7024334817606</v>
      </c>
    </row>
    <row r="107" spans="1:16">
      <c r="A107" s="131" t="d">
        <v>2017-06-05</v>
      </c>
      <c r="B107" s="127">
        <v>1003.880005</v>
      </c>
      <c r="C107" s="127">
        <v>2436.1000979999999</v>
      </c>
      <c r="D107" s="130" t="d">
        <v>2017-06-05</v>
      </c>
      <c r="E107" s="129">
        <v>0.95</v>
      </c>
      <c r="F107" s="126">
        <f t="shared" si="9"/>
        <v>0.95</v>
      </c>
      <c r="G107" s="138">
        <f t="shared" si="14"/>
        <v>7.7902361552334518E-3</v>
      </c>
      <c r="H107" s="138">
        <f t="shared" si="15"/>
        <v>-1.217664895717995E-3</v>
      </c>
      <c r="I107" s="126">
        <f t="shared" si="10"/>
        <v>9.4999999999999998E-3</v>
      </c>
      <c r="J107" s="139">
        <f t="shared" si="16"/>
        <v>-1.7097638447665479E-3</v>
      </c>
      <c r="K107" s="139">
        <f t="shared" si="17"/>
        <v>-1.0717664895717995E-2</v>
      </c>
      <c r="M107" s="127">
        <v>1003.880005</v>
      </c>
      <c r="N107" s="126">
        <f t="shared" si="11"/>
        <v>939.56292264400054</v>
      </c>
      <c r="O107" s="126">
        <f t="shared" si="12"/>
        <v>64.317082355999446</v>
      </c>
      <c r="P107" s="128">
        <f t="shared" si="13"/>
        <v>4136.687082788415</v>
      </c>
    </row>
    <row r="108" spans="1:16">
      <c r="A108" s="131" t="d">
        <v>2017-06-06</v>
      </c>
      <c r="B108" s="127">
        <v>996.67999299999997</v>
      </c>
      <c r="C108" s="127">
        <v>2429.330078</v>
      </c>
      <c r="D108" s="130" t="d">
        <v>2017-06-06</v>
      </c>
      <c r="E108" s="129">
        <v>0.96</v>
      </c>
      <c r="F108" s="126">
        <f t="shared" si="9"/>
        <v>0.96</v>
      </c>
      <c r="G108" s="138">
        <f t="shared" si="14"/>
        <v>-7.1721838906433997E-3</v>
      </c>
      <c r="H108" s="138">
        <f t="shared" si="15"/>
        <v>-2.7790401574869653E-3</v>
      </c>
      <c r="I108" s="126">
        <f t="shared" si="10"/>
        <v>9.5999999999999992E-3</v>
      </c>
      <c r="J108" s="139">
        <f t="shared" si="16"/>
        <v>-1.6772183890643399E-2</v>
      </c>
      <c r="K108" s="139">
        <f t="shared" si="17"/>
        <v>-1.2379040157486965E-2</v>
      </c>
      <c r="M108" s="127">
        <v>996.67999299999997</v>
      </c>
      <c r="N108" s="126">
        <f t="shared" si="11"/>
        <v>939.56292264400054</v>
      </c>
      <c r="O108" s="126">
        <f t="shared" si="12"/>
        <v>57.117070355999431</v>
      </c>
      <c r="P108" s="128">
        <f t="shared" si="13"/>
        <v>3262.3597260521888</v>
      </c>
    </row>
    <row r="109" spans="1:16">
      <c r="A109" s="131" t="d">
        <v>2017-06-07</v>
      </c>
      <c r="B109" s="127">
        <v>1001.5</v>
      </c>
      <c r="C109" s="127">
        <v>2433.139893</v>
      </c>
      <c r="D109" s="130" t="d">
        <v>2017-06-07</v>
      </c>
      <c r="E109" s="129">
        <v>0.98</v>
      </c>
      <c r="F109" s="126">
        <f t="shared" si="9"/>
        <v>0.98</v>
      </c>
      <c r="G109" s="138">
        <f t="shared" si="14"/>
        <v>4.8360627622230524E-3</v>
      </c>
      <c r="H109" s="138">
        <f t="shared" si="15"/>
        <v>1.5682574527445799E-3</v>
      </c>
      <c r="I109" s="126">
        <f t="shared" si="10"/>
        <v>9.7999999999999997E-3</v>
      </c>
      <c r="J109" s="139">
        <f t="shared" si="16"/>
        <v>-4.9639372377769473E-3</v>
      </c>
      <c r="K109" s="139">
        <f t="shared" si="17"/>
        <v>-8.23174254725542E-3</v>
      </c>
      <c r="M109" s="127">
        <v>1001.5</v>
      </c>
      <c r="N109" s="126">
        <f t="shared" si="11"/>
        <v>939.56292264400054</v>
      </c>
      <c r="O109" s="126">
        <f t="shared" si="12"/>
        <v>61.937077355999463</v>
      </c>
      <c r="P109" s="128">
        <f t="shared" si="13"/>
        <v>3836.2015514030613</v>
      </c>
    </row>
    <row r="110" spans="1:16">
      <c r="A110" s="131" t="d">
        <v>2017-06-08</v>
      </c>
      <c r="B110" s="127">
        <v>1004.280029</v>
      </c>
      <c r="C110" s="127">
        <v>2433.790039</v>
      </c>
      <c r="D110" s="130" t="d">
        <v>2017-06-08</v>
      </c>
      <c r="E110" s="129">
        <v>0.99</v>
      </c>
      <c r="F110" s="126">
        <f t="shared" si="9"/>
        <v>0.99</v>
      </c>
      <c r="G110" s="138">
        <f t="shared" si="14"/>
        <v>2.7758652021967179E-3</v>
      </c>
      <c r="H110" s="138">
        <f t="shared" si="15"/>
        <v>2.6720452936979968E-4</v>
      </c>
      <c r="I110" s="126">
        <f t="shared" si="10"/>
        <v>9.8999999999999991E-3</v>
      </c>
      <c r="J110" s="139">
        <f t="shared" si="16"/>
        <v>-7.1241347978032808E-3</v>
      </c>
      <c r="K110" s="139">
        <f t="shared" si="17"/>
        <v>-9.6327954706301993E-3</v>
      </c>
      <c r="M110" s="127">
        <v>1004.280029</v>
      </c>
      <c r="N110" s="126">
        <f t="shared" si="11"/>
        <v>939.56292264400054</v>
      </c>
      <c r="O110" s="126">
        <f t="shared" si="12"/>
        <v>64.717106355999476</v>
      </c>
      <c r="P110" s="128">
        <f t="shared" si="13"/>
        <v>4188.3038550937481</v>
      </c>
    </row>
    <row r="111" spans="1:16">
      <c r="A111" s="131" t="d">
        <v>2017-06-09</v>
      </c>
      <c r="B111" s="127">
        <v>970.11999500000002</v>
      </c>
      <c r="C111" s="127">
        <v>2431.7700199999999</v>
      </c>
      <c r="D111" s="130" t="d">
        <v>2017-06-09</v>
      </c>
      <c r="E111" s="129">
        <v>0.99</v>
      </c>
      <c r="F111" s="126">
        <f t="shared" si="9"/>
        <v>0.99</v>
      </c>
      <c r="G111" s="138">
        <f t="shared" si="14"/>
        <v>-3.4014451162604965E-2</v>
      </c>
      <c r="H111" s="138">
        <f t="shared" si="15"/>
        <v>-8.2998901615606764E-4</v>
      </c>
      <c r="I111" s="126">
        <f t="shared" si="10"/>
        <v>9.8999999999999991E-3</v>
      </c>
      <c r="J111" s="139">
        <f t="shared" si="16"/>
        <v>-4.3914451162604964E-2</v>
      </c>
      <c r="K111" s="139">
        <f t="shared" si="17"/>
        <v>-1.0729989016156067E-2</v>
      </c>
      <c r="M111" s="127">
        <v>970.11999500000002</v>
      </c>
      <c r="N111" s="126">
        <f t="shared" si="11"/>
        <v>939.56292264400054</v>
      </c>
      <c r="O111" s="126">
        <f t="shared" si="12"/>
        <v>30.55707235599948</v>
      </c>
      <c r="P111" s="128">
        <f t="shared" si="13"/>
        <v>933.73467096978766</v>
      </c>
    </row>
    <row r="112" spans="1:16">
      <c r="A112" s="131" t="d">
        <v>2017-06-12</v>
      </c>
      <c r="B112" s="127">
        <v>961.80999799999995</v>
      </c>
      <c r="C112" s="127">
        <v>2429.389893</v>
      </c>
      <c r="D112" s="130" t="d">
        <v>2017-06-12</v>
      </c>
      <c r="E112" s="129">
        <v>0.97</v>
      </c>
      <c r="F112" s="126">
        <f t="shared" si="9"/>
        <v>0.97</v>
      </c>
      <c r="G112" s="138">
        <f t="shared" si="14"/>
        <v>-8.5659475557970186E-3</v>
      </c>
      <c r="H112" s="138">
        <f t="shared" si="15"/>
        <v>-9.7876319735198578E-4</v>
      </c>
      <c r="I112" s="126">
        <f t="shared" si="10"/>
        <v>9.7000000000000003E-3</v>
      </c>
      <c r="J112" s="139">
        <f t="shared" si="16"/>
        <v>-1.8265947555797017E-2</v>
      </c>
      <c r="K112" s="139">
        <f t="shared" si="17"/>
        <v>-1.0678763197351986E-2</v>
      </c>
      <c r="M112" s="127">
        <v>961.80999799999995</v>
      </c>
      <c r="N112" s="126">
        <f t="shared" si="11"/>
        <v>939.56292264400054</v>
      </c>
      <c r="O112" s="126">
        <f t="shared" si="12"/>
        <v>22.247075355999414</v>
      </c>
      <c r="P112" s="128">
        <f t="shared" si="13"/>
        <v>494.93236189551646</v>
      </c>
    </row>
    <row r="113" spans="1:16">
      <c r="A113" s="131" t="d">
        <v>2017-06-13</v>
      </c>
      <c r="B113" s="127">
        <v>970.5</v>
      </c>
      <c r="C113" s="127">
        <v>2440.3500979999999</v>
      </c>
      <c r="D113" s="130" t="d">
        <v>2017-06-13</v>
      </c>
      <c r="E113" s="129">
        <v>0.99</v>
      </c>
      <c r="F113" s="126">
        <f t="shared" si="9"/>
        <v>0.99</v>
      </c>
      <c r="G113" s="138">
        <f t="shared" si="14"/>
        <v>9.0350506005033755E-3</v>
      </c>
      <c r="H113" s="138">
        <f t="shared" si="15"/>
        <v>4.5115051443905306E-3</v>
      </c>
      <c r="I113" s="126">
        <f t="shared" si="10"/>
        <v>9.8999999999999991E-3</v>
      </c>
      <c r="J113" s="139">
        <f t="shared" si="16"/>
        <v>-8.6494939949662356E-4</v>
      </c>
      <c r="K113" s="139">
        <f t="shared" si="17"/>
        <v>-5.3884948556094684E-3</v>
      </c>
      <c r="M113" s="127">
        <v>970.5</v>
      </c>
      <c r="N113" s="126">
        <f t="shared" si="11"/>
        <v>939.56292264400054</v>
      </c>
      <c r="O113" s="126">
        <f t="shared" si="12"/>
        <v>30.937077355999463</v>
      </c>
      <c r="P113" s="128">
        <f t="shared" si="13"/>
        <v>957.10275533109473</v>
      </c>
    </row>
    <row r="114" spans="1:16">
      <c r="A114" s="131" t="d">
        <v>2017-06-14</v>
      </c>
      <c r="B114" s="127">
        <v>967.92999299999997</v>
      </c>
      <c r="C114" s="127">
        <v>2437.919922</v>
      </c>
      <c r="D114" s="130" t="d">
        <v>2017-06-14</v>
      </c>
      <c r="E114" s="129">
        <v>0.99</v>
      </c>
      <c r="F114" s="126">
        <f t="shared" si="9"/>
        <v>0.99</v>
      </c>
      <c r="G114" s="138">
        <f t="shared" si="14"/>
        <v>-2.6481267387944694E-3</v>
      </c>
      <c r="H114" s="138">
        <f t="shared" si="15"/>
        <v>-9.9583088590096507E-4</v>
      </c>
      <c r="I114" s="126">
        <f t="shared" si="10"/>
        <v>9.8999999999999991E-3</v>
      </c>
      <c r="J114" s="139">
        <f t="shared" si="16"/>
        <v>-1.2548126738794468E-2</v>
      </c>
      <c r="K114" s="139">
        <f t="shared" si="17"/>
        <v>-1.0895830885900964E-2</v>
      </c>
      <c r="M114" s="127">
        <v>967.92999299999997</v>
      </c>
      <c r="N114" s="126">
        <f t="shared" si="11"/>
        <v>939.56292264400054</v>
      </c>
      <c r="O114" s="126">
        <f t="shared" si="12"/>
        <v>28.367070355999431</v>
      </c>
      <c r="P114" s="128">
        <f t="shared" si="13"/>
        <v>804.69068058222172</v>
      </c>
    </row>
    <row r="115" spans="1:16">
      <c r="A115" s="131" t="d">
        <v>2017-06-15</v>
      </c>
      <c r="B115" s="127">
        <v>960.17999299999997</v>
      </c>
      <c r="C115" s="127">
        <v>2432.459961</v>
      </c>
      <c r="D115" s="130" t="d">
        <v>2017-06-15</v>
      </c>
      <c r="E115" s="129">
        <v>1</v>
      </c>
      <c r="F115" s="126">
        <f t="shared" si="9"/>
        <v>1</v>
      </c>
      <c r="G115" s="138">
        <f t="shared" si="14"/>
        <v>-8.0067774075061656E-3</v>
      </c>
      <c r="H115" s="138">
        <f t="shared" si="15"/>
        <v>-2.2395981716744925E-3</v>
      </c>
      <c r="I115" s="126">
        <f t="shared" si="10"/>
        <v>0.01</v>
      </c>
      <c r="J115" s="139">
        <f t="shared" si="16"/>
        <v>-1.8006777407506166E-2</v>
      </c>
      <c r="K115" s="139">
        <f t="shared" si="17"/>
        <v>-1.2239598171674493E-2</v>
      </c>
      <c r="M115" s="127">
        <v>960.17999299999997</v>
      </c>
      <c r="N115" s="126">
        <f t="shared" si="11"/>
        <v>939.56292264400054</v>
      </c>
      <c r="O115" s="126">
        <f t="shared" si="12"/>
        <v>20.617070355999431</v>
      </c>
      <c r="P115" s="128">
        <f t="shared" si="13"/>
        <v>425.06359006423048</v>
      </c>
    </row>
    <row r="116" spans="1:16">
      <c r="A116" s="131" t="d">
        <v>2017-06-16</v>
      </c>
      <c r="B116" s="127">
        <v>958.61999500000002</v>
      </c>
      <c r="C116" s="127">
        <v>2433.1499020000001</v>
      </c>
      <c r="D116" s="130" t="d">
        <v>2017-06-16</v>
      </c>
      <c r="E116" s="129">
        <v>1.01</v>
      </c>
      <c r="F116" s="126">
        <f t="shared" si="9"/>
        <v>1.01</v>
      </c>
      <c r="G116" s="138">
        <f t="shared" si="14"/>
        <v>-1.6246932985198646E-3</v>
      </c>
      <c r="H116" s="138">
        <f t="shared" si="15"/>
        <v>2.8363920108121762E-4</v>
      </c>
      <c r="I116" s="126">
        <f t="shared" si="10"/>
        <v>1.01E-2</v>
      </c>
      <c r="J116" s="139">
        <f t="shared" si="16"/>
        <v>-1.1724693298519865E-2</v>
      </c>
      <c r="K116" s="139">
        <f t="shared" si="17"/>
        <v>-9.8163607989187815E-3</v>
      </c>
      <c r="M116" s="127">
        <v>958.61999500000002</v>
      </c>
      <c r="N116" s="126">
        <f t="shared" si="11"/>
        <v>939.56292264400054</v>
      </c>
      <c r="O116" s="126">
        <f t="shared" si="12"/>
        <v>19.05707235599948</v>
      </c>
      <c r="P116" s="128">
        <f t="shared" si="13"/>
        <v>363.17200678179961</v>
      </c>
    </row>
    <row r="117" spans="1:16">
      <c r="A117" s="131" t="d">
        <v>2017-06-19</v>
      </c>
      <c r="B117" s="127">
        <v>975.21997099999999</v>
      </c>
      <c r="C117" s="127">
        <v>2453.459961</v>
      </c>
      <c r="D117" s="130" t="d">
        <v>2017-06-19</v>
      </c>
      <c r="E117" s="129">
        <v>1.01</v>
      </c>
      <c r="F117" s="126">
        <f t="shared" si="9"/>
        <v>1.01</v>
      </c>
      <c r="G117" s="138">
        <f t="shared" si="14"/>
        <v>1.7316534274877053E-2</v>
      </c>
      <c r="H117" s="138">
        <f t="shared" si="15"/>
        <v>8.3472288260190847E-3</v>
      </c>
      <c r="I117" s="126">
        <f t="shared" si="10"/>
        <v>1.01E-2</v>
      </c>
      <c r="J117" s="139">
        <f t="shared" si="16"/>
        <v>7.2165342748770536E-3</v>
      </c>
      <c r="K117" s="139">
        <f t="shared" si="17"/>
        <v>-1.7527711739809149E-3</v>
      </c>
      <c r="M117" s="127">
        <v>975.21997099999999</v>
      </c>
      <c r="N117" s="126">
        <f t="shared" si="11"/>
        <v>939.56292264400054</v>
      </c>
      <c r="O117" s="126">
        <f t="shared" si="12"/>
        <v>35.65704835599945</v>
      </c>
      <c r="P117" s="128">
        <f t="shared" si="13"/>
        <v>1271.4250974620832</v>
      </c>
    </row>
    <row r="118" spans="1:16">
      <c r="A118" s="131" t="d">
        <v>2017-06-20</v>
      </c>
      <c r="B118" s="127">
        <v>968.98999000000003</v>
      </c>
      <c r="C118" s="127">
        <v>2437.030029</v>
      </c>
      <c r="D118" s="130" t="d">
        <v>2017-06-20</v>
      </c>
      <c r="E118" s="129">
        <v>1</v>
      </c>
      <c r="F118" s="126">
        <f t="shared" si="9"/>
        <v>1</v>
      </c>
      <c r="G118" s="138">
        <f t="shared" si="14"/>
        <v>-6.3882828338837948E-3</v>
      </c>
      <c r="H118" s="138">
        <f t="shared" si="15"/>
        <v>-6.6966375083224797E-3</v>
      </c>
      <c r="I118" s="126">
        <f t="shared" si="10"/>
        <v>0.01</v>
      </c>
      <c r="J118" s="139">
        <f t="shared" si="16"/>
        <v>-1.6388282833883796E-2</v>
      </c>
      <c r="K118" s="139">
        <f t="shared" si="17"/>
        <v>-1.6696637508322482E-2</v>
      </c>
      <c r="M118" s="127">
        <v>968.98999000000003</v>
      </c>
      <c r="N118" s="126">
        <f t="shared" si="11"/>
        <v>939.56292264400054</v>
      </c>
      <c r="O118" s="126">
        <f t="shared" si="12"/>
        <v>29.427067355999498</v>
      </c>
      <c r="P118" s="128">
        <f t="shared" si="13"/>
        <v>865.95229317453129</v>
      </c>
    </row>
    <row r="119" spans="1:16">
      <c r="A119" s="131" t="d">
        <v>2017-06-21</v>
      </c>
      <c r="B119" s="127">
        <v>978.59002699999996</v>
      </c>
      <c r="C119" s="127">
        <v>2435.610107</v>
      </c>
      <c r="D119" s="130" t="d">
        <v>2017-06-21</v>
      </c>
      <c r="E119" s="129">
        <v>0.97</v>
      </c>
      <c r="F119" s="126">
        <f t="shared" si="9"/>
        <v>0.97</v>
      </c>
      <c r="G119" s="138">
        <f t="shared" si="14"/>
        <v>9.9072612710890112E-3</v>
      </c>
      <c r="H119" s="138">
        <f t="shared" si="15"/>
        <v>-5.8264444143213401E-4</v>
      </c>
      <c r="I119" s="126">
        <f t="shared" si="10"/>
        <v>9.7000000000000003E-3</v>
      </c>
      <c r="J119" s="139">
        <f t="shared" si="16"/>
        <v>2.0726127108901087E-4</v>
      </c>
      <c r="K119" s="139">
        <f t="shared" si="17"/>
        <v>-1.0282644441432134E-2</v>
      </c>
      <c r="M119" s="127">
        <v>978.59002699999996</v>
      </c>
      <c r="N119" s="126">
        <f t="shared" si="11"/>
        <v>939.56292264400054</v>
      </c>
      <c r="O119" s="126">
        <f t="shared" si="12"/>
        <v>39.027104355999427</v>
      </c>
      <c r="P119" s="128">
        <f t="shared" si="13"/>
        <v>1523.1148744140694</v>
      </c>
    </row>
    <row r="120" spans="1:16">
      <c r="A120" s="131" t="d">
        <v>2017-06-22</v>
      </c>
      <c r="B120" s="127">
        <v>976.61999500000002</v>
      </c>
      <c r="C120" s="127">
        <v>2434.5</v>
      </c>
      <c r="D120" s="130" t="d">
        <v>2017-06-22</v>
      </c>
      <c r="E120" s="129">
        <v>0.94</v>
      </c>
      <c r="F120" s="126">
        <f t="shared" si="9"/>
        <v>0.94</v>
      </c>
      <c r="G120" s="138">
        <f t="shared" si="14"/>
        <v>-2.0131331258702338E-3</v>
      </c>
      <c r="H120" s="138">
        <f t="shared" si="15"/>
        <v>-4.5578189908536577E-4</v>
      </c>
      <c r="I120" s="126">
        <f t="shared" si="10"/>
        <v>9.3999999999999986E-3</v>
      </c>
      <c r="J120" s="139">
        <f t="shared" si="16"/>
        <v>-1.1413133125870233E-2</v>
      </c>
      <c r="K120" s="139">
        <f t="shared" si="17"/>
        <v>-9.8557818990853644E-3</v>
      </c>
      <c r="M120" s="127">
        <v>976.61999500000002</v>
      </c>
      <c r="N120" s="126">
        <f t="shared" si="11"/>
        <v>939.56292264400054</v>
      </c>
      <c r="O120" s="126">
        <f t="shared" si="12"/>
        <v>37.05707235599948</v>
      </c>
      <c r="P120" s="128">
        <f t="shared" si="13"/>
        <v>1373.2266115977809</v>
      </c>
    </row>
    <row r="121" spans="1:16">
      <c r="A121" s="131" t="d">
        <v>2017-06-23</v>
      </c>
      <c r="B121" s="127">
        <v>986.09002699999996</v>
      </c>
      <c r="C121" s="127">
        <v>2438.3000489999999</v>
      </c>
      <c r="D121" s="130" t="d">
        <v>2017-06-23</v>
      </c>
      <c r="E121" s="129">
        <v>0.95</v>
      </c>
      <c r="F121" s="126">
        <f t="shared" si="9"/>
        <v>0.95</v>
      </c>
      <c r="G121" s="138">
        <f t="shared" si="14"/>
        <v>9.6967418734857525E-3</v>
      </c>
      <c r="H121" s="138">
        <f t="shared" si="15"/>
        <v>1.5609155884164898E-3</v>
      </c>
      <c r="I121" s="126">
        <f t="shared" si="10"/>
        <v>9.4999999999999998E-3</v>
      </c>
      <c r="J121" s="139">
        <f t="shared" si="16"/>
        <v>1.9674187348575276E-4</v>
      </c>
      <c r="K121" s="139">
        <f t="shared" si="17"/>
        <v>-7.9390844115835094E-3</v>
      </c>
      <c r="M121" s="127">
        <v>986.09002699999996</v>
      </c>
      <c r="N121" s="126">
        <f t="shared" si="11"/>
        <v>939.56292264400054</v>
      </c>
      <c r="O121" s="126">
        <f t="shared" si="12"/>
        <v>46.527104355999427</v>
      </c>
      <c r="P121" s="128">
        <f t="shared" si="13"/>
        <v>2164.7714397540608</v>
      </c>
    </row>
    <row r="122" spans="1:16">
      <c r="A122" s="131" t="d">
        <v>2017-06-26</v>
      </c>
      <c r="B122" s="127">
        <v>972.09002699999996</v>
      </c>
      <c r="C122" s="127">
        <v>2439.070068</v>
      </c>
      <c r="D122" s="130" t="d">
        <v>2017-06-26</v>
      </c>
      <c r="E122" s="129">
        <v>0.98</v>
      </c>
      <c r="F122" s="126">
        <f t="shared" si="9"/>
        <v>0.98</v>
      </c>
      <c r="G122" s="138">
        <f t="shared" si="14"/>
        <v>-1.4197486656053566E-2</v>
      </c>
      <c r="H122" s="138">
        <f t="shared" si="15"/>
        <v>3.158015767238528E-4</v>
      </c>
      <c r="I122" s="126">
        <f t="shared" si="10"/>
        <v>9.7999999999999997E-3</v>
      </c>
      <c r="J122" s="139">
        <f t="shared" si="16"/>
        <v>-2.3997486656053564E-2</v>
      </c>
      <c r="K122" s="139">
        <f t="shared" si="17"/>
        <v>-9.484198423276146E-3</v>
      </c>
      <c r="M122" s="127">
        <v>972.09002699999996</v>
      </c>
      <c r="N122" s="126">
        <f t="shared" si="11"/>
        <v>939.56292264400054</v>
      </c>
      <c r="O122" s="126">
        <f t="shared" si="12"/>
        <v>32.527104355999427</v>
      </c>
      <c r="P122" s="128">
        <f t="shared" si="13"/>
        <v>1058.0125177860768</v>
      </c>
    </row>
    <row r="123" spans="1:16">
      <c r="A123" s="131" t="d">
        <v>2017-06-27</v>
      </c>
      <c r="B123" s="127">
        <v>948.09002699999996</v>
      </c>
      <c r="C123" s="127">
        <v>2419.3798830000001</v>
      </c>
      <c r="D123" s="130" t="d">
        <v>2017-06-27</v>
      </c>
      <c r="E123" s="129">
        <v>0.99</v>
      </c>
      <c r="F123" s="126">
        <f t="shared" si="9"/>
        <v>0.99</v>
      </c>
      <c r="G123" s="138">
        <f t="shared" si="14"/>
        <v>-2.4689071313762179E-2</v>
      </c>
      <c r="H123" s="138">
        <f t="shared" si="15"/>
        <v>-8.0728246631084181E-3</v>
      </c>
      <c r="I123" s="126">
        <f t="shared" si="10"/>
        <v>9.8999999999999991E-3</v>
      </c>
      <c r="J123" s="139">
        <f t="shared" si="16"/>
        <v>-3.4589071313762182E-2</v>
      </c>
      <c r="K123" s="139">
        <f t="shared" si="17"/>
        <v>-1.7972824663108417E-2</v>
      </c>
      <c r="M123" s="127">
        <v>948.09002699999996</v>
      </c>
      <c r="N123" s="126">
        <f t="shared" si="11"/>
        <v>939.56292264400054</v>
      </c>
      <c r="O123" s="126">
        <f t="shared" si="12"/>
        <v>8.5271043559994268</v>
      </c>
      <c r="P123" s="128">
        <f t="shared" si="13"/>
        <v>72.711508698104396</v>
      </c>
    </row>
    <row r="124" spans="1:16">
      <c r="A124" s="131" t="d">
        <v>2017-06-28</v>
      </c>
      <c r="B124" s="127">
        <v>961.01000999999997</v>
      </c>
      <c r="C124" s="127">
        <v>2440.6899410000001</v>
      </c>
      <c r="D124" s="130" t="d">
        <v>2017-06-28</v>
      </c>
      <c r="E124" s="129">
        <v>1</v>
      </c>
      <c r="F124" s="126">
        <f t="shared" si="9"/>
        <v>1</v>
      </c>
      <c r="G124" s="138">
        <f t="shared" si="14"/>
        <v>1.3627379923910962E-2</v>
      </c>
      <c r="H124" s="138">
        <f t="shared" si="15"/>
        <v>8.8080661287370157E-3</v>
      </c>
      <c r="I124" s="126">
        <f t="shared" si="10"/>
        <v>0.01</v>
      </c>
      <c r="J124" s="139">
        <f t="shared" si="16"/>
        <v>3.6273799239109616E-3</v>
      </c>
      <c r="K124" s="139">
        <f t="shared" si="17"/>
        <v>-1.1919338712629846E-3</v>
      </c>
      <c r="M124" s="127">
        <v>961.01000999999997</v>
      </c>
      <c r="N124" s="126">
        <f t="shared" si="11"/>
        <v>939.56292264400054</v>
      </c>
      <c r="O124" s="126">
        <f t="shared" si="12"/>
        <v>21.447087355999429</v>
      </c>
      <c r="P124" s="128">
        <f t="shared" si="13"/>
        <v>459.97755605587059</v>
      </c>
    </row>
    <row r="125" spans="1:16">
      <c r="A125" s="131" t="d">
        <v>2017-06-29</v>
      </c>
      <c r="B125" s="127">
        <v>937.82000700000003</v>
      </c>
      <c r="C125" s="127">
        <v>2419.6999510000001</v>
      </c>
      <c r="D125" s="130" t="d">
        <v>2017-06-29</v>
      </c>
      <c r="E125" s="129">
        <v>1.02</v>
      </c>
      <c r="F125" s="126">
        <f t="shared" si="9"/>
        <v>1.02</v>
      </c>
      <c r="G125" s="138">
        <f t="shared" si="14"/>
        <v>-2.413086519254876E-2</v>
      </c>
      <c r="H125" s="138">
        <f t="shared" si="15"/>
        <v>-8.6000231522239193E-3</v>
      </c>
      <c r="I125" s="126">
        <f t="shared" si="10"/>
        <v>1.0200000000000001E-2</v>
      </c>
      <c r="J125" s="139">
        <f t="shared" si="16"/>
        <v>-3.4330865192548757E-2</v>
      </c>
      <c r="K125" s="139">
        <f t="shared" si="17"/>
        <v>-1.880002315222392E-2</v>
      </c>
      <c r="M125" s="127">
        <v>937.82000700000003</v>
      </c>
      <c r="N125" s="126">
        <f t="shared" si="11"/>
        <v>939.56292264400054</v>
      </c>
      <c r="O125" s="126">
        <f t="shared" si="12"/>
        <v>-1.7429156440005045</v>
      </c>
      <c r="P125" s="128">
        <f t="shared" si="13"/>
        <v>3.0377549421016932</v>
      </c>
    </row>
    <row r="126" spans="1:16">
      <c r="A126" s="131" t="d">
        <v>2017-06-30</v>
      </c>
      <c r="B126" s="127">
        <v>929.67999299999997</v>
      </c>
      <c r="C126" s="127">
        <v>2423.4099120000001</v>
      </c>
      <c r="D126" s="130" t="d">
        <v>2017-06-30</v>
      </c>
      <c r="E126" s="129">
        <v>1.01</v>
      </c>
      <c r="F126" s="126">
        <f t="shared" si="9"/>
        <v>1.01</v>
      </c>
      <c r="G126" s="138">
        <f t="shared" si="14"/>
        <v>-8.6797188578213655E-3</v>
      </c>
      <c r="H126" s="138">
        <f t="shared" si="15"/>
        <v>1.5332318366443696E-3</v>
      </c>
      <c r="I126" s="126">
        <f t="shared" si="10"/>
        <v>1.01E-2</v>
      </c>
      <c r="J126" s="139">
        <f t="shared" si="16"/>
        <v>-1.8779718857821363E-2</v>
      </c>
      <c r="K126" s="139">
        <f t="shared" si="17"/>
        <v>-8.56676816335563E-3</v>
      </c>
      <c r="M126" s="127">
        <v>929.67999299999997</v>
      </c>
      <c r="N126" s="126">
        <f t="shared" si="11"/>
        <v>939.56292264400054</v>
      </c>
      <c r="O126" s="126">
        <f t="shared" si="12"/>
        <v>-9.8829296440005692</v>
      </c>
      <c r="P126" s="128">
        <f t="shared" si="13"/>
        <v>97.672298348265215</v>
      </c>
    </row>
    <row r="127" spans="1:16">
      <c r="A127" s="131" t="d">
        <v>2017-07-03</v>
      </c>
      <c r="B127" s="127">
        <v>919.46002199999998</v>
      </c>
      <c r="C127" s="127">
        <v>2429.01001</v>
      </c>
      <c r="D127" s="130" t="d">
        <v>2017-07-03</v>
      </c>
      <c r="E127" s="129">
        <v>1.04</v>
      </c>
      <c r="F127" s="126">
        <f t="shared" si="9"/>
        <v>1.04</v>
      </c>
      <c r="G127" s="138">
        <f t="shared" si="14"/>
        <v>-1.0992998748979195E-2</v>
      </c>
      <c r="H127" s="138">
        <f t="shared" si="15"/>
        <v>2.3108339915050612E-3</v>
      </c>
      <c r="I127" s="126">
        <f t="shared" si="10"/>
        <v>1.04E-2</v>
      </c>
      <c r="J127" s="139">
        <f t="shared" si="16"/>
        <v>-2.1392998748979195E-2</v>
      </c>
      <c r="K127" s="139">
        <f t="shared" si="17"/>
        <v>-8.0891660084949392E-3</v>
      </c>
      <c r="M127" s="127">
        <v>919.46002199999998</v>
      </c>
      <c r="N127" s="126">
        <f t="shared" si="11"/>
        <v>939.56292264400054</v>
      </c>
      <c r="O127" s="126">
        <f t="shared" si="12"/>
        <v>-20.102900644000556</v>
      </c>
      <c r="P127" s="128">
        <f t="shared" si="13"/>
        <v>404.12661430255798</v>
      </c>
    </row>
    <row r="128" spans="1:16">
      <c r="A128" s="131" t="d">
        <v>2017-07-05</v>
      </c>
      <c r="B128" s="127">
        <v>932.26000999999997</v>
      </c>
      <c r="C128" s="127">
        <v>2432.540039</v>
      </c>
      <c r="D128" s="130" t="d">
        <v>2017-07-05</v>
      </c>
      <c r="E128" s="129">
        <v>1.03</v>
      </c>
      <c r="F128" s="126">
        <f t="shared" si="9"/>
        <v>1.03</v>
      </c>
      <c r="G128" s="138">
        <f t="shared" si="14"/>
        <v>1.3921201241743586E-2</v>
      </c>
      <c r="H128" s="138">
        <f t="shared" si="15"/>
        <v>1.4532789018848109E-3</v>
      </c>
      <c r="I128" s="126">
        <f t="shared" si="10"/>
        <v>1.03E-2</v>
      </c>
      <c r="J128" s="139">
        <f t="shared" si="16"/>
        <v>3.6212012417435862E-3</v>
      </c>
      <c r="K128" s="139">
        <f t="shared" si="17"/>
        <v>-8.8467210981151897E-3</v>
      </c>
      <c r="M128" s="127">
        <v>932.26000999999997</v>
      </c>
      <c r="N128" s="126">
        <f t="shared" si="11"/>
        <v>939.56292264400054</v>
      </c>
      <c r="O128" s="126">
        <f t="shared" si="12"/>
        <v>-7.3029126440005712</v>
      </c>
      <c r="P128" s="128">
        <f t="shared" si="13"/>
        <v>53.332533085903414</v>
      </c>
    </row>
    <row r="129" spans="1:16">
      <c r="A129" s="131" t="d">
        <v>2017-07-06</v>
      </c>
      <c r="B129" s="127">
        <v>927.69000200000005</v>
      </c>
      <c r="C129" s="127">
        <v>2409.75</v>
      </c>
      <c r="D129" s="130" t="d">
        <v>2017-07-06</v>
      </c>
      <c r="E129" s="129">
        <v>1.02</v>
      </c>
      <c r="F129" s="126">
        <f t="shared" si="9"/>
        <v>1.02</v>
      </c>
      <c r="G129" s="138">
        <f t="shared" si="14"/>
        <v>-4.9020744759822061E-3</v>
      </c>
      <c r="H129" s="138">
        <f t="shared" si="15"/>
        <v>-9.3688237951342433E-3</v>
      </c>
      <c r="I129" s="126">
        <f t="shared" si="10"/>
        <v>1.0200000000000001E-2</v>
      </c>
      <c r="J129" s="139">
        <f t="shared" si="16"/>
        <v>-1.5102074475982207E-2</v>
      </c>
      <c r="K129" s="139">
        <f t="shared" si="17"/>
        <v>-1.9568823795134242E-2</v>
      </c>
      <c r="M129" s="127">
        <v>927.69000200000005</v>
      </c>
      <c r="N129" s="126">
        <f t="shared" si="11"/>
        <v>939.56292264400054</v>
      </c>
      <c r="O129" s="126">
        <f t="shared" si="12"/>
        <v>-11.872920644000487</v>
      </c>
      <c r="P129" s="128">
        <f t="shared" si="13"/>
        <v>140.96624461873296</v>
      </c>
    </row>
    <row r="130" spans="1:16">
      <c r="A130" s="131" t="d">
        <v>2017-07-07</v>
      </c>
      <c r="B130" s="127">
        <v>940.80999799999995</v>
      </c>
      <c r="C130" s="127">
        <v>2425.179932</v>
      </c>
      <c r="D130" s="130" t="d">
        <v>2017-07-07</v>
      </c>
      <c r="E130" s="129">
        <v>1.03</v>
      </c>
      <c r="F130" s="126">
        <f t="shared" ref="F130:F193" si="18">VLOOKUP($A$1:$A$251,$D$1:$E$251,2)</f>
        <v>1.03</v>
      </c>
      <c r="G130" s="138">
        <f t="shared" si="14"/>
        <v>1.4142651070631998E-2</v>
      </c>
      <c r="H130" s="138">
        <f t="shared" si="15"/>
        <v>6.4031256354393643E-3</v>
      </c>
      <c r="I130" s="126">
        <f t="shared" si="10"/>
        <v>1.03E-2</v>
      </c>
      <c r="J130" s="139">
        <f t="shared" si="16"/>
        <v>3.8426510706319975E-3</v>
      </c>
      <c r="K130" s="139">
        <f t="shared" si="17"/>
        <v>-3.8968743645606358E-3</v>
      </c>
      <c r="M130" s="127">
        <v>940.80999799999995</v>
      </c>
      <c r="N130" s="126">
        <f t="shared" si="11"/>
        <v>939.56292264400054</v>
      </c>
      <c r="O130" s="126">
        <f t="shared" si="12"/>
        <v>1.2470753559994137</v>
      </c>
      <c r="P130" s="128">
        <f t="shared" si="13"/>
        <v>1.5551969435410644</v>
      </c>
    </row>
    <row r="131" spans="1:16">
      <c r="A131" s="131" t="d">
        <v>2017-07-10</v>
      </c>
      <c r="B131" s="127">
        <v>951</v>
      </c>
      <c r="C131" s="127">
        <v>2427.429932</v>
      </c>
      <c r="D131" s="130" t="d">
        <v>2017-07-10</v>
      </c>
      <c r="E131" s="129">
        <v>1.03</v>
      </c>
      <c r="F131" s="126">
        <f t="shared" si="18"/>
        <v>1.03</v>
      </c>
      <c r="G131" s="138">
        <f t="shared" si="14"/>
        <v>1.0831094505439185E-2</v>
      </c>
      <c r="H131" s="138">
        <f t="shared" si="15"/>
        <v>9.2776621244118065E-4</v>
      </c>
      <c r="I131" s="126">
        <f t="shared" ref="I131:I194" si="19">E131/100</f>
        <v>1.03E-2</v>
      </c>
      <c r="J131" s="139">
        <f t="shared" si="16"/>
        <v>5.3109450543918461E-4</v>
      </c>
      <c r="K131" s="139">
        <f t="shared" si="17"/>
        <v>-9.3722337875588192E-3</v>
      </c>
      <c r="M131" s="127">
        <v>951</v>
      </c>
      <c r="N131" s="126">
        <f t="shared" ref="N131:N194" si="20">AVERAGE($M$2:$M$251)</f>
        <v>939.56292264400054</v>
      </c>
      <c r="O131" s="126">
        <f t="shared" ref="O131:O194" si="21">M131-$N131</f>
        <v>11.437077355999463</v>
      </c>
      <c r="P131" s="128">
        <f t="shared" ref="P131:P194" si="22">O131^2</f>
        <v>130.80673844711566</v>
      </c>
    </row>
    <row r="132" spans="1:16">
      <c r="A132" s="131" t="d">
        <v>2017-07-11</v>
      </c>
      <c r="B132" s="127">
        <v>953.53002900000001</v>
      </c>
      <c r="C132" s="127">
        <v>2425.530029</v>
      </c>
      <c r="D132" s="130" t="d">
        <v>2017-07-11</v>
      </c>
      <c r="E132" s="129">
        <v>1.03</v>
      </c>
      <c r="F132" s="126">
        <f t="shared" si="18"/>
        <v>1.03</v>
      </c>
      <c r="G132" s="138">
        <f t="shared" ref="G132:G195" si="23">(B132-B131)/B131</f>
        <v>2.6603880126183106E-3</v>
      </c>
      <c r="H132" s="138">
        <f t="shared" ref="H132:H195" si="24">(C132-C131)/C131</f>
        <v>-7.8268088192956942E-4</v>
      </c>
      <c r="I132" s="126">
        <f t="shared" si="19"/>
        <v>1.03E-2</v>
      </c>
      <c r="J132" s="139">
        <f t="shared" ref="J132:J195" si="25">G132-$I132</f>
        <v>-7.6396119873816896E-3</v>
      </c>
      <c r="K132" s="139">
        <f t="shared" ref="K132:K195" si="26">H132-$I132</f>
        <v>-1.108268088192957E-2</v>
      </c>
      <c r="M132" s="127">
        <v>953.53002900000001</v>
      </c>
      <c r="N132" s="126">
        <f t="shared" si="20"/>
        <v>939.56292264400054</v>
      </c>
      <c r="O132" s="126">
        <f t="shared" si="21"/>
        <v>13.967106355999476</v>
      </c>
      <c r="P132" s="128">
        <f t="shared" si="22"/>
        <v>195.08005995980096</v>
      </c>
    </row>
    <row r="133" spans="1:16">
      <c r="A133" s="131" t="d">
        <v>2017-07-12</v>
      </c>
      <c r="B133" s="127">
        <v>967.65997300000004</v>
      </c>
      <c r="C133" s="127">
        <v>2443.25</v>
      </c>
      <c r="D133" s="130" t="d">
        <v>2017-07-12</v>
      </c>
      <c r="E133" s="129">
        <v>1.03</v>
      </c>
      <c r="F133" s="126">
        <f t="shared" si="18"/>
        <v>1.03</v>
      </c>
      <c r="G133" s="138">
        <f t="shared" si="23"/>
        <v>1.4818562153536564E-2</v>
      </c>
      <c r="H133" s="138">
        <f t="shared" si="24"/>
        <v>7.3056077591855647E-3</v>
      </c>
      <c r="I133" s="126">
        <f t="shared" si="19"/>
        <v>1.03E-2</v>
      </c>
      <c r="J133" s="139">
        <f t="shared" si="25"/>
        <v>4.5185621535365639E-3</v>
      </c>
      <c r="K133" s="139">
        <f t="shared" si="26"/>
        <v>-2.9943922408144355E-3</v>
      </c>
      <c r="M133" s="127">
        <v>967.65997300000004</v>
      </c>
      <c r="N133" s="126">
        <f t="shared" si="20"/>
        <v>939.56292264400054</v>
      </c>
      <c r="O133" s="126">
        <f t="shared" si="21"/>
        <v>28.0970503559995</v>
      </c>
      <c r="P133" s="128">
        <f t="shared" si="22"/>
        <v>789.44423870757157</v>
      </c>
    </row>
    <row r="134" spans="1:16">
      <c r="A134" s="131" t="d">
        <v>2017-07-13</v>
      </c>
      <c r="B134" s="127">
        <v>968.84997599999997</v>
      </c>
      <c r="C134" s="127">
        <v>2447.830078</v>
      </c>
      <c r="D134" s="130" t="d">
        <v>2017-07-13</v>
      </c>
      <c r="E134" s="129">
        <v>1.03</v>
      </c>
      <c r="F134" s="126">
        <f t="shared" si="18"/>
        <v>1.03</v>
      </c>
      <c r="G134" s="138">
        <f t="shared" si="23"/>
        <v>1.2297739218360055E-3</v>
      </c>
      <c r="H134" s="138">
        <f t="shared" si="24"/>
        <v>1.8745842627647428E-3</v>
      </c>
      <c r="I134" s="126">
        <f t="shared" si="19"/>
        <v>1.03E-2</v>
      </c>
      <c r="J134" s="139">
        <f t="shared" si="25"/>
        <v>-9.0702260781639951E-3</v>
      </c>
      <c r="K134" s="139">
        <f t="shared" si="26"/>
        <v>-8.4254157372352576E-3</v>
      </c>
      <c r="M134" s="127">
        <v>968.84997599999997</v>
      </c>
      <c r="N134" s="126">
        <f t="shared" si="20"/>
        <v>939.56292264400054</v>
      </c>
      <c r="O134" s="126">
        <f t="shared" si="21"/>
        <v>29.287053355999433</v>
      </c>
      <c r="P134" s="128">
        <f t="shared" si="22"/>
        <v>857.73149427715759</v>
      </c>
    </row>
    <row r="135" spans="1:16">
      <c r="A135" s="131" t="d">
        <v>2017-07-14</v>
      </c>
      <c r="B135" s="127">
        <v>976.90997300000004</v>
      </c>
      <c r="C135" s="127">
        <v>2459.2700199999999</v>
      </c>
      <c r="D135" s="130" t="d">
        <v>2017-07-14</v>
      </c>
      <c r="E135" s="129">
        <v>1.02</v>
      </c>
      <c r="F135" s="126">
        <f t="shared" si="18"/>
        <v>1.02</v>
      </c>
      <c r="G135" s="138">
        <f t="shared" si="23"/>
        <v>8.3191383595596722E-3</v>
      </c>
      <c r="H135" s="138">
        <f t="shared" si="24"/>
        <v>4.6735033214997425E-3</v>
      </c>
      <c r="I135" s="126">
        <f t="shared" si="19"/>
        <v>1.0200000000000001E-2</v>
      </c>
      <c r="J135" s="139">
        <f t="shared" si="25"/>
        <v>-1.8808616404403285E-3</v>
      </c>
      <c r="K135" s="139">
        <f t="shared" si="26"/>
        <v>-5.5264966785002582E-3</v>
      </c>
      <c r="M135" s="127">
        <v>976.90997300000004</v>
      </c>
      <c r="N135" s="126">
        <f t="shared" si="20"/>
        <v>939.56292264400054</v>
      </c>
      <c r="O135" s="126">
        <f t="shared" si="21"/>
        <v>37.3470503559995</v>
      </c>
      <c r="P135" s="128">
        <f t="shared" si="22"/>
        <v>1394.8021702935623</v>
      </c>
    </row>
    <row r="136" spans="1:16">
      <c r="A136" s="131" t="d">
        <v>2017-07-17</v>
      </c>
      <c r="B136" s="127">
        <v>975.96002199999998</v>
      </c>
      <c r="C136" s="127">
        <v>2459.139893</v>
      </c>
      <c r="D136" s="130" t="d">
        <v>2017-07-17</v>
      </c>
      <c r="E136" s="129">
        <v>1.05</v>
      </c>
      <c r="F136" s="126">
        <f t="shared" si="18"/>
        <v>1.05</v>
      </c>
      <c r="G136" s="138">
        <f t="shared" si="23"/>
        <v>-9.7240383070595947E-4</v>
      </c>
      <c r="H136" s="138">
        <f t="shared" si="24"/>
        <v>-5.2912855823738372E-5</v>
      </c>
      <c r="I136" s="126">
        <f t="shared" si="19"/>
        <v>1.0500000000000001E-2</v>
      </c>
      <c r="J136" s="139">
        <f t="shared" si="25"/>
        <v>-1.147240383070596E-2</v>
      </c>
      <c r="K136" s="139">
        <f t="shared" si="26"/>
        <v>-1.0552912855823739E-2</v>
      </c>
      <c r="M136" s="127">
        <v>975.96002199999998</v>
      </c>
      <c r="N136" s="126">
        <f t="shared" si="20"/>
        <v>939.56292264400054</v>
      </c>
      <c r="O136" s="126">
        <f t="shared" si="21"/>
        <v>36.397099355999444</v>
      </c>
      <c r="P136" s="128">
        <f t="shared" si="22"/>
        <v>1324.7488415304952</v>
      </c>
    </row>
    <row r="137" spans="1:16">
      <c r="A137" s="131" t="d">
        <v>2017-07-18</v>
      </c>
      <c r="B137" s="127">
        <v>986.95001200000002</v>
      </c>
      <c r="C137" s="127">
        <v>2460.610107</v>
      </c>
      <c r="D137" s="130" t="d">
        <v>2017-07-18</v>
      </c>
      <c r="E137" s="129">
        <v>1.05</v>
      </c>
      <c r="F137" s="126">
        <f t="shared" si="18"/>
        <v>1.05</v>
      </c>
      <c r="G137" s="138">
        <f t="shared" si="23"/>
        <v>1.1260696905882108E-2</v>
      </c>
      <c r="H137" s="138">
        <f t="shared" si="24"/>
        <v>5.9785700040284034E-4</v>
      </c>
      <c r="I137" s="126">
        <f t="shared" si="19"/>
        <v>1.0500000000000001E-2</v>
      </c>
      <c r="J137" s="139">
        <f t="shared" si="25"/>
        <v>7.6069690588210712E-4</v>
      </c>
      <c r="K137" s="139">
        <f t="shared" si="26"/>
        <v>-9.9021429995971612E-3</v>
      </c>
      <c r="M137" s="127">
        <v>986.95001200000002</v>
      </c>
      <c r="N137" s="126">
        <f t="shared" si="20"/>
        <v>939.56292264400054</v>
      </c>
      <c r="O137" s="126">
        <f t="shared" si="21"/>
        <v>47.387089355999478</v>
      </c>
      <c r="P137" s="128">
        <f t="shared" si="22"/>
        <v>2245.5362376334792</v>
      </c>
    </row>
    <row r="138" spans="1:16">
      <c r="A138" s="131" t="d">
        <v>2017-07-19</v>
      </c>
      <c r="B138" s="127">
        <v>992.77002000000005</v>
      </c>
      <c r="C138" s="127">
        <v>2473.830078</v>
      </c>
      <c r="D138" s="130" t="d">
        <v>2017-07-19</v>
      </c>
      <c r="E138" s="129">
        <v>1.0900000000000001</v>
      </c>
      <c r="F138" s="126">
        <f t="shared" si="18"/>
        <v>1.0900000000000001</v>
      </c>
      <c r="G138" s="138">
        <f t="shared" si="23"/>
        <v>5.8969633003054566E-3</v>
      </c>
      <c r="H138" s="138">
        <f t="shared" si="24"/>
        <v>5.3726394776610524E-3</v>
      </c>
      <c r="I138" s="126">
        <f t="shared" si="19"/>
        <v>1.09E-2</v>
      </c>
      <c r="J138" s="139">
        <f t="shared" si="25"/>
        <v>-5.0030366996945434E-3</v>
      </c>
      <c r="K138" s="139">
        <f t="shared" si="26"/>
        <v>-5.5273605223389475E-3</v>
      </c>
      <c r="M138" s="127">
        <v>992.77002000000005</v>
      </c>
      <c r="N138" s="126">
        <f t="shared" si="20"/>
        <v>939.56292264400054</v>
      </c>
      <c r="O138" s="126">
        <f t="shared" si="21"/>
        <v>53.207097355999508</v>
      </c>
      <c r="P138" s="128">
        <f t="shared" si="22"/>
        <v>2830.99520905081</v>
      </c>
    </row>
    <row r="139" spans="1:16">
      <c r="A139" s="131" t="d">
        <v>2017-07-20</v>
      </c>
      <c r="B139" s="127">
        <v>992.19000200000005</v>
      </c>
      <c r="C139" s="127">
        <v>2473.4499510000001</v>
      </c>
      <c r="D139" s="130" t="d">
        <v>2017-07-20</v>
      </c>
      <c r="E139" s="129">
        <v>1.1299999999999999</v>
      </c>
      <c r="F139" s="126">
        <f t="shared" si="18"/>
        <v>1.1299999999999999</v>
      </c>
      <c r="G139" s="138">
        <f t="shared" si="23"/>
        <v>-5.8424205839736724E-4</v>
      </c>
      <c r="H139" s="138">
        <f t="shared" si="24"/>
        <v>-1.5365930076621139E-4</v>
      </c>
      <c r="I139" s="126">
        <f t="shared" si="19"/>
        <v>1.1299999999999999E-2</v>
      </c>
      <c r="J139" s="139">
        <f t="shared" si="25"/>
        <v>-1.1884242058397367E-2</v>
      </c>
      <c r="K139" s="139">
        <f t="shared" si="26"/>
        <v>-1.145365930076621E-2</v>
      </c>
      <c r="M139" s="127">
        <v>992.19000200000005</v>
      </c>
      <c r="N139" s="126">
        <f t="shared" si="20"/>
        <v>939.56292264400054</v>
      </c>
      <c r="O139" s="126">
        <f t="shared" si="21"/>
        <v>52.627079355999513</v>
      </c>
      <c r="P139" s="128">
        <f t="shared" si="22"/>
        <v>2769.60948154267</v>
      </c>
    </row>
    <row r="140" spans="1:16">
      <c r="A140" s="131" t="d">
        <v>2017-07-21</v>
      </c>
      <c r="B140" s="127">
        <v>993.84002699999996</v>
      </c>
      <c r="C140" s="127">
        <v>2472.540039</v>
      </c>
      <c r="D140" s="130" t="d">
        <v>2017-07-21</v>
      </c>
      <c r="E140" s="129">
        <v>1.1399999999999999</v>
      </c>
      <c r="F140" s="126">
        <f t="shared" si="18"/>
        <v>1.1399999999999999</v>
      </c>
      <c r="G140" s="138">
        <f t="shared" si="23"/>
        <v>1.6630131292130416E-3</v>
      </c>
      <c r="H140" s="138">
        <f t="shared" si="24"/>
        <v>-3.6787160364098131E-4</v>
      </c>
      <c r="I140" s="126">
        <f t="shared" si="19"/>
        <v>1.1399999999999999E-2</v>
      </c>
      <c r="J140" s="139">
        <f t="shared" si="25"/>
        <v>-9.7369868707869577E-3</v>
      </c>
      <c r="K140" s="139">
        <f t="shared" si="26"/>
        <v>-1.176787160364098E-2</v>
      </c>
      <c r="M140" s="127">
        <v>993.84002699999996</v>
      </c>
      <c r="N140" s="126">
        <f t="shared" si="20"/>
        <v>939.56292264400054</v>
      </c>
      <c r="O140" s="126">
        <f t="shared" si="21"/>
        <v>54.277104355999427</v>
      </c>
      <c r="P140" s="128">
        <f t="shared" si="22"/>
        <v>2946.0040572720518</v>
      </c>
    </row>
    <row r="141" spans="1:16">
      <c r="A141" s="131" t="d">
        <v>2017-07-24</v>
      </c>
      <c r="B141" s="127">
        <v>998.30999799999995</v>
      </c>
      <c r="C141" s="127">
        <v>2469.9099120000001</v>
      </c>
      <c r="D141" s="130" t="d">
        <v>2017-07-24</v>
      </c>
      <c r="E141" s="129">
        <v>1.1499999999999999</v>
      </c>
      <c r="F141" s="126">
        <f t="shared" si="18"/>
        <v>1.1499999999999999</v>
      </c>
      <c r="G141" s="138">
        <f t="shared" si="23"/>
        <v>4.4976765662105766E-3</v>
      </c>
      <c r="H141" s="138">
        <f t="shared" si="24"/>
        <v>-1.0637348469647581E-3</v>
      </c>
      <c r="I141" s="126">
        <f t="shared" si="19"/>
        <v>1.15E-2</v>
      </c>
      <c r="J141" s="139">
        <f t="shared" si="25"/>
        <v>-7.0023234337894232E-3</v>
      </c>
      <c r="K141" s="139">
        <f t="shared" si="26"/>
        <v>-1.2563734846964759E-2</v>
      </c>
      <c r="M141" s="127">
        <v>998.30999799999995</v>
      </c>
      <c r="N141" s="126">
        <f t="shared" si="20"/>
        <v>939.56292264400054</v>
      </c>
      <c r="O141" s="126">
        <f t="shared" si="21"/>
        <v>58.747075355999414</v>
      </c>
      <c r="P141" s="128">
        <f t="shared" si="22"/>
        <v>3451.2188628834738</v>
      </c>
    </row>
    <row r="142" spans="1:16">
      <c r="A142" s="131" t="d">
        <v>2017-07-25</v>
      </c>
      <c r="B142" s="127">
        <v>969.03002900000001</v>
      </c>
      <c r="C142" s="127">
        <v>2477.1298830000001</v>
      </c>
      <c r="D142" s="130" t="d">
        <v>2017-07-25</v>
      </c>
      <c r="E142" s="129">
        <v>1.1599999999999999</v>
      </c>
      <c r="F142" s="126">
        <f t="shared" si="18"/>
        <v>1.1599999999999999</v>
      </c>
      <c r="G142" s="138">
        <f t="shared" si="23"/>
        <v>-2.9329535974455843E-2</v>
      </c>
      <c r="H142" s="138">
        <f t="shared" si="24"/>
        <v>2.9231717986643664E-3</v>
      </c>
      <c r="I142" s="126">
        <f t="shared" si="19"/>
        <v>1.1599999999999999E-2</v>
      </c>
      <c r="J142" s="139">
        <f t="shared" si="25"/>
        <v>-4.0929535974455838E-2</v>
      </c>
      <c r="K142" s="139">
        <f t="shared" si="26"/>
        <v>-8.6768282013356332E-3</v>
      </c>
      <c r="M142" s="127">
        <v>969.03002900000001</v>
      </c>
      <c r="N142" s="126">
        <f t="shared" si="20"/>
        <v>939.56292264400054</v>
      </c>
      <c r="O142" s="126">
        <f t="shared" si="21"/>
        <v>29.467106355999476</v>
      </c>
      <c r="P142" s="128">
        <f t="shared" si="22"/>
        <v>868.31035699578479</v>
      </c>
    </row>
    <row r="143" spans="1:16">
      <c r="A143" s="131" t="d">
        <v>2017-07-26</v>
      </c>
      <c r="B143" s="127">
        <v>965.30999799999995</v>
      </c>
      <c r="C143" s="127">
        <v>2477.830078</v>
      </c>
      <c r="D143" s="130" t="d">
        <v>2017-07-26</v>
      </c>
      <c r="E143" s="129">
        <v>1.1100000000000001</v>
      </c>
      <c r="F143" s="126">
        <f t="shared" si="18"/>
        <v>1.1100000000000001</v>
      </c>
      <c r="G143" s="138">
        <f t="shared" si="23"/>
        <v>-3.8389223126954952E-3</v>
      </c>
      <c r="H143" s="138">
        <f t="shared" si="24"/>
        <v>2.826638218711014E-4</v>
      </c>
      <c r="I143" s="126">
        <f t="shared" si="19"/>
        <v>1.11E-2</v>
      </c>
      <c r="J143" s="139">
        <f t="shared" si="25"/>
        <v>-1.4938922312695495E-2</v>
      </c>
      <c r="K143" s="139">
        <f t="shared" si="26"/>
        <v>-1.0817336178128899E-2</v>
      </c>
      <c r="M143" s="127">
        <v>965.30999799999995</v>
      </c>
      <c r="N143" s="126">
        <f t="shared" si="20"/>
        <v>939.56292264400054</v>
      </c>
      <c r="O143" s="126">
        <f t="shared" si="21"/>
        <v>25.747075355999414</v>
      </c>
      <c r="P143" s="128">
        <f t="shared" si="22"/>
        <v>662.91188938751236</v>
      </c>
    </row>
    <row r="144" spans="1:16">
      <c r="A144" s="131" t="d">
        <v>2017-07-27</v>
      </c>
      <c r="B144" s="127">
        <v>952.51000999999997</v>
      </c>
      <c r="C144" s="127">
        <v>2475.419922</v>
      </c>
      <c r="D144" s="130" t="d">
        <v>2017-07-27</v>
      </c>
      <c r="E144" s="129">
        <v>1.0900000000000001</v>
      </c>
      <c r="F144" s="126">
        <f t="shared" si="18"/>
        <v>1.0900000000000001</v>
      </c>
      <c r="G144" s="138">
        <f t="shared" si="23"/>
        <v>-1.3259976615304864E-2</v>
      </c>
      <c r="H144" s="138">
        <f t="shared" si="24"/>
        <v>-9.7268816832883544E-4</v>
      </c>
      <c r="I144" s="126">
        <f t="shared" si="19"/>
        <v>1.09E-2</v>
      </c>
      <c r="J144" s="139">
        <f t="shared" si="25"/>
        <v>-2.4159976615304862E-2</v>
      </c>
      <c r="K144" s="139">
        <f t="shared" si="26"/>
        <v>-1.1872688168328836E-2</v>
      </c>
      <c r="M144" s="127">
        <v>952.51000999999997</v>
      </c>
      <c r="N144" s="126">
        <f t="shared" si="20"/>
        <v>939.56292264400054</v>
      </c>
      <c r="O144" s="126">
        <f t="shared" si="21"/>
        <v>12.947087355999429</v>
      </c>
      <c r="P144" s="128">
        <f t="shared" si="22"/>
        <v>167.62707100388027</v>
      </c>
    </row>
    <row r="145" spans="1:16">
      <c r="A145" s="131" t="d">
        <v>2017-07-28</v>
      </c>
      <c r="B145" s="127">
        <v>958.330017</v>
      </c>
      <c r="C145" s="127">
        <v>2472.1000979999999</v>
      </c>
      <c r="D145" s="130" t="d">
        <v>2017-07-28</v>
      </c>
      <c r="E145" s="129">
        <v>1.06</v>
      </c>
      <c r="F145" s="126">
        <f t="shared" si="18"/>
        <v>1.06</v>
      </c>
      <c r="G145" s="138">
        <f t="shared" si="23"/>
        <v>6.1101793565403401E-3</v>
      </c>
      <c r="H145" s="138">
        <f t="shared" si="24"/>
        <v>-1.3411154893339964E-3</v>
      </c>
      <c r="I145" s="126">
        <f t="shared" si="19"/>
        <v>1.06E-2</v>
      </c>
      <c r="J145" s="139">
        <f t="shared" si="25"/>
        <v>-4.48982064345966E-3</v>
      </c>
      <c r="K145" s="139">
        <f t="shared" si="26"/>
        <v>-1.1941115489333996E-2</v>
      </c>
      <c r="M145" s="127">
        <v>958.330017</v>
      </c>
      <c r="N145" s="126">
        <f t="shared" si="20"/>
        <v>939.56292264400054</v>
      </c>
      <c r="O145" s="126">
        <f t="shared" si="21"/>
        <v>18.767094355999461</v>
      </c>
      <c r="P145" s="128">
        <f t="shared" si="22"/>
        <v>352.20383056698682</v>
      </c>
    </row>
    <row r="146" spans="1:16">
      <c r="A146" s="131" t="d">
        <v>2017-07-31</v>
      </c>
      <c r="B146" s="127">
        <v>945.5</v>
      </c>
      <c r="C146" s="127">
        <v>2470.3000489999999</v>
      </c>
      <c r="D146" s="130" t="d">
        <v>2017-07-31</v>
      </c>
      <c r="E146" s="129">
        <v>1.05</v>
      </c>
      <c r="F146" s="126">
        <f t="shared" si="18"/>
        <v>1.05</v>
      </c>
      <c r="G146" s="138">
        <f t="shared" si="23"/>
        <v>-1.3387890155171878E-2</v>
      </c>
      <c r="H146" s="138">
        <f t="shared" si="24"/>
        <v>-7.2814567721437976E-4</v>
      </c>
      <c r="I146" s="126">
        <f t="shared" si="19"/>
        <v>1.0500000000000001E-2</v>
      </c>
      <c r="J146" s="139">
        <f t="shared" si="25"/>
        <v>-2.3887890155171877E-2</v>
      </c>
      <c r="K146" s="139">
        <f t="shared" si="26"/>
        <v>-1.122814567721438E-2</v>
      </c>
      <c r="M146" s="127">
        <v>945.5</v>
      </c>
      <c r="N146" s="126">
        <f t="shared" si="20"/>
        <v>939.56292264400054</v>
      </c>
      <c r="O146" s="126">
        <f t="shared" si="21"/>
        <v>5.9370773559994632</v>
      </c>
      <c r="P146" s="128">
        <f t="shared" si="22"/>
        <v>35.248887531121575</v>
      </c>
    </row>
    <row r="147" spans="1:16">
      <c r="A147" s="131" t="d">
        <v>2017-08-01</v>
      </c>
      <c r="B147" s="127">
        <v>946.55999799999995</v>
      </c>
      <c r="C147" s="127">
        <v>2476.3500979999999</v>
      </c>
      <c r="D147" s="130" t="d">
        <v>2017-08-01</v>
      </c>
      <c r="E147" s="129">
        <v>1.06</v>
      </c>
      <c r="F147" s="126">
        <f t="shared" si="18"/>
        <v>1.06</v>
      </c>
      <c r="G147" s="138">
        <f t="shared" si="23"/>
        <v>1.1210978318349555E-3</v>
      </c>
      <c r="H147" s="138">
        <f t="shared" si="24"/>
        <v>2.4491150386565632E-3</v>
      </c>
      <c r="I147" s="126">
        <f t="shared" si="19"/>
        <v>1.06E-2</v>
      </c>
      <c r="J147" s="139">
        <f t="shared" si="25"/>
        <v>-9.4789021681650452E-3</v>
      </c>
      <c r="K147" s="139">
        <f t="shared" si="26"/>
        <v>-8.150884961343436E-3</v>
      </c>
      <c r="M147" s="127">
        <v>946.55999799999995</v>
      </c>
      <c r="N147" s="126">
        <f t="shared" si="20"/>
        <v>939.56292264400054</v>
      </c>
      <c r="O147" s="126">
        <f t="shared" si="21"/>
        <v>6.9970753559994137</v>
      </c>
      <c r="P147" s="128">
        <f t="shared" si="22"/>
        <v>48.95906353753432</v>
      </c>
    </row>
    <row r="148" spans="1:16">
      <c r="A148" s="131" t="d">
        <v>2017-08-02</v>
      </c>
      <c r="B148" s="127">
        <v>947.64001499999995</v>
      </c>
      <c r="C148" s="127">
        <v>2477.570068</v>
      </c>
      <c r="D148" s="130" t="d">
        <v>2017-08-02</v>
      </c>
      <c r="E148" s="129">
        <v>1.06</v>
      </c>
      <c r="F148" s="126">
        <f t="shared" si="18"/>
        <v>1.06</v>
      </c>
      <c r="G148" s="138">
        <f t="shared" si="23"/>
        <v>1.1409915930125731E-3</v>
      </c>
      <c r="H148" s="138">
        <f t="shared" si="24"/>
        <v>4.9264843488220831E-4</v>
      </c>
      <c r="I148" s="126">
        <f t="shared" si="19"/>
        <v>1.06E-2</v>
      </c>
      <c r="J148" s="139">
        <f t="shared" si="25"/>
        <v>-9.4590084069874278E-3</v>
      </c>
      <c r="K148" s="139">
        <f t="shared" si="26"/>
        <v>-1.0107351565117792E-2</v>
      </c>
      <c r="M148" s="127">
        <v>947.64001499999995</v>
      </c>
      <c r="N148" s="126">
        <f t="shared" si="20"/>
        <v>939.56292264400054</v>
      </c>
      <c r="O148" s="126">
        <f t="shared" si="21"/>
        <v>8.0770923559994117</v>
      </c>
      <c r="P148" s="128">
        <f t="shared" si="22"/>
        <v>65.239420927344128</v>
      </c>
    </row>
    <row r="149" spans="1:16">
      <c r="A149" s="131" t="d">
        <v>2017-08-03</v>
      </c>
      <c r="B149" s="127">
        <v>940.29998799999998</v>
      </c>
      <c r="C149" s="127">
        <v>2472.1599120000001</v>
      </c>
      <c r="D149" s="130" t="d">
        <v>2017-08-03</v>
      </c>
      <c r="E149" s="129">
        <v>1.06</v>
      </c>
      <c r="F149" s="126">
        <f t="shared" si="18"/>
        <v>1.06</v>
      </c>
      <c r="G149" s="138">
        <f t="shared" si="23"/>
        <v>-7.74558575388985E-3</v>
      </c>
      <c r="H149" s="138">
        <f t="shared" si="24"/>
        <v>-2.1836540850556948E-3</v>
      </c>
      <c r="I149" s="126">
        <f t="shared" si="19"/>
        <v>1.06E-2</v>
      </c>
      <c r="J149" s="139">
        <f t="shared" si="25"/>
        <v>-1.8345585753889851E-2</v>
      </c>
      <c r="K149" s="139">
        <f t="shared" si="26"/>
        <v>-1.2783654085055695E-2</v>
      </c>
      <c r="M149" s="127">
        <v>940.29998799999998</v>
      </c>
      <c r="N149" s="126">
        <f t="shared" si="20"/>
        <v>939.56292264400054</v>
      </c>
      <c r="O149" s="126">
        <f t="shared" si="21"/>
        <v>0.737065355999448</v>
      </c>
      <c r="P149" s="128">
        <f t="shared" si="22"/>
        <v>0.54326533901459306</v>
      </c>
    </row>
    <row r="150" spans="1:16">
      <c r="A150" s="131" t="d">
        <v>2017-08-04</v>
      </c>
      <c r="B150" s="127">
        <v>945.78997800000002</v>
      </c>
      <c r="C150" s="127">
        <v>2476.830078</v>
      </c>
      <c r="D150" s="130" t="d">
        <v>2017-08-04</v>
      </c>
      <c r="E150" s="129">
        <v>1.06</v>
      </c>
      <c r="F150" s="126">
        <f t="shared" si="18"/>
        <v>1.06</v>
      </c>
      <c r="G150" s="138">
        <f t="shared" si="23"/>
        <v>5.8385516006196469E-3</v>
      </c>
      <c r="H150" s="138">
        <f t="shared" si="24"/>
        <v>1.889103523332224E-3</v>
      </c>
      <c r="I150" s="126">
        <f t="shared" si="19"/>
        <v>1.06E-2</v>
      </c>
      <c r="J150" s="139">
        <f t="shared" si="25"/>
        <v>-4.7614483993803532E-3</v>
      </c>
      <c r="K150" s="139">
        <f t="shared" si="26"/>
        <v>-8.7108964766677757E-3</v>
      </c>
      <c r="M150" s="127">
        <v>945.78997800000002</v>
      </c>
      <c r="N150" s="126">
        <f t="shared" si="20"/>
        <v>939.56292264400054</v>
      </c>
      <c r="O150" s="126">
        <f t="shared" si="21"/>
        <v>6.2270553559994823</v>
      </c>
      <c r="P150" s="128">
        <f t="shared" si="22"/>
        <v>38.776218406681842</v>
      </c>
    </row>
    <row r="151" spans="1:16">
      <c r="A151" s="131" t="d">
        <v>2017-08-07</v>
      </c>
      <c r="B151" s="127">
        <v>945.75</v>
      </c>
      <c r="C151" s="127">
        <v>2480.9099120000001</v>
      </c>
      <c r="D151" s="130" t="d">
        <v>2017-08-07</v>
      </c>
      <c r="E151" s="129">
        <v>1.01</v>
      </c>
      <c r="F151" s="126">
        <f t="shared" si="18"/>
        <v>1.01</v>
      </c>
      <c r="G151" s="138">
        <f t="shared" si="23"/>
        <v>-4.2269426542833556E-5</v>
      </c>
      <c r="H151" s="138">
        <f t="shared" si="24"/>
        <v>1.6471997963197051E-3</v>
      </c>
      <c r="I151" s="126">
        <f t="shared" si="19"/>
        <v>1.01E-2</v>
      </c>
      <c r="J151" s="139">
        <f t="shared" si="25"/>
        <v>-1.0142269426542833E-2</v>
      </c>
      <c r="K151" s="139">
        <f t="shared" si="26"/>
        <v>-8.4528002036802947E-3</v>
      </c>
      <c r="M151" s="127">
        <v>945.75</v>
      </c>
      <c r="N151" s="126">
        <f t="shared" si="20"/>
        <v>939.56292264400054</v>
      </c>
      <c r="O151" s="126">
        <f t="shared" si="21"/>
        <v>6.1870773559994632</v>
      </c>
      <c r="P151" s="128">
        <f t="shared" si="22"/>
        <v>38.279926209121307</v>
      </c>
    </row>
    <row r="152" spans="1:16">
      <c r="A152" s="131" t="d">
        <v>2017-08-08</v>
      </c>
      <c r="B152" s="127">
        <v>944.19000200000005</v>
      </c>
      <c r="C152" s="127">
        <v>2474.919922</v>
      </c>
      <c r="D152" s="130" t="d">
        <v>2017-08-08</v>
      </c>
      <c r="E152" s="129">
        <v>1.04</v>
      </c>
      <c r="F152" s="126">
        <f t="shared" si="18"/>
        <v>1.04</v>
      </c>
      <c r="G152" s="138">
        <f t="shared" si="23"/>
        <v>-1.6494824213586577E-3</v>
      </c>
      <c r="H152" s="138">
        <f t="shared" si="24"/>
        <v>-2.4144326930320369E-3</v>
      </c>
      <c r="I152" s="126">
        <f t="shared" si="19"/>
        <v>1.04E-2</v>
      </c>
      <c r="J152" s="139">
        <f t="shared" si="25"/>
        <v>-1.2049482421358657E-2</v>
      </c>
      <c r="K152" s="139">
        <f t="shared" si="26"/>
        <v>-1.2814432693032037E-2</v>
      </c>
      <c r="M152" s="127">
        <v>944.19000200000005</v>
      </c>
      <c r="N152" s="126">
        <f t="shared" si="20"/>
        <v>939.56292264400054</v>
      </c>
      <c r="O152" s="126">
        <f t="shared" si="21"/>
        <v>4.6270793559995127</v>
      </c>
      <c r="P152" s="128">
        <f t="shared" si="22"/>
        <v>21.409863366716866</v>
      </c>
    </row>
    <row r="153" spans="1:16">
      <c r="A153" s="131" t="d">
        <v>2017-08-09</v>
      </c>
      <c r="B153" s="127">
        <v>940.080017</v>
      </c>
      <c r="C153" s="127">
        <v>2474.0200199999999</v>
      </c>
      <c r="D153" s="130" t="d">
        <v>2017-08-09</v>
      </c>
      <c r="E153" s="129">
        <v>1.04</v>
      </c>
      <c r="F153" s="126">
        <f t="shared" si="18"/>
        <v>1.04</v>
      </c>
      <c r="G153" s="138">
        <f t="shared" si="23"/>
        <v>-4.3529215425859285E-3</v>
      </c>
      <c r="H153" s="138">
        <f t="shared" si="24"/>
        <v>-3.6360853213904953E-4</v>
      </c>
      <c r="I153" s="126">
        <f t="shared" si="19"/>
        <v>1.04E-2</v>
      </c>
      <c r="J153" s="139">
        <f t="shared" si="25"/>
        <v>-1.4752921542585928E-2</v>
      </c>
      <c r="K153" s="139">
        <f t="shared" si="26"/>
        <v>-1.0763608532139049E-2</v>
      </c>
      <c r="M153" s="127">
        <v>940.080017</v>
      </c>
      <c r="N153" s="126">
        <f t="shared" si="20"/>
        <v>939.56292264400054</v>
      </c>
      <c r="O153" s="126">
        <f t="shared" si="21"/>
        <v>0.51709435599946119</v>
      </c>
      <c r="P153" s="128">
        <f t="shared" si="22"/>
        <v>0.26738657300649749</v>
      </c>
    </row>
    <row r="154" spans="1:16">
      <c r="A154" s="131" t="d">
        <v>2017-08-10</v>
      </c>
      <c r="B154" s="127">
        <v>923.59002699999996</v>
      </c>
      <c r="C154" s="127">
        <v>2438.209961</v>
      </c>
      <c r="D154" s="130" t="d">
        <v>2017-08-10</v>
      </c>
      <c r="E154" s="129">
        <v>1.03</v>
      </c>
      <c r="F154" s="126">
        <f t="shared" si="18"/>
        <v>1.03</v>
      </c>
      <c r="G154" s="138">
        <f t="shared" si="23"/>
        <v>-1.7541049380693341E-2</v>
      </c>
      <c r="H154" s="138">
        <f t="shared" si="24"/>
        <v>-1.4474441884265719E-2</v>
      </c>
      <c r="I154" s="126">
        <f t="shared" si="19"/>
        <v>1.03E-2</v>
      </c>
      <c r="J154" s="139">
        <f t="shared" si="25"/>
        <v>-2.7841049380693341E-2</v>
      </c>
      <c r="K154" s="139">
        <f t="shared" si="26"/>
        <v>-2.4774441884265717E-2</v>
      </c>
      <c r="M154" s="127">
        <v>923.59002699999996</v>
      </c>
      <c r="N154" s="126">
        <f t="shared" si="20"/>
        <v>939.56292264400054</v>
      </c>
      <c r="O154" s="126">
        <f t="shared" si="21"/>
        <v>-15.972895644000573</v>
      </c>
      <c r="P154" s="128">
        <f t="shared" si="22"/>
        <v>255.13339525413249</v>
      </c>
    </row>
    <row r="155" spans="1:16">
      <c r="A155" s="131" t="d">
        <v>2017-08-11</v>
      </c>
      <c r="B155" s="127">
        <v>930.09002699999996</v>
      </c>
      <c r="C155" s="127">
        <v>2441.320068</v>
      </c>
      <c r="D155" s="130" t="d">
        <v>2017-08-11</v>
      </c>
      <c r="E155" s="129">
        <v>1.01</v>
      </c>
      <c r="F155" s="126">
        <f t="shared" si="18"/>
        <v>1.01</v>
      </c>
      <c r="G155" s="138">
        <f t="shared" si="23"/>
        <v>7.0377546421903931E-3</v>
      </c>
      <c r="H155" s="138">
        <f t="shared" si="24"/>
        <v>1.2755698031536222E-3</v>
      </c>
      <c r="I155" s="126">
        <f t="shared" si="19"/>
        <v>1.01E-2</v>
      </c>
      <c r="J155" s="139">
        <f t="shared" si="25"/>
        <v>-3.0622453578096065E-3</v>
      </c>
      <c r="K155" s="139">
        <f t="shared" si="26"/>
        <v>-8.8244301968463772E-3</v>
      </c>
      <c r="M155" s="127">
        <v>930.09002699999996</v>
      </c>
      <c r="N155" s="126">
        <f t="shared" si="20"/>
        <v>939.56292264400054</v>
      </c>
      <c r="O155" s="126">
        <f t="shared" si="21"/>
        <v>-9.4728956440005732</v>
      </c>
      <c r="P155" s="128">
        <f t="shared" si="22"/>
        <v>89.73575188212503</v>
      </c>
    </row>
    <row r="156" spans="1:16">
      <c r="A156" s="131" t="d">
        <v>2017-08-14</v>
      </c>
      <c r="B156" s="127">
        <v>938.92999299999997</v>
      </c>
      <c r="C156" s="127">
        <v>2465.8400879999999</v>
      </c>
      <c r="D156" s="130" t="d">
        <v>2017-08-14</v>
      </c>
      <c r="E156" s="129">
        <v>1.01</v>
      </c>
      <c r="F156" s="126">
        <f t="shared" si="18"/>
        <v>1.01</v>
      </c>
      <c r="G156" s="138">
        <f t="shared" si="23"/>
        <v>9.5044197264573024E-3</v>
      </c>
      <c r="H156" s="138">
        <f t="shared" si="24"/>
        <v>1.0043754738020664E-2</v>
      </c>
      <c r="I156" s="126">
        <f t="shared" si="19"/>
        <v>1.01E-2</v>
      </c>
      <c r="J156" s="139">
        <f t="shared" si="25"/>
        <v>-5.9558027354269724E-4</v>
      </c>
      <c r="K156" s="139">
        <f t="shared" si="26"/>
        <v>-5.6245261979335701E-5</v>
      </c>
      <c r="M156" s="127">
        <v>938.92999299999997</v>
      </c>
      <c r="N156" s="126">
        <f t="shared" si="20"/>
        <v>939.56292264400054</v>
      </c>
      <c r="O156" s="126">
        <f t="shared" si="21"/>
        <v>-0.63292964400056917</v>
      </c>
      <c r="P156" s="128">
        <f t="shared" si="22"/>
        <v>0.40059993425468721</v>
      </c>
    </row>
    <row r="157" spans="1:16">
      <c r="A157" s="131" t="d">
        <v>2017-08-15</v>
      </c>
      <c r="B157" s="127">
        <v>938.080017</v>
      </c>
      <c r="C157" s="127">
        <v>2464.610107</v>
      </c>
      <c r="D157" s="130" t="d">
        <v>2017-08-15</v>
      </c>
      <c r="E157" s="129">
        <v>1.02</v>
      </c>
      <c r="F157" s="126">
        <f t="shared" si="18"/>
        <v>1.02</v>
      </c>
      <c r="G157" s="138">
        <f t="shared" si="23"/>
        <v>-9.0526024979156207E-4</v>
      </c>
      <c r="H157" s="138">
        <f t="shared" si="24"/>
        <v>-4.9880809626936054E-4</v>
      </c>
      <c r="I157" s="126">
        <f t="shared" si="19"/>
        <v>1.0200000000000001E-2</v>
      </c>
      <c r="J157" s="139">
        <f t="shared" si="25"/>
        <v>-1.1105260249791563E-2</v>
      </c>
      <c r="K157" s="139">
        <f t="shared" si="26"/>
        <v>-1.0698808096269361E-2</v>
      </c>
      <c r="M157" s="127">
        <v>938.080017</v>
      </c>
      <c r="N157" s="126">
        <f t="shared" si="20"/>
        <v>939.56292264400054</v>
      </c>
      <c r="O157" s="126">
        <f t="shared" si="21"/>
        <v>-1.4829056440005388</v>
      </c>
      <c r="P157" s="128">
        <f t="shared" si="22"/>
        <v>2.1990091490086527</v>
      </c>
    </row>
    <row r="158" spans="1:16">
      <c r="A158" s="131" t="d">
        <v>2017-08-16</v>
      </c>
      <c r="B158" s="127">
        <v>944.27002000000005</v>
      </c>
      <c r="C158" s="127">
        <v>2468.110107</v>
      </c>
      <c r="D158" s="130" t="d">
        <v>2017-08-16</v>
      </c>
      <c r="E158" s="129">
        <v>1</v>
      </c>
      <c r="F158" s="126">
        <f t="shared" si="18"/>
        <v>1</v>
      </c>
      <c r="G158" s="138">
        <f t="shared" si="23"/>
        <v>6.5985874209279179E-3</v>
      </c>
      <c r="H158" s="138">
        <f t="shared" si="24"/>
        <v>1.4201029160999055E-3</v>
      </c>
      <c r="I158" s="126">
        <f t="shared" si="19"/>
        <v>0.01</v>
      </c>
      <c r="J158" s="139">
        <f t="shared" si="25"/>
        <v>-3.4014125790720823E-3</v>
      </c>
      <c r="K158" s="139">
        <f t="shared" si="26"/>
        <v>-8.5798970839000947E-3</v>
      </c>
      <c r="M158" s="127">
        <v>944.27002000000005</v>
      </c>
      <c r="N158" s="126">
        <f t="shared" si="20"/>
        <v>939.56292264400054</v>
      </c>
      <c r="O158" s="126">
        <f t="shared" si="21"/>
        <v>4.7070973559995082</v>
      </c>
      <c r="P158" s="128">
        <f t="shared" si="22"/>
        <v>22.156765518857561</v>
      </c>
    </row>
    <row r="159" spans="1:16">
      <c r="A159" s="131" t="d">
        <v>2017-08-17</v>
      </c>
      <c r="B159" s="127">
        <v>927.65997300000004</v>
      </c>
      <c r="C159" s="127">
        <v>2430.01001</v>
      </c>
      <c r="D159" s="130" t="d">
        <v>2017-08-17</v>
      </c>
      <c r="E159" s="129">
        <v>0.98</v>
      </c>
      <c r="F159" s="126">
        <f t="shared" si="18"/>
        <v>0.98</v>
      </c>
      <c r="G159" s="138">
        <f t="shared" si="23"/>
        <v>-1.7590357258191896E-2</v>
      </c>
      <c r="H159" s="138">
        <f t="shared" si="24"/>
        <v>-1.5436951897705593E-2</v>
      </c>
      <c r="I159" s="126">
        <f t="shared" si="19"/>
        <v>9.7999999999999997E-3</v>
      </c>
      <c r="J159" s="139">
        <f t="shared" si="25"/>
        <v>-2.7390357258191896E-2</v>
      </c>
      <c r="K159" s="139">
        <f t="shared" si="26"/>
        <v>-2.5236951897705591E-2</v>
      </c>
      <c r="M159" s="127">
        <v>927.65997300000004</v>
      </c>
      <c r="N159" s="126">
        <f t="shared" si="20"/>
        <v>939.56292264400054</v>
      </c>
      <c r="O159" s="126">
        <f t="shared" si="21"/>
        <v>-11.9029496440005</v>
      </c>
      <c r="P159" s="128">
        <f t="shared" si="22"/>
        <v>141.68021022761164</v>
      </c>
    </row>
    <row r="160" spans="1:16">
      <c r="A160" s="131" t="d">
        <v>2017-08-18</v>
      </c>
      <c r="B160" s="127">
        <v>926.17999299999997</v>
      </c>
      <c r="C160" s="127">
        <v>2425.5500489999999</v>
      </c>
      <c r="D160" s="130" t="d">
        <v>2017-08-18</v>
      </c>
      <c r="E160" s="129">
        <v>1</v>
      </c>
      <c r="F160" s="126">
        <f t="shared" si="18"/>
        <v>1</v>
      </c>
      <c r="G160" s="138">
        <f t="shared" si="23"/>
        <v>-1.5953905990078422E-3</v>
      </c>
      <c r="H160" s="138">
        <f t="shared" si="24"/>
        <v>-1.8353673366143957E-3</v>
      </c>
      <c r="I160" s="126">
        <f t="shared" si="19"/>
        <v>0.01</v>
      </c>
      <c r="J160" s="139">
        <f t="shared" si="25"/>
        <v>-1.1595390599007842E-2</v>
      </c>
      <c r="K160" s="139">
        <f t="shared" si="26"/>
        <v>-1.1835367336614395E-2</v>
      </c>
      <c r="M160" s="127">
        <v>926.17999299999997</v>
      </c>
      <c r="N160" s="126">
        <f t="shared" si="20"/>
        <v>939.56292264400054</v>
      </c>
      <c r="O160" s="126">
        <f t="shared" si="21"/>
        <v>-13.382929644000569</v>
      </c>
      <c r="P160" s="128">
        <f t="shared" si="22"/>
        <v>179.10280585626921</v>
      </c>
    </row>
    <row r="161" spans="1:16">
      <c r="A161" s="131" t="d">
        <v>2017-08-21</v>
      </c>
      <c r="B161" s="127">
        <v>920.86999500000002</v>
      </c>
      <c r="C161" s="127">
        <v>2428.3701169999999</v>
      </c>
      <c r="D161" s="130" t="d">
        <v>2017-08-21</v>
      </c>
      <c r="E161" s="129">
        <v>0.99</v>
      </c>
      <c r="F161" s="126">
        <f t="shared" si="18"/>
        <v>0.99</v>
      </c>
      <c r="G161" s="138">
        <f t="shared" si="23"/>
        <v>-5.7332246864891532E-3</v>
      </c>
      <c r="H161" s="138">
        <f t="shared" si="24"/>
        <v>1.1626509216590452E-3</v>
      </c>
      <c r="I161" s="126">
        <f t="shared" si="19"/>
        <v>9.8999999999999991E-3</v>
      </c>
      <c r="J161" s="139">
        <f t="shared" si="25"/>
        <v>-1.5633224686489151E-2</v>
      </c>
      <c r="K161" s="139">
        <f t="shared" si="26"/>
        <v>-8.7373490783409537E-3</v>
      </c>
      <c r="M161" s="127">
        <v>920.86999500000002</v>
      </c>
      <c r="N161" s="126">
        <f t="shared" si="20"/>
        <v>939.56292264400054</v>
      </c>
      <c r="O161" s="126">
        <f t="shared" si="21"/>
        <v>-18.69292764400052</v>
      </c>
      <c r="P161" s="128">
        <f t="shared" si="22"/>
        <v>349.42554390383884</v>
      </c>
    </row>
    <row r="162" spans="1:16">
      <c r="A162" s="131" t="d">
        <v>2017-08-22</v>
      </c>
      <c r="B162" s="127">
        <v>940.40002400000003</v>
      </c>
      <c r="C162" s="127">
        <v>2452.51001</v>
      </c>
      <c r="D162" s="130" t="d">
        <v>2017-08-22</v>
      </c>
      <c r="E162" s="129">
        <v>0.99</v>
      </c>
      <c r="F162" s="126">
        <f t="shared" si="18"/>
        <v>0.99</v>
      </c>
      <c r="G162" s="138">
        <f t="shared" si="23"/>
        <v>2.1208236891245451E-2</v>
      </c>
      <c r="H162" s="138">
        <f t="shared" si="24"/>
        <v>9.9407799622498929E-3</v>
      </c>
      <c r="I162" s="126">
        <f t="shared" si="19"/>
        <v>9.8999999999999991E-3</v>
      </c>
      <c r="J162" s="139">
        <f t="shared" si="25"/>
        <v>1.1308236891245452E-2</v>
      </c>
      <c r="K162" s="139">
        <f t="shared" si="26"/>
        <v>4.0779962249893817E-5</v>
      </c>
      <c r="M162" s="127">
        <v>940.40002400000003</v>
      </c>
      <c r="N162" s="126">
        <f t="shared" si="20"/>
        <v>939.56292264400054</v>
      </c>
      <c r="O162" s="126">
        <f t="shared" si="21"/>
        <v>0.83710135599949353</v>
      </c>
      <c r="P162" s="128">
        <f t="shared" si="22"/>
        <v>0.70073868021619079</v>
      </c>
    </row>
    <row r="163" spans="1:16">
      <c r="A163" s="131" t="d">
        <v>2017-08-23</v>
      </c>
      <c r="B163" s="127">
        <v>942.580017</v>
      </c>
      <c r="C163" s="127">
        <v>2444.040039</v>
      </c>
      <c r="D163" s="130" t="d">
        <v>2017-08-23</v>
      </c>
      <c r="E163" s="129">
        <v>0.98</v>
      </c>
      <c r="F163" s="126">
        <f t="shared" si="18"/>
        <v>0.98</v>
      </c>
      <c r="G163" s="138">
        <f t="shared" si="23"/>
        <v>2.3181549812465421E-3</v>
      </c>
      <c r="H163" s="138">
        <f t="shared" si="24"/>
        <v>-3.4535928356924368E-3</v>
      </c>
      <c r="I163" s="126">
        <f t="shared" si="19"/>
        <v>9.7999999999999997E-3</v>
      </c>
      <c r="J163" s="139">
        <f t="shared" si="25"/>
        <v>-7.481845018753458E-3</v>
      </c>
      <c r="K163" s="139">
        <f t="shared" si="26"/>
        <v>-1.3253592835692437E-2</v>
      </c>
      <c r="M163" s="127">
        <v>942.580017</v>
      </c>
      <c r="N163" s="126">
        <f t="shared" si="20"/>
        <v>939.56292264400054</v>
      </c>
      <c r="O163" s="126">
        <f t="shared" si="21"/>
        <v>3.0170943559994612</v>
      </c>
      <c r="P163" s="128">
        <f t="shared" si="22"/>
        <v>9.1028583530038034</v>
      </c>
    </row>
    <row r="164" spans="1:16">
      <c r="A164" s="131" t="d">
        <v>2017-08-24</v>
      </c>
      <c r="B164" s="127">
        <v>936.89001499999995</v>
      </c>
      <c r="C164" s="127">
        <v>2438.969971</v>
      </c>
      <c r="D164" s="130" t="d">
        <v>2017-08-24</v>
      </c>
      <c r="E164" s="129">
        <v>1</v>
      </c>
      <c r="F164" s="126">
        <f t="shared" si="18"/>
        <v>1</v>
      </c>
      <c r="G164" s="138">
        <f t="shared" si="23"/>
        <v>-6.0366248990827579E-3</v>
      </c>
      <c r="H164" s="138">
        <f t="shared" si="24"/>
        <v>-2.0744619233302145E-3</v>
      </c>
      <c r="I164" s="126">
        <f t="shared" si="19"/>
        <v>0.01</v>
      </c>
      <c r="J164" s="139">
        <f t="shared" si="25"/>
        <v>-1.6036624899082759E-2</v>
      </c>
      <c r="K164" s="139">
        <f t="shared" si="26"/>
        <v>-1.2074461923330214E-2</v>
      </c>
      <c r="M164" s="127">
        <v>936.89001499999995</v>
      </c>
      <c r="N164" s="126">
        <f t="shared" si="20"/>
        <v>939.56292264400054</v>
      </c>
      <c r="O164" s="126">
        <f t="shared" si="21"/>
        <v>-2.6729076440005883</v>
      </c>
      <c r="P164" s="128">
        <f t="shared" si="22"/>
        <v>7.144435273356776</v>
      </c>
    </row>
    <row r="165" spans="1:16">
      <c r="A165" s="131" t="d">
        <v>2017-08-25</v>
      </c>
      <c r="B165" s="127">
        <v>930.5</v>
      </c>
      <c r="C165" s="127">
        <v>2443.0500489999999</v>
      </c>
      <c r="D165" s="130" t="d">
        <v>2017-08-25</v>
      </c>
      <c r="E165" s="129">
        <v>1.01</v>
      </c>
      <c r="F165" s="126">
        <f t="shared" si="18"/>
        <v>1.01</v>
      </c>
      <c r="G165" s="138">
        <f t="shared" si="23"/>
        <v>-6.8204537327681402E-3</v>
      </c>
      <c r="H165" s="138">
        <f t="shared" si="24"/>
        <v>1.6728693048758973E-3</v>
      </c>
      <c r="I165" s="126">
        <f t="shared" si="19"/>
        <v>1.01E-2</v>
      </c>
      <c r="J165" s="139">
        <f t="shared" si="25"/>
        <v>-1.692045373276814E-2</v>
      </c>
      <c r="K165" s="139">
        <f t="shared" si="26"/>
        <v>-8.4271306951241021E-3</v>
      </c>
      <c r="M165" s="127">
        <v>930.5</v>
      </c>
      <c r="N165" s="126">
        <f t="shared" si="20"/>
        <v>939.56292264400054</v>
      </c>
      <c r="O165" s="126">
        <f t="shared" si="21"/>
        <v>-9.0629226440005368</v>
      </c>
      <c r="P165" s="128">
        <f t="shared" si="22"/>
        <v>82.136566851137687</v>
      </c>
    </row>
    <row r="166" spans="1:16">
      <c r="A166" s="131" t="d">
        <v>2017-08-28</v>
      </c>
      <c r="B166" s="127">
        <v>928.13000499999998</v>
      </c>
      <c r="C166" s="127">
        <v>2444.23999</v>
      </c>
      <c r="D166" s="130" t="d">
        <v>2017-08-28</v>
      </c>
      <c r="E166" s="129">
        <v>0.97</v>
      </c>
      <c r="F166" s="126">
        <f t="shared" si="18"/>
        <v>0.97</v>
      </c>
      <c r="G166" s="138">
        <f t="shared" si="23"/>
        <v>-2.5470123589468215E-3</v>
      </c>
      <c r="H166" s="138">
        <f t="shared" si="24"/>
        <v>4.8707188806351378E-4</v>
      </c>
      <c r="I166" s="126">
        <f t="shared" si="19"/>
        <v>9.7000000000000003E-3</v>
      </c>
      <c r="J166" s="139">
        <f t="shared" si="25"/>
        <v>-1.2247012358946822E-2</v>
      </c>
      <c r="K166" s="139">
        <f t="shared" si="26"/>
        <v>-9.2129281119364866E-3</v>
      </c>
      <c r="M166" s="127">
        <v>928.13000499999998</v>
      </c>
      <c r="N166" s="126">
        <f t="shared" si="20"/>
        <v>939.56292264400054</v>
      </c>
      <c r="O166" s="126">
        <f t="shared" si="21"/>
        <v>-11.432917644000554</v>
      </c>
      <c r="P166" s="128">
        <f t="shared" si="22"/>
        <v>130.71160585449917</v>
      </c>
    </row>
    <row r="167" spans="1:16">
      <c r="A167" s="131" t="d">
        <v>2017-08-29</v>
      </c>
      <c r="B167" s="127">
        <v>935.75</v>
      </c>
      <c r="C167" s="127">
        <v>2446.3000489999999</v>
      </c>
      <c r="D167" s="130" t="d">
        <v>2017-08-29</v>
      </c>
      <c r="E167" s="129">
        <v>1.01</v>
      </c>
      <c r="F167" s="126">
        <f t="shared" si="18"/>
        <v>1.01</v>
      </c>
      <c r="G167" s="138">
        <f t="shared" si="23"/>
        <v>8.2100513494335493E-3</v>
      </c>
      <c r="H167" s="138">
        <f t="shared" si="24"/>
        <v>8.4282190309794831E-4</v>
      </c>
      <c r="I167" s="126">
        <f t="shared" si="19"/>
        <v>1.01E-2</v>
      </c>
      <c r="J167" s="139">
        <f t="shared" si="25"/>
        <v>-1.8899486505664503E-3</v>
      </c>
      <c r="K167" s="139">
        <f t="shared" si="26"/>
        <v>-9.2571780969020519E-3</v>
      </c>
      <c r="M167" s="127">
        <v>935.75</v>
      </c>
      <c r="N167" s="126">
        <f t="shared" si="20"/>
        <v>939.56292264400054</v>
      </c>
      <c r="O167" s="126">
        <f t="shared" si="21"/>
        <v>-3.8129226440005368</v>
      </c>
      <c r="P167" s="128">
        <f t="shared" si="22"/>
        <v>14.538379089132045</v>
      </c>
    </row>
    <row r="168" spans="1:16">
      <c r="A168" s="131" t="d">
        <v>2017-08-30</v>
      </c>
      <c r="B168" s="127">
        <v>943.63000499999998</v>
      </c>
      <c r="C168" s="127">
        <v>2457.5900879999999</v>
      </c>
      <c r="D168" s="130" t="d">
        <v>2017-08-30</v>
      </c>
      <c r="E168" s="129">
        <v>1.01</v>
      </c>
      <c r="F168" s="126">
        <f t="shared" si="18"/>
        <v>1.01</v>
      </c>
      <c r="G168" s="138">
        <f t="shared" si="23"/>
        <v>8.4210579748864364E-3</v>
      </c>
      <c r="H168" s="138">
        <f t="shared" si="24"/>
        <v>4.6151489080888206E-3</v>
      </c>
      <c r="I168" s="126">
        <f t="shared" si="19"/>
        <v>1.01E-2</v>
      </c>
      <c r="J168" s="139">
        <f t="shared" si="25"/>
        <v>-1.6789420251135632E-3</v>
      </c>
      <c r="K168" s="139">
        <f t="shared" si="26"/>
        <v>-5.484851091911179E-3</v>
      </c>
      <c r="M168" s="127">
        <v>943.63000499999998</v>
      </c>
      <c r="N168" s="126">
        <f t="shared" si="20"/>
        <v>939.56292264400054</v>
      </c>
      <c r="O168" s="126">
        <f t="shared" si="21"/>
        <v>4.067082355999446</v>
      </c>
      <c r="P168" s="128">
        <f t="shared" si="22"/>
        <v>16.541158890482006</v>
      </c>
    </row>
    <row r="169" spans="1:16">
      <c r="A169" s="131" t="d">
        <v>2017-08-31</v>
      </c>
      <c r="B169" s="127">
        <v>955.23999000000003</v>
      </c>
      <c r="C169" s="127">
        <v>2471.6499020000001</v>
      </c>
      <c r="D169" s="130" t="d">
        <v>2017-08-31</v>
      </c>
      <c r="E169" s="129">
        <v>0.99</v>
      </c>
      <c r="F169" s="126">
        <f t="shared" si="18"/>
        <v>0.99</v>
      </c>
      <c r="G169" s="138">
        <f t="shared" si="23"/>
        <v>1.2303535218764108E-2</v>
      </c>
      <c r="H169" s="138">
        <f t="shared" si="24"/>
        <v>5.7209760360980863E-3</v>
      </c>
      <c r="I169" s="126">
        <f t="shared" si="19"/>
        <v>9.8999999999999991E-3</v>
      </c>
      <c r="J169" s="139">
        <f t="shared" si="25"/>
        <v>2.4035352187641093E-3</v>
      </c>
      <c r="K169" s="139">
        <f t="shared" si="26"/>
        <v>-4.1790239639019127E-3</v>
      </c>
      <c r="M169" s="127">
        <v>955.23999000000003</v>
      </c>
      <c r="N169" s="126">
        <f t="shared" si="20"/>
        <v>939.56292264400054</v>
      </c>
      <c r="O169" s="126">
        <f t="shared" si="21"/>
        <v>15.677067355999498</v>
      </c>
      <c r="P169" s="128">
        <f t="shared" si="22"/>
        <v>245.77044088454508</v>
      </c>
    </row>
    <row r="170" spans="1:16">
      <c r="A170" s="131" t="d">
        <v>2017-09-01</v>
      </c>
      <c r="B170" s="127">
        <v>951.98999000000003</v>
      </c>
      <c r="C170" s="127">
        <v>2476.5500489999999</v>
      </c>
      <c r="D170" s="130" t="d">
        <v>2017-09-01</v>
      </c>
      <c r="E170" s="129">
        <v>1</v>
      </c>
      <c r="F170" s="126">
        <f t="shared" si="18"/>
        <v>1</v>
      </c>
      <c r="G170" s="138">
        <f t="shared" si="23"/>
        <v>-3.402286372035157E-3</v>
      </c>
      <c r="H170" s="138">
        <f t="shared" si="24"/>
        <v>1.9825408914242878E-3</v>
      </c>
      <c r="I170" s="126">
        <f t="shared" si="19"/>
        <v>0.01</v>
      </c>
      <c r="J170" s="139">
        <f t="shared" si="25"/>
        <v>-1.3402286372035157E-2</v>
      </c>
      <c r="K170" s="139">
        <f t="shared" si="26"/>
        <v>-8.017459108575712E-3</v>
      </c>
      <c r="M170" s="127">
        <v>951.98999000000003</v>
      </c>
      <c r="N170" s="126">
        <f t="shared" si="20"/>
        <v>939.56292264400054</v>
      </c>
      <c r="O170" s="126">
        <f t="shared" si="21"/>
        <v>12.427067355999498</v>
      </c>
      <c r="P170" s="128">
        <f t="shared" si="22"/>
        <v>154.43200307054835</v>
      </c>
    </row>
    <row r="171" spans="1:16">
      <c r="A171" s="131" t="d">
        <v>2017-09-05</v>
      </c>
      <c r="B171" s="127">
        <v>941.47997999999995</v>
      </c>
      <c r="C171" s="127">
        <v>2457.8500979999999</v>
      </c>
      <c r="D171" s="130" t="d">
        <v>2017-09-05</v>
      </c>
      <c r="E171" s="129">
        <v>1.01</v>
      </c>
      <c r="F171" s="126">
        <f t="shared" si="18"/>
        <v>1.01</v>
      </c>
      <c r="G171" s="138">
        <f t="shared" si="23"/>
        <v>-1.1040042553388696E-2</v>
      </c>
      <c r="H171" s="138">
        <f t="shared" si="24"/>
        <v>-7.5508068199755798E-3</v>
      </c>
      <c r="I171" s="126">
        <f t="shared" si="19"/>
        <v>1.01E-2</v>
      </c>
      <c r="J171" s="139">
        <f t="shared" si="25"/>
        <v>-2.1140042553388694E-2</v>
      </c>
      <c r="K171" s="139">
        <f t="shared" si="26"/>
        <v>-1.7650806819975579E-2</v>
      </c>
      <c r="M171" s="127">
        <v>941.47997999999995</v>
      </c>
      <c r="N171" s="126">
        <f t="shared" si="20"/>
        <v>939.56292264400054</v>
      </c>
      <c r="O171" s="126">
        <f t="shared" si="21"/>
        <v>1.9170573559994182</v>
      </c>
      <c r="P171" s="128">
        <f t="shared" si="22"/>
        <v>3.6751089061914799</v>
      </c>
    </row>
    <row r="172" spans="1:16">
      <c r="A172" s="131" t="d">
        <v>2017-09-06</v>
      </c>
      <c r="B172" s="127">
        <v>942.02002000000005</v>
      </c>
      <c r="C172" s="127">
        <v>2465.540039</v>
      </c>
      <c r="D172" s="130" t="d">
        <v>2017-09-06</v>
      </c>
      <c r="E172" s="129">
        <v>1.05</v>
      </c>
      <c r="F172" s="126">
        <f t="shared" si="18"/>
        <v>1.05</v>
      </c>
      <c r="G172" s="138">
        <f t="shared" si="23"/>
        <v>5.7360752376284197E-4</v>
      </c>
      <c r="H172" s="138">
        <f t="shared" si="24"/>
        <v>3.1287266079642298E-3</v>
      </c>
      <c r="I172" s="126">
        <f t="shared" si="19"/>
        <v>1.0500000000000001E-2</v>
      </c>
      <c r="J172" s="139">
        <f t="shared" si="25"/>
        <v>-9.9263924762371582E-3</v>
      </c>
      <c r="K172" s="139">
        <f t="shared" si="26"/>
        <v>-7.3712733920357713E-3</v>
      </c>
      <c r="M172" s="127">
        <v>942.02002000000005</v>
      </c>
      <c r="N172" s="126">
        <f t="shared" si="20"/>
        <v>939.56292264400054</v>
      </c>
      <c r="O172" s="126">
        <f t="shared" si="21"/>
        <v>2.4570973559995082</v>
      </c>
      <c r="P172" s="128">
        <f t="shared" si="22"/>
        <v>6.0373274168597737</v>
      </c>
    </row>
    <row r="173" spans="1:16">
      <c r="A173" s="131" t="d">
        <v>2017-09-07</v>
      </c>
      <c r="B173" s="127">
        <v>949.89001499999995</v>
      </c>
      <c r="C173" s="127">
        <v>2465.1000979999999</v>
      </c>
      <c r="D173" s="130" t="d">
        <v>2017-09-07</v>
      </c>
      <c r="E173" s="129">
        <v>1.03</v>
      </c>
      <c r="F173" s="126">
        <f t="shared" si="18"/>
        <v>1.03</v>
      </c>
      <c r="G173" s="138">
        <f t="shared" si="23"/>
        <v>8.354381895195712E-3</v>
      </c>
      <c r="H173" s="138">
        <f t="shared" si="24"/>
        <v>-1.784359584679573E-4</v>
      </c>
      <c r="I173" s="126">
        <f t="shared" si="19"/>
        <v>1.03E-2</v>
      </c>
      <c r="J173" s="139">
        <f t="shared" si="25"/>
        <v>-1.9456181048042882E-3</v>
      </c>
      <c r="K173" s="139">
        <f t="shared" si="26"/>
        <v>-1.0478435958467957E-2</v>
      </c>
      <c r="M173" s="127">
        <v>949.89001499999995</v>
      </c>
      <c r="N173" s="126">
        <f t="shared" si="20"/>
        <v>939.56292264400054</v>
      </c>
      <c r="O173" s="126">
        <f t="shared" si="21"/>
        <v>10.327092355999412</v>
      </c>
      <c r="P173" s="128">
        <f t="shared" si="22"/>
        <v>106.64883652934148</v>
      </c>
    </row>
    <row r="174" spans="1:16">
      <c r="A174" s="131" t="d">
        <v>2017-09-08</v>
      </c>
      <c r="B174" s="127">
        <v>941.40997300000004</v>
      </c>
      <c r="C174" s="127">
        <v>2461.429932</v>
      </c>
      <c r="D174" s="130" t="d">
        <v>2017-09-08</v>
      </c>
      <c r="E174" s="129">
        <v>1.02</v>
      </c>
      <c r="F174" s="126">
        <f t="shared" si="18"/>
        <v>1.02</v>
      </c>
      <c r="G174" s="138">
        <f t="shared" si="23"/>
        <v>-8.927393557242428E-3</v>
      </c>
      <c r="H174" s="138">
        <f t="shared" si="24"/>
        <v>-1.4888506973723228E-3</v>
      </c>
      <c r="I174" s="126">
        <f t="shared" si="19"/>
        <v>1.0200000000000001E-2</v>
      </c>
      <c r="J174" s="139">
        <f t="shared" si="25"/>
        <v>-1.9127393557242429E-2</v>
      </c>
      <c r="K174" s="139">
        <f t="shared" si="26"/>
        <v>-1.1688850697372324E-2</v>
      </c>
      <c r="M174" s="127">
        <v>941.40997300000004</v>
      </c>
      <c r="N174" s="126">
        <f t="shared" si="20"/>
        <v>939.56292264400054</v>
      </c>
      <c r="O174" s="126">
        <f t="shared" si="21"/>
        <v>1.8470503559994995</v>
      </c>
      <c r="P174" s="128">
        <f t="shared" si="22"/>
        <v>3.411595017597878</v>
      </c>
    </row>
    <row r="175" spans="1:16">
      <c r="A175" s="131" t="d">
        <v>2017-09-11</v>
      </c>
      <c r="B175" s="127">
        <v>943.28997800000002</v>
      </c>
      <c r="C175" s="127">
        <v>2488.110107</v>
      </c>
      <c r="D175" s="130" t="d">
        <v>2017-09-11</v>
      </c>
      <c r="E175" s="129">
        <v>1.04</v>
      </c>
      <c r="F175" s="126">
        <f t="shared" si="18"/>
        <v>1.04</v>
      </c>
      <c r="G175" s="138">
        <f t="shared" si="23"/>
        <v>1.9970098617172636E-3</v>
      </c>
      <c r="H175" s="138">
        <f t="shared" si="24"/>
        <v>1.0839298999797799E-2</v>
      </c>
      <c r="I175" s="126">
        <f t="shared" si="19"/>
        <v>1.04E-2</v>
      </c>
      <c r="J175" s="139">
        <f t="shared" si="25"/>
        <v>-8.402990138282735E-3</v>
      </c>
      <c r="K175" s="139">
        <f t="shared" si="26"/>
        <v>4.3929899979779953E-4</v>
      </c>
      <c r="M175" s="127">
        <v>943.28997800000002</v>
      </c>
      <c r="N175" s="126">
        <f t="shared" si="20"/>
        <v>939.56292264400054</v>
      </c>
      <c r="O175" s="126">
        <f t="shared" si="21"/>
        <v>3.7270553559994823</v>
      </c>
      <c r="P175" s="128">
        <f t="shared" si="22"/>
        <v>13.890941626684429</v>
      </c>
    </row>
    <row r="176" spans="1:16">
      <c r="A176" s="131" t="d">
        <v>2017-09-12</v>
      </c>
      <c r="B176" s="127">
        <v>946.65002400000003</v>
      </c>
      <c r="C176" s="127">
        <v>2496.4799800000001</v>
      </c>
      <c r="D176" s="130" t="d">
        <v>2017-09-12</v>
      </c>
      <c r="E176" s="129">
        <v>1.02</v>
      </c>
      <c r="F176" s="126">
        <f t="shared" si="18"/>
        <v>1.02</v>
      </c>
      <c r="G176" s="138">
        <f t="shared" si="23"/>
        <v>3.5620499298891217E-3</v>
      </c>
      <c r="H176" s="138">
        <f t="shared" si="24"/>
        <v>3.3639479926762333E-3</v>
      </c>
      <c r="I176" s="126">
        <f t="shared" si="19"/>
        <v>1.0200000000000001E-2</v>
      </c>
      <c r="J176" s="139">
        <f t="shared" si="25"/>
        <v>-6.637950070110879E-3</v>
      </c>
      <c r="K176" s="139">
        <f t="shared" si="26"/>
        <v>-6.836052007323767E-3</v>
      </c>
      <c r="M176" s="127">
        <v>946.65002400000003</v>
      </c>
      <c r="N176" s="126">
        <f t="shared" si="20"/>
        <v>939.56292264400054</v>
      </c>
      <c r="O176" s="126">
        <f t="shared" si="21"/>
        <v>7.0871013559994935</v>
      </c>
      <c r="P176" s="128">
        <f t="shared" si="22"/>
        <v>50.22700563020986</v>
      </c>
    </row>
    <row r="177" spans="1:16">
      <c r="A177" s="131" t="d">
        <v>2017-09-13</v>
      </c>
      <c r="B177" s="127">
        <v>950.44000200000005</v>
      </c>
      <c r="C177" s="127">
        <v>2498.3701169999999</v>
      </c>
      <c r="D177" s="130" t="d">
        <v>2017-09-13</v>
      </c>
      <c r="E177" s="129">
        <v>1.02</v>
      </c>
      <c r="F177" s="126">
        <f t="shared" si="18"/>
        <v>1.02</v>
      </c>
      <c r="G177" s="138">
        <f t="shared" si="23"/>
        <v>4.003568271181937E-3</v>
      </c>
      <c r="H177" s="138">
        <f t="shared" si="24"/>
        <v>7.571208321886354E-4</v>
      </c>
      <c r="I177" s="126">
        <f t="shared" si="19"/>
        <v>1.0200000000000001E-2</v>
      </c>
      <c r="J177" s="139">
        <f t="shared" si="25"/>
        <v>-6.1964317288180637E-3</v>
      </c>
      <c r="K177" s="139">
        <f t="shared" si="26"/>
        <v>-9.442879167811365E-3</v>
      </c>
      <c r="M177" s="127">
        <v>950.44000200000005</v>
      </c>
      <c r="N177" s="126">
        <f t="shared" si="20"/>
        <v>939.56292264400054</v>
      </c>
      <c r="O177" s="126">
        <f t="shared" si="21"/>
        <v>10.877079355999513</v>
      </c>
      <c r="P177" s="128">
        <f t="shared" si="22"/>
        <v>118.31085531671077</v>
      </c>
    </row>
    <row r="178" spans="1:16">
      <c r="A178" s="131" t="d">
        <v>2017-09-14</v>
      </c>
      <c r="B178" s="127">
        <v>940.13000499999998</v>
      </c>
      <c r="C178" s="127">
        <v>2495.6201169999999</v>
      </c>
      <c r="D178" s="130" t="d">
        <v>2017-09-14</v>
      </c>
      <c r="E178" s="129">
        <v>1.03</v>
      </c>
      <c r="F178" s="126">
        <f t="shared" si="18"/>
        <v>1.03</v>
      </c>
      <c r="G178" s="138">
        <f t="shared" si="23"/>
        <v>-1.0847604244670739E-2</v>
      </c>
      <c r="H178" s="138">
        <f t="shared" si="24"/>
        <v>-1.1007176163722904E-3</v>
      </c>
      <c r="I178" s="126">
        <f t="shared" si="19"/>
        <v>1.03E-2</v>
      </c>
      <c r="J178" s="139">
        <f t="shared" si="25"/>
        <v>-2.1147604244670739E-2</v>
      </c>
      <c r="K178" s="139">
        <f t="shared" si="26"/>
        <v>-1.1400717616372291E-2</v>
      </c>
      <c r="M178" s="127">
        <v>940.13000499999998</v>
      </c>
      <c r="N178" s="126">
        <f t="shared" si="20"/>
        <v>939.56292264400054</v>
      </c>
      <c r="O178" s="126">
        <f t="shared" si="21"/>
        <v>0.56708235599944601</v>
      </c>
      <c r="P178" s="128">
        <f t="shared" si="22"/>
        <v>0.32158239848588244</v>
      </c>
    </row>
    <row r="179" spans="1:16">
      <c r="A179" s="131" t="d">
        <v>2017-09-15</v>
      </c>
      <c r="B179" s="127">
        <v>935.28997800000002</v>
      </c>
      <c r="C179" s="127">
        <v>2500.2299800000001</v>
      </c>
      <c r="D179" s="130" t="d">
        <v>2017-09-15</v>
      </c>
      <c r="E179" s="129">
        <v>1.03</v>
      </c>
      <c r="F179" s="126">
        <f t="shared" si="18"/>
        <v>1.03</v>
      </c>
      <c r="G179" s="138">
        <f t="shared" si="23"/>
        <v>-5.1482528738139403E-3</v>
      </c>
      <c r="H179" s="138">
        <f t="shared" si="24"/>
        <v>1.8471813753215278E-3</v>
      </c>
      <c r="I179" s="126">
        <f t="shared" si="19"/>
        <v>1.03E-2</v>
      </c>
      <c r="J179" s="139">
        <f t="shared" si="25"/>
        <v>-1.544825287381394E-2</v>
      </c>
      <c r="K179" s="139">
        <f t="shared" si="26"/>
        <v>-8.452818624678473E-3</v>
      </c>
      <c r="M179" s="127">
        <v>935.28997800000002</v>
      </c>
      <c r="N179" s="126">
        <f t="shared" si="20"/>
        <v>939.56292264400054</v>
      </c>
      <c r="O179" s="126">
        <f t="shared" si="21"/>
        <v>-4.2729446440005177</v>
      </c>
      <c r="P179" s="128">
        <f t="shared" si="22"/>
        <v>18.258055930692709</v>
      </c>
    </row>
    <row r="180" spans="1:16">
      <c r="A180" s="131" t="d">
        <v>2017-09-18</v>
      </c>
      <c r="B180" s="127">
        <v>929.75</v>
      </c>
      <c r="C180" s="127">
        <v>2503.8701169999999</v>
      </c>
      <c r="D180" s="130" t="d">
        <v>2017-09-18</v>
      </c>
      <c r="E180" s="129">
        <v>1.04</v>
      </c>
      <c r="F180" s="126">
        <f t="shared" si="18"/>
        <v>1.04</v>
      </c>
      <c r="G180" s="138">
        <f t="shared" si="23"/>
        <v>-5.9232731348694287E-3</v>
      </c>
      <c r="H180" s="138">
        <f t="shared" si="24"/>
        <v>1.4559208669275567E-3</v>
      </c>
      <c r="I180" s="126">
        <f t="shared" si="19"/>
        <v>1.04E-2</v>
      </c>
      <c r="J180" s="139">
        <f t="shared" si="25"/>
        <v>-1.6323273134869427E-2</v>
      </c>
      <c r="K180" s="139">
        <f t="shared" si="26"/>
        <v>-8.9440791330724426E-3</v>
      </c>
      <c r="M180" s="127">
        <v>929.75</v>
      </c>
      <c r="N180" s="126">
        <f t="shared" si="20"/>
        <v>939.56292264400054</v>
      </c>
      <c r="O180" s="126">
        <f t="shared" si="21"/>
        <v>-9.8129226440005368</v>
      </c>
      <c r="P180" s="128">
        <f t="shared" si="22"/>
        <v>96.293450817138492</v>
      </c>
    </row>
    <row r="181" spans="1:16">
      <c r="A181" s="131" t="d">
        <v>2017-09-19</v>
      </c>
      <c r="B181" s="127">
        <v>936.85998500000005</v>
      </c>
      <c r="C181" s="127">
        <v>2506.6499020000001</v>
      </c>
      <c r="D181" s="130" t="d">
        <v>2017-09-19</v>
      </c>
      <c r="E181" s="129">
        <v>1.03</v>
      </c>
      <c r="F181" s="126">
        <f t="shared" si="18"/>
        <v>1.03</v>
      </c>
      <c r="G181" s="138">
        <f t="shared" si="23"/>
        <v>7.6472008604464119E-3</v>
      </c>
      <c r="H181" s="138">
        <f t="shared" si="24"/>
        <v>1.1101953656169517E-3</v>
      </c>
      <c r="I181" s="126">
        <f t="shared" si="19"/>
        <v>1.03E-2</v>
      </c>
      <c r="J181" s="139">
        <f t="shared" si="25"/>
        <v>-2.6527991395535883E-3</v>
      </c>
      <c r="K181" s="139">
        <f t="shared" si="26"/>
        <v>-9.1898046343830489E-3</v>
      </c>
      <c r="M181" s="127">
        <v>936.85998500000005</v>
      </c>
      <c r="N181" s="126">
        <f t="shared" si="20"/>
        <v>939.56292264400054</v>
      </c>
      <c r="O181" s="126">
        <f t="shared" si="21"/>
        <v>-2.7029376440004853</v>
      </c>
      <c r="P181" s="128">
        <f t="shared" si="22"/>
        <v>7.3058719073548941</v>
      </c>
    </row>
    <row r="182" spans="1:16">
      <c r="A182" s="131" t="d">
        <v>2017-09-20</v>
      </c>
      <c r="B182" s="127">
        <v>947.53997800000002</v>
      </c>
      <c r="C182" s="127">
        <v>2508.23999</v>
      </c>
      <c r="D182" s="130" t="d">
        <v>2017-09-20</v>
      </c>
      <c r="E182" s="129">
        <v>1.02</v>
      </c>
      <c r="F182" s="126">
        <f t="shared" si="18"/>
        <v>1.02</v>
      </c>
      <c r="G182" s="138">
        <f t="shared" si="23"/>
        <v>1.1399774962103827E-2</v>
      </c>
      <c r="H182" s="138">
        <f t="shared" si="24"/>
        <v>6.3434785955997588E-4</v>
      </c>
      <c r="I182" s="126">
        <f t="shared" si="19"/>
        <v>1.0200000000000001E-2</v>
      </c>
      <c r="J182" s="139">
        <f t="shared" si="25"/>
        <v>1.1997749621038261E-3</v>
      </c>
      <c r="K182" s="139">
        <f t="shared" si="26"/>
        <v>-9.5656521404400251E-3</v>
      </c>
      <c r="M182" s="127">
        <v>947.53997800000002</v>
      </c>
      <c r="N182" s="126">
        <f t="shared" si="20"/>
        <v>939.56292264400054</v>
      </c>
      <c r="O182" s="126">
        <f t="shared" si="21"/>
        <v>7.9770553559994823</v>
      </c>
      <c r="P182" s="128">
        <f t="shared" si="22"/>
        <v>63.63341215268003</v>
      </c>
    </row>
    <row r="183" spans="1:16">
      <c r="A183" s="131" t="d">
        <v>2017-09-21</v>
      </c>
      <c r="B183" s="127">
        <v>947.54998799999998</v>
      </c>
      <c r="C183" s="127">
        <v>2500.6000979999999</v>
      </c>
      <c r="D183" s="130" t="d">
        <v>2017-09-21</v>
      </c>
      <c r="E183" s="129">
        <v>1.02</v>
      </c>
      <c r="F183" s="126">
        <f t="shared" si="18"/>
        <v>1.02</v>
      </c>
      <c r="G183" s="138">
        <f t="shared" si="23"/>
        <v>1.0564198062749874E-5</v>
      </c>
      <c r="H183" s="138">
        <f t="shared" si="24"/>
        <v>-3.0459174682085127E-3</v>
      </c>
      <c r="I183" s="126">
        <f t="shared" si="19"/>
        <v>1.0200000000000001E-2</v>
      </c>
      <c r="J183" s="139">
        <f t="shared" si="25"/>
        <v>-1.0189435801937251E-2</v>
      </c>
      <c r="K183" s="139">
        <f t="shared" si="26"/>
        <v>-1.3245917468208513E-2</v>
      </c>
      <c r="M183" s="127">
        <v>947.54998799999998</v>
      </c>
      <c r="N183" s="126">
        <f t="shared" si="20"/>
        <v>939.56292264400054</v>
      </c>
      <c r="O183" s="126">
        <f t="shared" si="21"/>
        <v>7.987065355999448</v>
      </c>
      <c r="P183" s="128">
        <f t="shared" si="22"/>
        <v>63.793213001006592</v>
      </c>
    </row>
    <row r="184" spans="1:16">
      <c r="A184" s="131" t="d">
        <v>2017-09-22</v>
      </c>
      <c r="B184" s="127">
        <v>943.26000999999997</v>
      </c>
      <c r="C184" s="127">
        <v>2502.219971</v>
      </c>
      <c r="D184" s="130" t="d">
        <v>2017-09-22</v>
      </c>
      <c r="E184" s="129">
        <v>1.01</v>
      </c>
      <c r="F184" s="126">
        <f t="shared" si="18"/>
        <v>1.01</v>
      </c>
      <c r="G184" s="138">
        <f t="shared" si="23"/>
        <v>-4.5274424086637413E-3</v>
      </c>
      <c r="H184" s="138">
        <f t="shared" si="24"/>
        <v>6.4779370411753774E-4</v>
      </c>
      <c r="I184" s="126">
        <f t="shared" si="19"/>
        <v>1.01E-2</v>
      </c>
      <c r="J184" s="139">
        <f t="shared" si="25"/>
        <v>-1.4627442408663741E-2</v>
      </c>
      <c r="K184" s="139">
        <f t="shared" si="26"/>
        <v>-9.4522062958824621E-3</v>
      </c>
      <c r="M184" s="127">
        <v>943.26000999999997</v>
      </c>
      <c r="N184" s="126">
        <f t="shared" si="20"/>
        <v>939.56292264400054</v>
      </c>
      <c r="O184" s="126">
        <f t="shared" si="21"/>
        <v>3.6970873559994288</v>
      </c>
      <c r="P184" s="128">
        <f t="shared" si="22"/>
        <v>13.668454917890848</v>
      </c>
    </row>
    <row r="185" spans="1:16">
      <c r="A185" s="131" t="d">
        <v>2017-09-25</v>
      </c>
      <c r="B185" s="127">
        <v>934.28002900000001</v>
      </c>
      <c r="C185" s="127">
        <v>2496.6599120000001</v>
      </c>
      <c r="D185" s="130" t="d">
        <v>2017-09-25</v>
      </c>
      <c r="E185" s="129">
        <v>1.04</v>
      </c>
      <c r="F185" s="126">
        <f t="shared" si="18"/>
        <v>1.04</v>
      </c>
      <c r="G185" s="138">
        <f t="shared" si="23"/>
        <v>-9.5201544693916933E-3</v>
      </c>
      <c r="H185" s="138">
        <f t="shared" si="24"/>
        <v>-2.2220504449806063E-3</v>
      </c>
      <c r="I185" s="126">
        <f t="shared" si="19"/>
        <v>1.04E-2</v>
      </c>
      <c r="J185" s="139">
        <f t="shared" si="25"/>
        <v>-1.9920154469391695E-2</v>
      </c>
      <c r="K185" s="139">
        <f t="shared" si="26"/>
        <v>-1.2622050444980605E-2</v>
      </c>
      <c r="M185" s="127">
        <v>934.28002900000001</v>
      </c>
      <c r="N185" s="126">
        <f t="shared" si="20"/>
        <v>939.56292264400054</v>
      </c>
      <c r="O185" s="126">
        <f t="shared" si="21"/>
        <v>-5.2828936440005236</v>
      </c>
      <c r="P185" s="128">
        <f t="shared" si="22"/>
        <v>27.90896525382113</v>
      </c>
    </row>
    <row r="186" spans="1:16">
      <c r="A186" s="131" t="d">
        <v>2017-09-26</v>
      </c>
      <c r="B186" s="127">
        <v>937.42999299999997</v>
      </c>
      <c r="C186" s="127">
        <v>2496.8400879999999</v>
      </c>
      <c r="D186" s="130" t="d">
        <v>2017-09-26</v>
      </c>
      <c r="E186" s="129">
        <v>1.05</v>
      </c>
      <c r="F186" s="126">
        <f t="shared" si="18"/>
        <v>1.05</v>
      </c>
      <c r="G186" s="138">
        <f t="shared" si="23"/>
        <v>3.3715416173152025E-3</v>
      </c>
      <c r="H186" s="138">
        <f t="shared" si="24"/>
        <v>7.2166817408268093E-5</v>
      </c>
      <c r="I186" s="126">
        <f t="shared" si="19"/>
        <v>1.0500000000000001E-2</v>
      </c>
      <c r="J186" s="139">
        <f t="shared" si="25"/>
        <v>-7.1284583826847978E-3</v>
      </c>
      <c r="K186" s="139">
        <f t="shared" si="26"/>
        <v>-1.0427833182591733E-2</v>
      </c>
      <c r="M186" s="127">
        <v>937.42999299999997</v>
      </c>
      <c r="N186" s="126">
        <f t="shared" si="20"/>
        <v>939.56292264400054</v>
      </c>
      <c r="O186" s="126">
        <f t="shared" si="21"/>
        <v>-2.1329296440005692</v>
      </c>
      <c r="P186" s="128">
        <f t="shared" si="22"/>
        <v>4.549388866256395</v>
      </c>
    </row>
    <row r="187" spans="1:16">
      <c r="A187" s="131" t="d">
        <v>2017-09-27</v>
      </c>
      <c r="B187" s="127">
        <v>959.90002400000003</v>
      </c>
      <c r="C187" s="127">
        <v>2507.040039</v>
      </c>
      <c r="D187" s="130" t="d">
        <v>2017-09-27</v>
      </c>
      <c r="E187" s="129">
        <v>1.05</v>
      </c>
      <c r="F187" s="126">
        <f t="shared" si="18"/>
        <v>1.05</v>
      </c>
      <c r="G187" s="138">
        <f t="shared" si="23"/>
        <v>2.3969822992424845E-2</v>
      </c>
      <c r="H187" s="138">
        <f t="shared" si="24"/>
        <v>4.0851438780648321E-3</v>
      </c>
      <c r="I187" s="126">
        <f t="shared" si="19"/>
        <v>1.0500000000000001E-2</v>
      </c>
      <c r="J187" s="139">
        <f t="shared" si="25"/>
        <v>1.3469822992424845E-2</v>
      </c>
      <c r="K187" s="139">
        <f t="shared" si="26"/>
        <v>-6.4148561219351686E-3</v>
      </c>
      <c r="M187" s="127">
        <v>959.90002400000003</v>
      </c>
      <c r="N187" s="126">
        <f t="shared" si="20"/>
        <v>939.56292264400054</v>
      </c>
      <c r="O187" s="126">
        <f t="shared" si="21"/>
        <v>20.337101355999494</v>
      </c>
      <c r="P187" s="128">
        <f t="shared" si="22"/>
        <v>413.59769156419645</v>
      </c>
    </row>
    <row r="188" spans="1:16">
      <c r="A188" s="131" t="d">
        <v>2017-09-28</v>
      </c>
      <c r="B188" s="127">
        <v>964.80999799999995</v>
      </c>
      <c r="C188" s="127">
        <v>2510.0600589999999</v>
      </c>
      <c r="D188" s="130" t="d">
        <v>2017-09-28</v>
      </c>
      <c r="E188" s="129">
        <v>1.04</v>
      </c>
      <c r="F188" s="126">
        <f t="shared" si="18"/>
        <v>1.04</v>
      </c>
      <c r="G188" s="138">
        <f t="shared" si="23"/>
        <v>5.115088943887681E-3</v>
      </c>
      <c r="H188" s="138">
        <f t="shared" si="24"/>
        <v>1.2046157831625804E-3</v>
      </c>
      <c r="I188" s="126">
        <f t="shared" si="19"/>
        <v>1.04E-2</v>
      </c>
      <c r="J188" s="139">
        <f t="shared" si="25"/>
        <v>-5.2849110561123186E-3</v>
      </c>
      <c r="K188" s="139">
        <f t="shared" si="26"/>
        <v>-9.1953842168374187E-3</v>
      </c>
      <c r="M188" s="127">
        <v>964.80999799999995</v>
      </c>
      <c r="N188" s="126">
        <f t="shared" si="20"/>
        <v>939.56292264400054</v>
      </c>
      <c r="O188" s="126">
        <f t="shared" si="21"/>
        <v>25.247075355999414</v>
      </c>
      <c r="P188" s="128">
        <f t="shared" si="22"/>
        <v>637.41481403151295</v>
      </c>
    </row>
    <row r="189" spans="1:16">
      <c r="A189" s="131" t="d">
        <v>2017-09-29</v>
      </c>
      <c r="B189" s="127">
        <v>973.71997099999999</v>
      </c>
      <c r="C189" s="127">
        <v>2519.360107</v>
      </c>
      <c r="D189" s="130" t="d">
        <v>2017-09-29</v>
      </c>
      <c r="E189" s="129">
        <v>1.04</v>
      </c>
      <c r="F189" s="126">
        <f t="shared" si="18"/>
        <v>1.04</v>
      </c>
      <c r="G189" s="138">
        <f t="shared" si="23"/>
        <v>9.2349509421232566E-3</v>
      </c>
      <c r="H189" s="138">
        <f t="shared" si="24"/>
        <v>3.7051097509217252E-3</v>
      </c>
      <c r="I189" s="126">
        <f t="shared" si="19"/>
        <v>1.04E-2</v>
      </c>
      <c r="J189" s="139">
        <f t="shared" si="25"/>
        <v>-1.1650490578767429E-3</v>
      </c>
      <c r="K189" s="139">
        <f t="shared" si="26"/>
        <v>-6.6948902490782738E-3</v>
      </c>
      <c r="M189" s="127">
        <v>973.71997099999999</v>
      </c>
      <c r="N189" s="126">
        <f t="shared" si="20"/>
        <v>939.56292264400054</v>
      </c>
      <c r="O189" s="126">
        <f t="shared" si="21"/>
        <v>34.15704835599945</v>
      </c>
      <c r="P189" s="128">
        <f t="shared" si="22"/>
        <v>1166.7039523940848</v>
      </c>
    </row>
    <row r="190" spans="1:16">
      <c r="A190" s="131" t="d">
        <v>2017-10-02</v>
      </c>
      <c r="B190" s="127">
        <v>967.46997099999999</v>
      </c>
      <c r="C190" s="127">
        <v>2529.1201169999999</v>
      </c>
      <c r="D190" s="130" t="d">
        <v>2017-10-02</v>
      </c>
      <c r="E190" s="129">
        <v>1</v>
      </c>
      <c r="F190" s="126">
        <f t="shared" si="18"/>
        <v>1</v>
      </c>
      <c r="G190" s="138">
        <f t="shared" si="23"/>
        <v>-6.418683180115241E-3</v>
      </c>
      <c r="H190" s="138">
        <f t="shared" si="24"/>
        <v>3.8740035506960443E-3</v>
      </c>
      <c r="I190" s="126">
        <f t="shared" si="19"/>
        <v>0.01</v>
      </c>
      <c r="J190" s="139">
        <f t="shared" si="25"/>
        <v>-1.6418683180115242E-2</v>
      </c>
      <c r="K190" s="139">
        <f t="shared" si="26"/>
        <v>-6.1259964493039559E-3</v>
      </c>
      <c r="M190" s="127">
        <v>967.46997099999999</v>
      </c>
      <c r="N190" s="126">
        <f t="shared" si="20"/>
        <v>939.56292264400054</v>
      </c>
      <c r="O190" s="126">
        <f t="shared" si="21"/>
        <v>27.90704835599945</v>
      </c>
      <c r="P190" s="128">
        <f t="shared" si="22"/>
        <v>778.80334794409157</v>
      </c>
    </row>
    <row r="191" spans="1:16">
      <c r="A191" s="131" t="d">
        <v>2017-10-03</v>
      </c>
      <c r="B191" s="127">
        <v>972.080017</v>
      </c>
      <c r="C191" s="127">
        <v>2534.580078</v>
      </c>
      <c r="D191" s="130" t="d">
        <v>2017-10-03</v>
      </c>
      <c r="E191" s="129">
        <v>1.05</v>
      </c>
      <c r="F191" s="126">
        <f t="shared" si="18"/>
        <v>1.05</v>
      </c>
      <c r="G191" s="138">
        <f t="shared" si="23"/>
        <v>4.7650533227764766E-3</v>
      </c>
      <c r="H191" s="138">
        <f t="shared" si="24"/>
        <v>2.1588381521699079E-3</v>
      </c>
      <c r="I191" s="126">
        <f t="shared" si="19"/>
        <v>1.0500000000000001E-2</v>
      </c>
      <c r="J191" s="139">
        <f t="shared" si="25"/>
        <v>-5.7349466772235241E-3</v>
      </c>
      <c r="K191" s="139">
        <f t="shared" si="26"/>
        <v>-8.3411618478300923E-3</v>
      </c>
      <c r="M191" s="127">
        <v>972.080017</v>
      </c>
      <c r="N191" s="126">
        <f t="shared" si="20"/>
        <v>939.56292264400054</v>
      </c>
      <c r="O191" s="126">
        <f t="shared" si="21"/>
        <v>32.517094355999461</v>
      </c>
      <c r="P191" s="128">
        <f t="shared" si="22"/>
        <v>1057.3614253569719</v>
      </c>
    </row>
    <row r="192" spans="1:16">
      <c r="A192" s="131" t="d">
        <v>2017-10-04</v>
      </c>
      <c r="B192" s="127">
        <v>966.78002900000001</v>
      </c>
      <c r="C192" s="127">
        <v>2537.73999</v>
      </c>
      <c r="D192" s="130" t="d">
        <v>2017-10-04</v>
      </c>
      <c r="E192" s="129">
        <v>1.06</v>
      </c>
      <c r="F192" s="126">
        <f t="shared" si="18"/>
        <v>1.06</v>
      </c>
      <c r="G192" s="138">
        <f t="shared" si="23"/>
        <v>-5.4522137142131834E-3</v>
      </c>
      <c r="H192" s="138">
        <f t="shared" si="24"/>
        <v>1.2467201282878846E-3</v>
      </c>
      <c r="I192" s="126">
        <f t="shared" si="19"/>
        <v>1.06E-2</v>
      </c>
      <c r="J192" s="139">
        <f t="shared" si="25"/>
        <v>-1.6052213714213184E-2</v>
      </c>
      <c r="K192" s="139">
        <f t="shared" si="26"/>
        <v>-9.3532798717121148E-3</v>
      </c>
      <c r="M192" s="127">
        <v>966.78002900000001</v>
      </c>
      <c r="N192" s="126">
        <f t="shared" si="20"/>
        <v>939.56292264400054</v>
      </c>
      <c r="O192" s="126">
        <f t="shared" si="21"/>
        <v>27.217106355999476</v>
      </c>
      <c r="P192" s="128">
        <f t="shared" si="22"/>
        <v>740.77087839378714</v>
      </c>
    </row>
    <row r="193" spans="1:16">
      <c r="A193" s="131" t="d">
        <v>2017-10-05</v>
      </c>
      <c r="B193" s="127">
        <v>985.19000200000005</v>
      </c>
      <c r="C193" s="127">
        <v>2552.070068</v>
      </c>
      <c r="D193" s="130" t="d">
        <v>2017-10-05</v>
      </c>
      <c r="E193" s="129">
        <v>1.05</v>
      </c>
      <c r="F193" s="126">
        <f t="shared" si="18"/>
        <v>1.05</v>
      </c>
      <c r="G193" s="138">
        <f t="shared" si="23"/>
        <v>1.9042566507132552E-2</v>
      </c>
      <c r="H193" s="138">
        <f t="shared" si="24"/>
        <v>5.6467873211865005E-3</v>
      </c>
      <c r="I193" s="126">
        <f t="shared" si="19"/>
        <v>1.0500000000000001E-2</v>
      </c>
      <c r="J193" s="139">
        <f t="shared" si="25"/>
        <v>8.5425665071325509E-3</v>
      </c>
      <c r="K193" s="139">
        <f t="shared" si="26"/>
        <v>-4.8532126788135002E-3</v>
      </c>
      <c r="M193" s="127">
        <v>985.19000200000005</v>
      </c>
      <c r="N193" s="126">
        <f t="shared" si="20"/>
        <v>939.56292264400054</v>
      </c>
      <c r="O193" s="126">
        <f t="shared" si="21"/>
        <v>45.627079355999513</v>
      </c>
      <c r="P193" s="128">
        <f t="shared" si="22"/>
        <v>2081.8303705586768</v>
      </c>
    </row>
    <row r="194" spans="1:16">
      <c r="A194" s="131" t="d">
        <v>2017-10-06</v>
      </c>
      <c r="B194" s="127">
        <v>993.64001499999995</v>
      </c>
      <c r="C194" s="127">
        <v>2549.330078</v>
      </c>
      <c r="D194" s="130" t="d">
        <v>2017-10-06</v>
      </c>
      <c r="E194" s="129">
        <v>1.05</v>
      </c>
      <c r="F194" s="126">
        <f t="shared" ref="F194:F251" si="27">VLOOKUP($A$1:$A$251,$D$1:$E$251,2)</f>
        <v>1.05</v>
      </c>
      <c r="G194" s="138">
        <f t="shared" si="23"/>
        <v>8.5770389293900878E-3</v>
      </c>
      <c r="H194" s="138">
        <f t="shared" si="24"/>
        <v>-1.0736343152785389E-3</v>
      </c>
      <c r="I194" s="126">
        <f t="shared" si="19"/>
        <v>1.0500000000000001E-2</v>
      </c>
      <c r="J194" s="139">
        <f t="shared" si="25"/>
        <v>-1.9229610706099128E-3</v>
      </c>
      <c r="K194" s="139">
        <f t="shared" si="26"/>
        <v>-1.1573634315278539E-2</v>
      </c>
      <c r="M194" s="127">
        <v>993.64001499999995</v>
      </c>
      <c r="N194" s="126">
        <f t="shared" si="20"/>
        <v>939.56292264400054</v>
      </c>
      <c r="O194" s="126">
        <f t="shared" si="21"/>
        <v>54.077092355999412</v>
      </c>
      <c r="P194" s="128">
        <f t="shared" si="22"/>
        <v>2924.3319176792902</v>
      </c>
    </row>
    <row r="195" spans="1:16">
      <c r="A195" s="131" t="d">
        <v>2017-10-10</v>
      </c>
      <c r="B195" s="127">
        <v>987.79998799999998</v>
      </c>
      <c r="C195" s="127">
        <v>2550.639893</v>
      </c>
      <c r="D195" s="130" t="d">
        <v>2017-10-10</v>
      </c>
      <c r="E195" s="129">
        <v>1.06</v>
      </c>
      <c r="F195" s="126">
        <f t="shared" si="27"/>
        <v>1.06</v>
      </c>
      <c r="G195" s="138">
        <f t="shared" si="23"/>
        <v>-5.8774072217693081E-3</v>
      </c>
      <c r="H195" s="138">
        <f t="shared" si="24"/>
        <v>5.1378792071823324E-4</v>
      </c>
      <c r="I195" s="126">
        <f t="shared" ref="I195:I251" si="28">E195/100</f>
        <v>1.06E-2</v>
      </c>
      <c r="J195" s="139">
        <f t="shared" si="25"/>
        <v>-1.6477407221769307E-2</v>
      </c>
      <c r="K195" s="139">
        <f t="shared" si="26"/>
        <v>-1.0086212079281768E-2</v>
      </c>
      <c r="M195" s="127">
        <v>987.79998799999998</v>
      </c>
      <c r="N195" s="126">
        <f t="shared" ref="N195:N251" si="29">AVERAGE($M$2:$M$251)</f>
        <v>939.56292264400054</v>
      </c>
      <c r="O195" s="126">
        <f t="shared" ref="O195:O251" si="30">M195-$N195</f>
        <v>48.237065355999448</v>
      </c>
      <c r="P195" s="128">
        <f t="shared" ref="P195:P251" si="31">O195^2</f>
        <v>2326.8144741589622</v>
      </c>
    </row>
    <row r="196" spans="1:16">
      <c r="A196" s="131" t="d">
        <v>2017-10-11</v>
      </c>
      <c r="B196" s="127">
        <v>1005.650024</v>
      </c>
      <c r="C196" s="127">
        <v>2555.23999</v>
      </c>
      <c r="D196" s="130" t="d">
        <v>2017-10-11</v>
      </c>
      <c r="E196" s="129">
        <v>1.08</v>
      </c>
      <c r="F196" s="126">
        <f t="shared" si="27"/>
        <v>1.08</v>
      </c>
      <c r="G196" s="138">
        <f t="shared" ref="G196:G250" si="32">(B196-B195)/B195</f>
        <v>1.807049627135655E-2</v>
      </c>
      <c r="H196" s="138">
        <f t="shared" ref="H196:H251" si="33">(C196-C195)/C195</f>
        <v>1.8035070386158997E-3</v>
      </c>
      <c r="I196" s="126">
        <f t="shared" si="28"/>
        <v>1.0800000000000001E-2</v>
      </c>
      <c r="J196" s="139">
        <f t="shared" ref="J196:J251" si="34">G196-$I196</f>
        <v>7.2704962713565496E-3</v>
      </c>
      <c r="K196" s="139">
        <f t="shared" ref="K196:K251" si="35">H196-$I196</f>
        <v>-8.9964929613841008E-3</v>
      </c>
      <c r="M196" s="127">
        <v>1005.650024</v>
      </c>
      <c r="N196" s="126">
        <f t="shared" si="29"/>
        <v>939.56292264400054</v>
      </c>
      <c r="O196" s="126">
        <f t="shared" si="30"/>
        <v>66.087101355999494</v>
      </c>
      <c r="P196" s="128">
        <f t="shared" si="31"/>
        <v>4367.5049656381498</v>
      </c>
    </row>
    <row r="197" spans="1:16">
      <c r="A197" s="131" t="d">
        <v>2017-10-12</v>
      </c>
      <c r="B197" s="127">
        <v>1005.650024</v>
      </c>
      <c r="C197" s="127">
        <v>2550.929932</v>
      </c>
      <c r="D197" s="130" t="d">
        <v>2017-10-12</v>
      </c>
      <c r="E197" s="129">
        <v>1.07</v>
      </c>
      <c r="F197" s="126">
        <f t="shared" si="27"/>
        <v>1.07</v>
      </c>
      <c r="G197" s="138">
        <f t="shared" si="32"/>
        <v>0</v>
      </c>
      <c r="H197" s="138">
        <f t="shared" si="33"/>
        <v>-1.6867527186751748E-3</v>
      </c>
      <c r="I197" s="126">
        <f t="shared" si="28"/>
        <v>1.0700000000000001E-2</v>
      </c>
      <c r="J197" s="139">
        <f t="shared" si="34"/>
        <v>-1.0700000000000001E-2</v>
      </c>
      <c r="K197" s="139">
        <f t="shared" si="35"/>
        <v>-1.2386752718675176E-2</v>
      </c>
      <c r="M197" s="127">
        <v>1005.650024</v>
      </c>
      <c r="N197" s="126">
        <f t="shared" si="29"/>
        <v>939.56292264400054</v>
      </c>
      <c r="O197" s="126">
        <f t="shared" si="30"/>
        <v>66.087101355999494</v>
      </c>
      <c r="P197" s="128">
        <f t="shared" si="31"/>
        <v>4367.5049656381498</v>
      </c>
    </row>
    <row r="198" spans="1:16">
      <c r="A198" s="131" t="d">
        <v>2017-10-13</v>
      </c>
      <c r="B198" s="127">
        <v>1007.869995</v>
      </c>
      <c r="C198" s="127">
        <v>2553.169922</v>
      </c>
      <c r="D198" s="130" t="d">
        <v>2017-10-13</v>
      </c>
      <c r="E198" s="129">
        <v>1.07</v>
      </c>
      <c r="F198" s="126">
        <f t="shared" si="27"/>
        <v>1.07</v>
      </c>
      <c r="G198" s="138">
        <f t="shared" si="32"/>
        <v>2.207498580042779E-3</v>
      </c>
      <c r="H198" s="138">
        <f t="shared" si="33"/>
        <v>8.7810722352684139E-4</v>
      </c>
      <c r="I198" s="126">
        <f t="shared" si="28"/>
        <v>1.0700000000000001E-2</v>
      </c>
      <c r="J198" s="139">
        <f t="shared" si="34"/>
        <v>-8.4925014199572213E-3</v>
      </c>
      <c r="K198" s="139">
        <f t="shared" si="35"/>
        <v>-9.8218927764731605E-3</v>
      </c>
      <c r="M198" s="127">
        <v>1007.869995</v>
      </c>
      <c r="N198" s="126">
        <f t="shared" si="29"/>
        <v>939.56292264400054</v>
      </c>
      <c r="O198" s="126">
        <f t="shared" si="30"/>
        <v>68.30707235599948</v>
      </c>
      <c r="P198" s="128">
        <f t="shared" si="31"/>
        <v>4665.8561338477484</v>
      </c>
    </row>
    <row r="199" spans="1:16">
      <c r="A199" s="131" t="d">
        <v>2017-10-16</v>
      </c>
      <c r="B199" s="127">
        <v>1009.349976</v>
      </c>
      <c r="C199" s="127">
        <v>2557.639893</v>
      </c>
      <c r="D199" s="130" t="d">
        <v>2017-10-16</v>
      </c>
      <c r="E199" s="129">
        <v>1.0900000000000001</v>
      </c>
      <c r="F199" s="126">
        <f t="shared" si="27"/>
        <v>1.0900000000000001</v>
      </c>
      <c r="G199" s="138">
        <f t="shared" si="32"/>
        <v>1.4684245064761081E-3</v>
      </c>
      <c r="H199" s="138">
        <f t="shared" si="33"/>
        <v>1.7507534306602202E-3</v>
      </c>
      <c r="I199" s="126">
        <f t="shared" si="28"/>
        <v>1.09E-2</v>
      </c>
      <c r="J199" s="139">
        <f t="shared" si="34"/>
        <v>-9.4315754935238912E-3</v>
      </c>
      <c r="K199" s="139">
        <f t="shared" si="35"/>
        <v>-9.1492465693397799E-3</v>
      </c>
      <c r="M199" s="127">
        <v>1009.349976</v>
      </c>
      <c r="N199" s="126">
        <f t="shared" si="29"/>
        <v>939.56292264400054</v>
      </c>
      <c r="O199" s="126">
        <f t="shared" si="30"/>
        <v>69.787053355999433</v>
      </c>
      <c r="P199" s="128">
        <f t="shared" si="31"/>
        <v>4870.2328161131118</v>
      </c>
    </row>
    <row r="200" spans="1:16">
      <c r="A200" s="131" t="d">
        <v>2017-10-17</v>
      </c>
      <c r="B200" s="127">
        <v>1011</v>
      </c>
      <c r="C200" s="127">
        <v>2559.360107</v>
      </c>
      <c r="D200" s="130" t="d">
        <v>2017-10-17</v>
      </c>
      <c r="E200" s="129">
        <v>1.07</v>
      </c>
      <c r="F200" s="126">
        <f t="shared" si="27"/>
        <v>1.07</v>
      </c>
      <c r="G200" s="138">
        <f t="shared" si="32"/>
        <v>1.6347392274570485E-3</v>
      </c>
      <c r="H200" s="138">
        <f t="shared" si="33"/>
        <v>6.7257865530952665E-4</v>
      </c>
      <c r="I200" s="126">
        <f t="shared" si="28"/>
        <v>1.0700000000000001E-2</v>
      </c>
      <c r="J200" s="139">
        <f t="shared" si="34"/>
        <v>-9.0652607725429518E-3</v>
      </c>
      <c r="K200" s="139">
        <f t="shared" si="35"/>
        <v>-1.0027421344690474E-2</v>
      </c>
      <c r="M200" s="127">
        <v>1011</v>
      </c>
      <c r="N200" s="126">
        <f t="shared" si="29"/>
        <v>939.56292264400054</v>
      </c>
      <c r="O200" s="126">
        <f t="shared" si="30"/>
        <v>71.437077355999463</v>
      </c>
      <c r="P200" s="128">
        <f t="shared" si="31"/>
        <v>5103.2560211670516</v>
      </c>
    </row>
    <row r="201" spans="1:16">
      <c r="A201" s="131" t="d">
        <v>2017-10-18</v>
      </c>
      <c r="B201" s="127">
        <v>1012.73999</v>
      </c>
      <c r="C201" s="127">
        <v>2561.26001</v>
      </c>
      <c r="D201" s="130" t="d">
        <v>2017-10-18</v>
      </c>
      <c r="E201" s="129">
        <v>1.07</v>
      </c>
      <c r="F201" s="126">
        <f t="shared" si="27"/>
        <v>1.07</v>
      </c>
      <c r="G201" s="138">
        <f t="shared" si="32"/>
        <v>1.7210583580613593E-3</v>
      </c>
      <c r="H201" s="138">
        <f t="shared" si="33"/>
        <v>7.423351621382425E-4</v>
      </c>
      <c r="I201" s="126">
        <f t="shared" si="28"/>
        <v>1.0700000000000001E-2</v>
      </c>
      <c r="J201" s="139">
        <f t="shared" si="34"/>
        <v>-8.9789416419386418E-3</v>
      </c>
      <c r="K201" s="139">
        <f t="shared" si="35"/>
        <v>-9.9576648378617589E-3</v>
      </c>
      <c r="M201" s="127">
        <v>1012.73999</v>
      </c>
      <c r="N201" s="126">
        <f t="shared" si="29"/>
        <v>939.56292264400054</v>
      </c>
      <c r="O201" s="126">
        <f t="shared" si="30"/>
        <v>73.177067355999498</v>
      </c>
      <c r="P201" s="128">
        <f t="shared" si="31"/>
        <v>5354.883186824487</v>
      </c>
    </row>
    <row r="202" spans="1:16">
      <c r="A202" s="131" t="d">
        <v>2017-10-19</v>
      </c>
      <c r="B202" s="127">
        <v>1001.840027</v>
      </c>
      <c r="C202" s="127">
        <v>2562.1000979999999</v>
      </c>
      <c r="D202" s="130" t="d">
        <v>2017-10-19</v>
      </c>
      <c r="E202" s="129">
        <v>1.08</v>
      </c>
      <c r="F202" s="126">
        <f t="shared" si="27"/>
        <v>1.08</v>
      </c>
      <c r="G202" s="138">
        <f t="shared" si="32"/>
        <v>-1.0762844469092279E-2</v>
      </c>
      <c r="H202" s="138">
        <f t="shared" si="33"/>
        <v>3.2799793723399577E-4</v>
      </c>
      <c r="I202" s="126">
        <f t="shared" si="28"/>
        <v>1.0800000000000001E-2</v>
      </c>
      <c r="J202" s="139">
        <f t="shared" si="34"/>
        <v>-2.156284446909228E-2</v>
      </c>
      <c r="K202" s="139">
        <f t="shared" si="35"/>
        <v>-1.0472002062766005E-2</v>
      </c>
      <c r="M202" s="127">
        <v>1001.840027</v>
      </c>
      <c r="N202" s="126">
        <f t="shared" si="29"/>
        <v>939.56292264400054</v>
      </c>
      <c r="O202" s="126">
        <f t="shared" si="30"/>
        <v>62.277104355999427</v>
      </c>
      <c r="P202" s="128">
        <f t="shared" si="31"/>
        <v>3878.4377269680426</v>
      </c>
    </row>
    <row r="203" spans="1:16">
      <c r="A203" s="131" t="d">
        <v>2017-10-20</v>
      </c>
      <c r="B203" s="127">
        <v>1005.070007</v>
      </c>
      <c r="C203" s="127">
        <v>2575.209961</v>
      </c>
      <c r="D203" s="130" t="d">
        <v>2017-10-20</v>
      </c>
      <c r="E203" s="129">
        <v>1.0900000000000001</v>
      </c>
      <c r="F203" s="126">
        <f t="shared" si="27"/>
        <v>1.0900000000000001</v>
      </c>
      <c r="G203" s="138">
        <f t="shared" si="32"/>
        <v>3.2240476652467278E-3</v>
      </c>
      <c r="H203" s="138">
        <f t="shared" si="33"/>
        <v>5.1168426285272059E-3</v>
      </c>
      <c r="I203" s="126">
        <f t="shared" si="28"/>
        <v>1.09E-2</v>
      </c>
      <c r="J203" s="139">
        <f t="shared" si="34"/>
        <v>-7.6759523347532718E-3</v>
      </c>
      <c r="K203" s="139">
        <f t="shared" si="35"/>
        <v>-5.7831573714727941E-3</v>
      </c>
      <c r="M203" s="127">
        <v>1005.070007</v>
      </c>
      <c r="N203" s="126">
        <f t="shared" si="29"/>
        <v>939.56292264400054</v>
      </c>
      <c r="O203" s="126">
        <f t="shared" si="30"/>
        <v>65.507084355999496</v>
      </c>
      <c r="P203" s="128">
        <f t="shared" si="31"/>
        <v>4291.1781008240341</v>
      </c>
    </row>
    <row r="204" spans="1:16">
      <c r="A204" s="131" t="d">
        <v>2017-10-23</v>
      </c>
      <c r="B204" s="127">
        <v>985.53997800000002</v>
      </c>
      <c r="C204" s="127">
        <v>2564.9799800000001</v>
      </c>
      <c r="D204" s="130" t="d">
        <v>2017-10-23</v>
      </c>
      <c r="E204" s="129">
        <v>1.08</v>
      </c>
      <c r="F204" s="126">
        <f t="shared" si="27"/>
        <v>1.08</v>
      </c>
      <c r="G204" s="138">
        <f t="shared" si="32"/>
        <v>-1.9431511102688804E-2</v>
      </c>
      <c r="H204" s="138">
        <f t="shared" si="33"/>
        <v>-3.9724842459165806E-3</v>
      </c>
      <c r="I204" s="126">
        <f t="shared" si="28"/>
        <v>1.0800000000000001E-2</v>
      </c>
      <c r="J204" s="139">
        <f t="shared" si="34"/>
        <v>-3.0231511102688804E-2</v>
      </c>
      <c r="K204" s="139">
        <f t="shared" si="35"/>
        <v>-1.4772484245916581E-2</v>
      </c>
      <c r="M204" s="127">
        <v>985.53997800000002</v>
      </c>
      <c r="N204" s="126">
        <f t="shared" si="29"/>
        <v>939.56292264400054</v>
      </c>
      <c r="O204" s="126">
        <f t="shared" si="30"/>
        <v>45.977055355999482</v>
      </c>
      <c r="P204" s="128">
        <f t="shared" si="31"/>
        <v>2113.8896192086409</v>
      </c>
    </row>
    <row r="205" spans="1:16">
      <c r="A205" s="131" t="d">
        <v>2017-10-24</v>
      </c>
      <c r="B205" s="127">
        <v>988.48999000000003</v>
      </c>
      <c r="C205" s="127">
        <v>2569.1298830000001</v>
      </c>
      <c r="D205" s="130" t="d">
        <v>2017-10-24</v>
      </c>
      <c r="E205" s="129">
        <v>1.1000000000000001</v>
      </c>
      <c r="F205" s="126">
        <f t="shared" si="27"/>
        <v>1.1000000000000001</v>
      </c>
      <c r="G205" s="138">
        <f t="shared" si="32"/>
        <v>2.9932951131892236E-3</v>
      </c>
      <c r="H205" s="138">
        <f t="shared" si="33"/>
        <v>1.6179085343192405E-3</v>
      </c>
      <c r="I205" s="126">
        <f t="shared" si="28"/>
        <v>1.1000000000000001E-2</v>
      </c>
      <c r="J205" s="139">
        <f t="shared" si="34"/>
        <v>-8.0067048868107775E-3</v>
      </c>
      <c r="K205" s="139">
        <f t="shared" si="35"/>
        <v>-9.38209146568076E-3</v>
      </c>
      <c r="M205" s="127">
        <v>988.48999000000003</v>
      </c>
      <c r="N205" s="126">
        <f t="shared" si="29"/>
        <v>939.56292264400054</v>
      </c>
      <c r="O205" s="126">
        <f t="shared" si="30"/>
        <v>48.927067355999498</v>
      </c>
      <c r="P205" s="128">
        <f t="shared" si="31"/>
        <v>2393.8579200585118</v>
      </c>
    </row>
    <row r="206" spans="1:16">
      <c r="A206" s="131" t="d">
        <v>2017-10-25</v>
      </c>
      <c r="B206" s="127">
        <v>991.46002199999998</v>
      </c>
      <c r="C206" s="127">
        <v>2557.1499020000001</v>
      </c>
      <c r="D206" s="130" t="d">
        <v>2017-10-25</v>
      </c>
      <c r="E206" s="129">
        <v>1.1000000000000001</v>
      </c>
      <c r="F206" s="126">
        <f t="shared" si="27"/>
        <v>1.1000000000000001</v>
      </c>
      <c r="G206" s="138">
        <f t="shared" si="32"/>
        <v>3.0046151504275185E-3</v>
      </c>
      <c r="H206" s="138">
        <f t="shared" si="33"/>
        <v>-4.6630499607169737E-3</v>
      </c>
      <c r="I206" s="126">
        <f t="shared" si="28"/>
        <v>1.1000000000000001E-2</v>
      </c>
      <c r="J206" s="139">
        <f t="shared" si="34"/>
        <v>-7.995384849572483E-3</v>
      </c>
      <c r="K206" s="139">
        <f t="shared" si="35"/>
        <v>-1.5663049960716977E-2</v>
      </c>
      <c r="M206" s="127">
        <v>991.46002199999998</v>
      </c>
      <c r="N206" s="126">
        <f t="shared" si="29"/>
        <v>939.56292264400054</v>
      </c>
      <c r="O206" s="126">
        <f t="shared" si="30"/>
        <v>51.897099355999444</v>
      </c>
      <c r="P206" s="128">
        <f t="shared" si="31"/>
        <v>2693.3089215664777</v>
      </c>
    </row>
    <row r="207" spans="1:16">
      <c r="A207" s="131" t="d">
        <v>2017-10-26</v>
      </c>
      <c r="B207" s="127">
        <v>991.419983</v>
      </c>
      <c r="C207" s="127">
        <v>2560.3999020000001</v>
      </c>
      <c r="D207" s="130" t="d">
        <v>2017-10-26</v>
      </c>
      <c r="E207" s="129">
        <v>1.0900000000000001</v>
      </c>
      <c r="F207" s="126">
        <f t="shared" si="27"/>
        <v>1.0900000000000001</v>
      </c>
      <c r="G207" s="138">
        <f t="shared" si="32"/>
        <v>-4.0383877424740824E-5</v>
      </c>
      <c r="H207" s="138">
        <f t="shared" si="33"/>
        <v>1.2709462192490584E-3</v>
      </c>
      <c r="I207" s="126">
        <f t="shared" si="28"/>
        <v>1.09E-2</v>
      </c>
      <c r="J207" s="139">
        <f t="shared" si="34"/>
        <v>-1.094038387742474E-2</v>
      </c>
      <c r="K207" s="139">
        <f t="shared" si="35"/>
        <v>-9.6290537807509416E-3</v>
      </c>
      <c r="M207" s="127">
        <v>991.419983</v>
      </c>
      <c r="N207" s="126">
        <f t="shared" si="29"/>
        <v>939.56292264400054</v>
      </c>
      <c r="O207" s="126">
        <f t="shared" si="30"/>
        <v>51.857060355999465</v>
      </c>
      <c r="P207" s="128">
        <f t="shared" si="31"/>
        <v>2689.1547087657714</v>
      </c>
    </row>
    <row r="208" spans="1:16">
      <c r="A208" s="131" t="d">
        <v>2017-10-27</v>
      </c>
      <c r="B208" s="127">
        <v>1033.670044</v>
      </c>
      <c r="C208" s="127">
        <v>2581.070068</v>
      </c>
      <c r="D208" s="130" t="d">
        <v>2017-10-27</v>
      </c>
      <c r="E208" s="129">
        <v>1.08</v>
      </c>
      <c r="F208" s="126">
        <f t="shared" si="27"/>
        <v>1.08</v>
      </c>
      <c r="G208" s="138">
        <f t="shared" si="32"/>
        <v>4.2615704468809322E-2</v>
      </c>
      <c r="H208" s="138">
        <f t="shared" si="33"/>
        <v>8.0730224930308098E-3</v>
      </c>
      <c r="I208" s="126">
        <f t="shared" si="28"/>
        <v>1.0800000000000001E-2</v>
      </c>
      <c r="J208" s="139">
        <f t="shared" si="34"/>
        <v>3.1815704468809325E-2</v>
      </c>
      <c r="K208" s="139">
        <f t="shared" si="35"/>
        <v>-2.7269775069691908E-3</v>
      </c>
      <c r="M208" s="127">
        <v>1033.670044</v>
      </c>
      <c r="N208" s="126">
        <f t="shared" si="29"/>
        <v>939.56292264400054</v>
      </c>
      <c r="O208" s="126">
        <f t="shared" si="30"/>
        <v>94.107121355999425</v>
      </c>
      <c r="P208" s="128">
        <f t="shared" si="31"/>
        <v>8856.1502899128027</v>
      </c>
    </row>
    <row r="209" spans="1:16">
      <c r="A209" s="131" t="d">
        <v>2017-10-30</v>
      </c>
      <c r="B209" s="127">
        <v>1033.130005</v>
      </c>
      <c r="C209" s="127">
        <v>2572.830078</v>
      </c>
      <c r="D209" s="130" t="d">
        <v>2017-10-30</v>
      </c>
      <c r="E209" s="129">
        <v>1.1000000000000001</v>
      </c>
      <c r="F209" s="126">
        <f t="shared" si="27"/>
        <v>1.1000000000000001</v>
      </c>
      <c r="G209" s="138">
        <f t="shared" si="32"/>
        <v>-5.2244814787336417E-4</v>
      </c>
      <c r="H209" s="138">
        <f t="shared" si="33"/>
        <v>-3.1924704804255763E-3</v>
      </c>
      <c r="I209" s="126">
        <f t="shared" si="28"/>
        <v>1.1000000000000001E-2</v>
      </c>
      <c r="J209" s="139">
        <f t="shared" si="34"/>
        <v>-1.1522448147873366E-2</v>
      </c>
      <c r="K209" s="139">
        <f t="shared" si="35"/>
        <v>-1.4192470480425576E-2</v>
      </c>
      <c r="M209" s="127">
        <v>1033.130005</v>
      </c>
      <c r="N209" s="126">
        <f t="shared" si="29"/>
        <v>939.56292264400054</v>
      </c>
      <c r="O209" s="126">
        <f t="shared" si="30"/>
        <v>93.567082355999446</v>
      </c>
      <c r="P209" s="128">
        <f t="shared" si="31"/>
        <v>8754.7989006143835</v>
      </c>
    </row>
    <row r="210" spans="1:16">
      <c r="A210" s="131" t="d">
        <v>2017-10-31</v>
      </c>
      <c r="B210" s="127">
        <v>1033.040039</v>
      </c>
      <c r="C210" s="127">
        <v>2575.26001</v>
      </c>
      <c r="D210" s="130" t="d">
        <v>2017-10-31</v>
      </c>
      <c r="E210" s="129">
        <v>1.1299999999999999</v>
      </c>
      <c r="F210" s="126">
        <f t="shared" si="27"/>
        <v>1.1299999999999999</v>
      </c>
      <c r="G210" s="138">
        <f t="shared" si="32"/>
        <v>-8.7081005841083858E-5</v>
      </c>
      <c r="H210" s="138">
        <f t="shared" si="33"/>
        <v>9.4445879686268501E-4</v>
      </c>
      <c r="I210" s="126">
        <f t="shared" si="28"/>
        <v>1.1299999999999999E-2</v>
      </c>
      <c r="J210" s="139">
        <f t="shared" si="34"/>
        <v>-1.1387081005841083E-2</v>
      </c>
      <c r="K210" s="139">
        <f t="shared" si="35"/>
        <v>-1.0355541203137314E-2</v>
      </c>
      <c r="M210" s="127">
        <v>1033.040039</v>
      </c>
      <c r="N210" s="126">
        <f t="shared" si="29"/>
        <v>939.56292264400054</v>
      </c>
      <c r="O210" s="126">
        <f t="shared" si="30"/>
        <v>93.477116355999442</v>
      </c>
      <c r="P210" s="128">
        <f t="shared" si="31"/>
        <v>8737.9712822330584</v>
      </c>
    </row>
    <row r="211" spans="1:16">
      <c r="A211" s="131" t="d">
        <v>2017-11-01</v>
      </c>
      <c r="B211" s="127">
        <v>1042.599976</v>
      </c>
      <c r="C211" s="127">
        <v>2579.360107</v>
      </c>
      <c r="D211" s="130" t="d">
        <v>2017-11-01</v>
      </c>
      <c r="E211" s="129">
        <v>1.1599999999999999</v>
      </c>
      <c r="F211" s="126">
        <f t="shared" si="27"/>
        <v>1.1599999999999999</v>
      </c>
      <c r="G211" s="138">
        <f t="shared" si="32"/>
        <v>9.2541785788420837E-3</v>
      </c>
      <c r="H211" s="138">
        <f t="shared" si="33"/>
        <v>1.5921099166992482E-3</v>
      </c>
      <c r="I211" s="126">
        <f t="shared" si="28"/>
        <v>1.1599999999999999E-2</v>
      </c>
      <c r="J211" s="139">
        <f t="shared" si="34"/>
        <v>-2.3458214211579155E-3</v>
      </c>
      <c r="K211" s="139">
        <f t="shared" si="35"/>
        <v>-1.000789008330075E-2</v>
      </c>
      <c r="M211" s="127">
        <v>1042.599976</v>
      </c>
      <c r="N211" s="126">
        <f t="shared" si="29"/>
        <v>939.56292264400054</v>
      </c>
      <c r="O211" s="126">
        <f t="shared" si="30"/>
        <v>103.03705335599943</v>
      </c>
      <c r="P211" s="128">
        <f t="shared" si="31"/>
        <v>10616.634364287074</v>
      </c>
    </row>
    <row r="212" spans="1:16">
      <c r="A212" s="131" t="d">
        <v>2017-11-02</v>
      </c>
      <c r="B212" s="127">
        <v>1042.969971</v>
      </c>
      <c r="C212" s="127">
        <v>2579.8500979999999</v>
      </c>
      <c r="D212" s="130" t="d">
        <v>2017-11-02</v>
      </c>
      <c r="E212" s="129">
        <v>1.1499999999999999</v>
      </c>
      <c r="F212" s="126">
        <f t="shared" si="27"/>
        <v>1.1499999999999999</v>
      </c>
      <c r="G212" s="138">
        <f t="shared" si="32"/>
        <v>3.5487723817098686E-4</v>
      </c>
      <c r="H212" s="138">
        <f t="shared" si="33"/>
        <v>1.8996610774515562E-4</v>
      </c>
      <c r="I212" s="126">
        <f t="shared" si="28"/>
        <v>1.15E-2</v>
      </c>
      <c r="J212" s="139">
        <f t="shared" si="34"/>
        <v>-1.1145122761829013E-2</v>
      </c>
      <c r="K212" s="139">
        <f t="shared" si="35"/>
        <v>-1.1310033892254844E-2</v>
      </c>
      <c r="M212" s="127">
        <v>1042.969971</v>
      </c>
      <c r="N212" s="126">
        <f t="shared" si="29"/>
        <v>939.56292264400054</v>
      </c>
      <c r="O212" s="126">
        <f t="shared" si="30"/>
        <v>103.40704835599945</v>
      </c>
      <c r="P212" s="128">
        <f t="shared" si="31"/>
        <v>10693.017649700008</v>
      </c>
    </row>
    <row r="213" spans="1:16">
      <c r="A213" s="131" t="d">
        <v>2017-11-03</v>
      </c>
      <c r="B213" s="127">
        <v>1049.98999</v>
      </c>
      <c r="C213" s="127">
        <v>2587.8400879999999</v>
      </c>
      <c r="D213" s="130" t="d">
        <v>2017-11-03</v>
      </c>
      <c r="E213" s="129">
        <v>1.1599999999999999</v>
      </c>
      <c r="F213" s="126">
        <f t="shared" si="27"/>
        <v>1.1599999999999999</v>
      </c>
      <c r="G213" s="138">
        <f t="shared" si="32"/>
        <v>6.7307968543612534E-3</v>
      </c>
      <c r="H213" s="138">
        <f t="shared" si="33"/>
        <v>3.0970752937134545E-3</v>
      </c>
      <c r="I213" s="126">
        <f t="shared" si="28"/>
        <v>1.1599999999999999E-2</v>
      </c>
      <c r="J213" s="139">
        <f t="shared" si="34"/>
        <v>-4.8692031456387458E-3</v>
      </c>
      <c r="K213" s="139">
        <f t="shared" si="35"/>
        <v>-8.5029247062865451E-3</v>
      </c>
      <c r="M213" s="127">
        <v>1049.98999</v>
      </c>
      <c r="N213" s="126">
        <f t="shared" si="29"/>
        <v>939.56292264400054</v>
      </c>
      <c r="O213" s="126">
        <f t="shared" si="30"/>
        <v>110.4270673559995</v>
      </c>
      <c r="P213" s="128">
        <f t="shared" si="31"/>
        <v>12194.137204846449</v>
      </c>
    </row>
    <row r="214" spans="1:16">
      <c r="A214" s="131" t="d">
        <v>2017-11-06</v>
      </c>
      <c r="B214" s="127">
        <v>1042.6800539999999</v>
      </c>
      <c r="C214" s="127">
        <v>2591.1298830000001</v>
      </c>
      <c r="D214" s="130" t="d">
        <v>2017-11-06</v>
      </c>
      <c r="E214" s="129">
        <v>1.17</v>
      </c>
      <c r="F214" s="126">
        <f t="shared" si="27"/>
        <v>1.17</v>
      </c>
      <c r="G214" s="138">
        <f t="shared" si="32"/>
        <v>-6.9619101797342917E-3</v>
      </c>
      <c r="H214" s="138">
        <f t="shared" si="33"/>
        <v>1.2712512706079312E-3</v>
      </c>
      <c r="I214" s="126">
        <f t="shared" si="28"/>
        <v>1.1699999999999999E-2</v>
      </c>
      <c r="J214" s="139">
        <f t="shared" si="34"/>
        <v>-1.866191017973429E-2</v>
      </c>
      <c r="K214" s="139">
        <f t="shared" si="35"/>
        <v>-1.0428748729392067E-2</v>
      </c>
      <c r="M214" s="127">
        <v>1042.6800539999999</v>
      </c>
      <c r="N214" s="126">
        <f t="shared" si="29"/>
        <v>939.56292264400054</v>
      </c>
      <c r="O214" s="126">
        <f t="shared" si="30"/>
        <v>103.11713135599939</v>
      </c>
      <c r="P214" s="128">
        <f t="shared" si="31"/>
        <v>10633.142779090433</v>
      </c>
    </row>
    <row r="215" spans="1:16">
      <c r="A215" s="131" t="d">
        <v>2017-11-07</v>
      </c>
      <c r="B215" s="127">
        <v>1052.3900149999999</v>
      </c>
      <c r="C215" s="127">
        <v>2590.639893</v>
      </c>
      <c r="D215" s="130" t="d">
        <v>2017-11-07</v>
      </c>
      <c r="E215" s="129">
        <v>1.2</v>
      </c>
      <c r="F215" s="126">
        <f t="shared" si="27"/>
        <v>1.2</v>
      </c>
      <c r="G215" s="138">
        <f t="shared" si="32"/>
        <v>9.3125028744436133E-3</v>
      </c>
      <c r="H215" s="138">
        <f t="shared" si="33"/>
        <v>-1.8910283240326255E-4</v>
      </c>
      <c r="I215" s="126">
        <f t="shared" si="28"/>
        <v>1.2E-2</v>
      </c>
      <c r="J215" s="139">
        <f t="shared" si="34"/>
        <v>-2.687497125556387E-3</v>
      </c>
      <c r="K215" s="139">
        <f t="shared" si="35"/>
        <v>-1.2189102832403263E-2</v>
      </c>
      <c r="M215" s="127">
        <v>1052.3900149999999</v>
      </c>
      <c r="N215" s="126">
        <f t="shared" si="29"/>
        <v>939.56292264400054</v>
      </c>
      <c r="O215" s="126">
        <f t="shared" si="30"/>
        <v>112.82709235599941</v>
      </c>
      <c r="P215" s="128">
        <f t="shared" si="31"/>
        <v>12729.95276950922</v>
      </c>
    </row>
    <row r="216" spans="1:16">
      <c r="A216" s="131" t="d">
        <v>2017-11-08</v>
      </c>
      <c r="B216" s="127">
        <v>1058.290039</v>
      </c>
      <c r="C216" s="127">
        <v>2594.3798830000001</v>
      </c>
      <c r="D216" s="130" t="d">
        <v>2017-11-08</v>
      </c>
      <c r="E216" s="129">
        <v>1.21</v>
      </c>
      <c r="F216" s="126">
        <f t="shared" si="27"/>
        <v>1.21</v>
      </c>
      <c r="G216" s="138">
        <f t="shared" si="32"/>
        <v>5.6063093681101017E-3</v>
      </c>
      <c r="H216" s="138">
        <f t="shared" si="33"/>
        <v>1.4436549093934741E-3</v>
      </c>
      <c r="I216" s="126">
        <f t="shared" si="28"/>
        <v>1.21E-2</v>
      </c>
      <c r="J216" s="139">
        <f t="shared" si="34"/>
        <v>-6.4936906318898979E-3</v>
      </c>
      <c r="K216" s="139">
        <f t="shared" si="35"/>
        <v>-1.0656345090606525E-2</v>
      </c>
      <c r="M216" s="127">
        <v>1058.290039</v>
      </c>
      <c r="N216" s="126">
        <f t="shared" si="29"/>
        <v>939.56292264400054</v>
      </c>
      <c r="O216" s="126">
        <f t="shared" si="30"/>
        <v>118.72711635599944</v>
      </c>
      <c r="P216" s="128">
        <f t="shared" si="31"/>
        <v>14096.12815821103</v>
      </c>
    </row>
    <row r="217" spans="1:16">
      <c r="A217" s="131" t="d">
        <v>2017-11-09</v>
      </c>
      <c r="B217" s="127">
        <v>1047.719971</v>
      </c>
      <c r="C217" s="127">
        <v>2584.6201169999999</v>
      </c>
      <c r="D217" s="130" t="d">
        <v>2017-11-09</v>
      </c>
      <c r="E217" s="129">
        <v>1.22</v>
      </c>
      <c r="F217" s="126">
        <f t="shared" si="27"/>
        <v>1.22</v>
      </c>
      <c r="G217" s="138">
        <f t="shared" si="32"/>
        <v>-9.9878744110526319E-3</v>
      </c>
      <c r="H217" s="138">
        <f t="shared" si="33"/>
        <v>-3.7618877882734979E-3</v>
      </c>
      <c r="I217" s="126">
        <f t="shared" si="28"/>
        <v>1.2199999999999999E-2</v>
      </c>
      <c r="J217" s="139">
        <f t="shared" si="34"/>
        <v>-2.2187874411052633E-2</v>
      </c>
      <c r="K217" s="139">
        <f t="shared" si="35"/>
        <v>-1.5961887788273496E-2</v>
      </c>
      <c r="M217" s="127">
        <v>1047.719971</v>
      </c>
      <c r="N217" s="126">
        <f t="shared" si="29"/>
        <v>939.56292264400054</v>
      </c>
      <c r="O217" s="126">
        <f t="shared" si="30"/>
        <v>108.15704835599945</v>
      </c>
      <c r="P217" s="128">
        <f t="shared" si="31"/>
        <v>11697.947109082002</v>
      </c>
    </row>
    <row r="218" spans="1:16">
      <c r="A218" s="131" t="d">
        <v>2017-11-10</v>
      </c>
      <c r="B218" s="127">
        <v>1044.150024</v>
      </c>
      <c r="C218" s="127">
        <v>2582.3000489999999</v>
      </c>
      <c r="D218" s="130" t="d">
        <v>2017-11-10</v>
      </c>
      <c r="E218" s="129">
        <v>1.21</v>
      </c>
      <c r="F218" s="126">
        <f t="shared" si="27"/>
        <v>1.21</v>
      </c>
      <c r="G218" s="138">
        <f t="shared" si="32"/>
        <v>-3.4073484316545079E-3</v>
      </c>
      <c r="H218" s="138">
        <f t="shared" si="33"/>
        <v>-8.9764371357324384E-4</v>
      </c>
      <c r="I218" s="126">
        <f t="shared" si="28"/>
        <v>1.21E-2</v>
      </c>
      <c r="J218" s="139">
        <f t="shared" si="34"/>
        <v>-1.5507348431654508E-2</v>
      </c>
      <c r="K218" s="139">
        <f t="shared" si="35"/>
        <v>-1.2997643713573244E-2</v>
      </c>
      <c r="M218" s="127">
        <v>1044.150024</v>
      </c>
      <c r="N218" s="126">
        <f t="shared" si="29"/>
        <v>939.56292264400054</v>
      </c>
      <c r="O218" s="126">
        <f t="shared" si="30"/>
        <v>104.58710135599949</v>
      </c>
      <c r="P218" s="128">
        <f t="shared" si="31"/>
        <v>10938.461770050111</v>
      </c>
    </row>
    <row r="219" spans="1:16">
      <c r="A219" s="131" t="d">
        <v>2017-11-13</v>
      </c>
      <c r="B219" s="127">
        <v>1041.1999510000001</v>
      </c>
      <c r="C219" s="127">
        <v>2584.8400879999999</v>
      </c>
      <c r="D219" s="130" t="d">
        <v>2017-11-13</v>
      </c>
      <c r="E219" s="129">
        <v>1.22</v>
      </c>
      <c r="F219" s="126">
        <f t="shared" si="27"/>
        <v>1.22</v>
      </c>
      <c r="G219" s="138">
        <f t="shared" si="32"/>
        <v>-2.8253344176525871E-3</v>
      </c>
      <c r="H219" s="138">
        <f t="shared" si="33"/>
        <v>9.8363433830379746E-4</v>
      </c>
      <c r="I219" s="126">
        <f t="shared" si="28"/>
        <v>1.2199999999999999E-2</v>
      </c>
      <c r="J219" s="139">
        <f t="shared" si="34"/>
        <v>-1.5025334417652586E-2</v>
      </c>
      <c r="K219" s="139">
        <f t="shared" si="35"/>
        <v>-1.1216365661696202E-2</v>
      </c>
      <c r="M219" s="127">
        <v>1041.1999510000001</v>
      </c>
      <c r="N219" s="126">
        <f t="shared" si="29"/>
        <v>939.56292264400054</v>
      </c>
      <c r="O219" s="126">
        <f t="shared" si="30"/>
        <v>101.63702835599952</v>
      </c>
      <c r="P219" s="128">
        <f t="shared" si="31"/>
        <v>10330.085533038251</v>
      </c>
    </row>
    <row r="220" spans="1:16">
      <c r="A220" s="131" t="d">
        <v>2017-11-14</v>
      </c>
      <c r="B220" s="127">
        <v>1041.6400149999999</v>
      </c>
      <c r="C220" s="127">
        <v>2578.8701169999999</v>
      </c>
      <c r="D220" s="130" t="d">
        <v>2017-11-14</v>
      </c>
      <c r="E220" s="129">
        <v>1.24</v>
      </c>
      <c r="F220" s="126">
        <f t="shared" si="27"/>
        <v>1.24</v>
      </c>
      <c r="G220" s="138">
        <f t="shared" si="32"/>
        <v>4.2265080744312576E-4</v>
      </c>
      <c r="H220" s="138">
        <f t="shared" si="33"/>
        <v>-2.3096094136404416E-3</v>
      </c>
      <c r="I220" s="126">
        <f t="shared" si="28"/>
        <v>1.24E-2</v>
      </c>
      <c r="J220" s="139">
        <f t="shared" si="34"/>
        <v>-1.1977349192556873E-2</v>
      </c>
      <c r="K220" s="139">
        <f t="shared" si="35"/>
        <v>-1.4709609413640442E-2</v>
      </c>
      <c r="M220" s="127">
        <v>1041.6400149999999</v>
      </c>
      <c r="N220" s="126">
        <f t="shared" si="29"/>
        <v>939.56292264400054</v>
      </c>
      <c r="O220" s="126">
        <f t="shared" si="30"/>
        <v>102.07709235599941</v>
      </c>
      <c r="P220" s="128">
        <f t="shared" si="31"/>
        <v>10419.732783855234</v>
      </c>
    </row>
    <row r="221" spans="1:16">
      <c r="A221" s="131" t="d">
        <v>2017-11-15</v>
      </c>
      <c r="B221" s="127">
        <v>1036.410034</v>
      </c>
      <c r="C221" s="127">
        <v>2564.6201169999999</v>
      </c>
      <c r="D221" s="130" t="d">
        <v>2017-11-15</v>
      </c>
      <c r="E221" s="129">
        <v>1.23</v>
      </c>
      <c r="F221" s="126">
        <f t="shared" si="27"/>
        <v>1.23</v>
      </c>
      <c r="G221" s="138">
        <f t="shared" si="32"/>
        <v>-5.0209102230005563E-3</v>
      </c>
      <c r="H221" s="138">
        <f t="shared" si="33"/>
        <v>-5.5256757236680949E-3</v>
      </c>
      <c r="I221" s="126">
        <f t="shared" si="28"/>
        <v>1.23E-2</v>
      </c>
      <c r="J221" s="139">
        <f t="shared" si="34"/>
        <v>-1.7320910223000557E-2</v>
      </c>
      <c r="K221" s="139">
        <f t="shared" si="35"/>
        <v>-1.7825675723668097E-2</v>
      </c>
      <c r="M221" s="127">
        <v>1036.410034</v>
      </c>
      <c r="N221" s="126">
        <f t="shared" si="29"/>
        <v>939.56292264400054</v>
      </c>
      <c r="O221" s="126">
        <f t="shared" si="30"/>
        <v>96.847111355999459</v>
      </c>
      <c r="P221" s="128">
        <f t="shared" si="31"/>
        <v>9379.3629780013598</v>
      </c>
    </row>
    <row r="222" spans="1:16">
      <c r="A222" s="131" t="d">
        <v>2017-11-16</v>
      </c>
      <c r="B222" s="127">
        <v>1048.469971</v>
      </c>
      <c r="C222" s="127">
        <v>2585.639893</v>
      </c>
      <c r="D222" s="130" t="d">
        <v>2017-11-16</v>
      </c>
      <c r="E222" s="129">
        <v>1.25</v>
      </c>
      <c r="F222" s="126">
        <f t="shared" si="27"/>
        <v>1.25</v>
      </c>
      <c r="G222" s="138">
        <f t="shared" si="32"/>
        <v>1.1636260364495844E-2</v>
      </c>
      <c r="H222" s="138">
        <f t="shared" si="33"/>
        <v>8.1960583014486638E-3</v>
      </c>
      <c r="I222" s="126">
        <f t="shared" si="28"/>
        <v>1.2500000000000001E-2</v>
      </c>
      <c r="J222" s="139">
        <f t="shared" si="34"/>
        <v>-8.6373963550415676E-4</v>
      </c>
      <c r="K222" s="139">
        <f t="shared" si="35"/>
        <v>-4.3039416985513369E-3</v>
      </c>
      <c r="M222" s="127">
        <v>1048.469971</v>
      </c>
      <c r="N222" s="126">
        <f t="shared" si="29"/>
        <v>939.56292264400054</v>
      </c>
      <c r="O222" s="126">
        <f t="shared" si="30"/>
        <v>108.90704835599945</v>
      </c>
      <c r="P222" s="128">
        <f t="shared" si="31"/>
        <v>11860.745181616003</v>
      </c>
    </row>
    <row r="223" spans="1:16">
      <c r="A223" s="131" t="d">
        <v>2017-11-17</v>
      </c>
      <c r="B223" s="127">
        <v>1035.8900149999999</v>
      </c>
      <c r="C223" s="127">
        <v>2578.8500979999999</v>
      </c>
      <c r="D223" s="130" t="d">
        <v>2017-11-17</v>
      </c>
      <c r="E223" s="129">
        <v>1.26</v>
      </c>
      <c r="F223" s="126">
        <f t="shared" si="27"/>
        <v>1.26</v>
      </c>
      <c r="G223" s="138">
        <f t="shared" si="32"/>
        <v>-1.1998394181954152E-2</v>
      </c>
      <c r="H223" s="138">
        <f t="shared" si="33"/>
        <v>-2.6259631197607532E-3</v>
      </c>
      <c r="I223" s="126">
        <f t="shared" si="28"/>
        <v>1.26E-2</v>
      </c>
      <c r="J223" s="139">
        <f t="shared" si="34"/>
        <v>-2.4598394181954152E-2</v>
      </c>
      <c r="K223" s="139">
        <f t="shared" si="35"/>
        <v>-1.5225963119760754E-2</v>
      </c>
      <c r="M223" s="127">
        <v>1035.8900149999999</v>
      </c>
      <c r="N223" s="126">
        <f t="shared" si="29"/>
        <v>939.56292264400054</v>
      </c>
      <c r="O223" s="126">
        <f t="shared" si="30"/>
        <v>96.327092355999412</v>
      </c>
      <c r="P223" s="128">
        <f t="shared" si="31"/>
        <v>9278.9087217612396</v>
      </c>
    </row>
    <row r="224" spans="1:16">
      <c r="A224" s="131" t="d">
        <v>2017-11-20</v>
      </c>
      <c r="B224" s="127">
        <v>1034.660034</v>
      </c>
      <c r="C224" s="127">
        <v>2582.139893</v>
      </c>
      <c r="D224" s="130" t="d">
        <v>2017-11-20</v>
      </c>
      <c r="E224" s="129">
        <v>1.28</v>
      </c>
      <c r="F224" s="126">
        <f t="shared" si="27"/>
        <v>1.28</v>
      </c>
      <c r="G224" s="138">
        <f t="shared" si="32"/>
        <v>-1.1873664020209255E-3</v>
      </c>
      <c r="H224" s="138">
        <f t="shared" si="33"/>
        <v>1.2756829109809469E-3</v>
      </c>
      <c r="I224" s="126">
        <f t="shared" si="28"/>
        <v>1.2800000000000001E-2</v>
      </c>
      <c r="J224" s="139">
        <f t="shared" si="34"/>
        <v>-1.3987366402020926E-2</v>
      </c>
      <c r="K224" s="139">
        <f t="shared" si="35"/>
        <v>-1.1524317089019053E-2</v>
      </c>
      <c r="M224" s="127">
        <v>1034.660034</v>
      </c>
      <c r="N224" s="126">
        <f t="shared" si="29"/>
        <v>939.56292264400054</v>
      </c>
      <c r="O224" s="126">
        <f t="shared" si="30"/>
        <v>95.097111355999459</v>
      </c>
      <c r="P224" s="128">
        <f t="shared" si="31"/>
        <v>9043.4605882553606</v>
      </c>
    </row>
    <row r="225" spans="1:16">
      <c r="A225" s="131" t="d">
        <v>2017-11-21</v>
      </c>
      <c r="B225" s="127">
        <v>1050.3000489999999</v>
      </c>
      <c r="C225" s="127">
        <v>2599.030029</v>
      </c>
      <c r="D225" s="130" t="d">
        <v>2017-11-21</v>
      </c>
      <c r="E225" s="129">
        <v>1.28</v>
      </c>
      <c r="F225" s="126">
        <f t="shared" si="27"/>
        <v>1.28</v>
      </c>
      <c r="G225" s="138">
        <f t="shared" si="32"/>
        <v>1.5116090779630857E-2</v>
      </c>
      <c r="H225" s="138">
        <f t="shared" si="33"/>
        <v>6.5411390164366989E-3</v>
      </c>
      <c r="I225" s="126">
        <f t="shared" si="28"/>
        <v>1.2800000000000001E-2</v>
      </c>
      <c r="J225" s="139">
        <f t="shared" si="34"/>
        <v>2.3160907796308562E-3</v>
      </c>
      <c r="K225" s="139">
        <f t="shared" si="35"/>
        <v>-6.2588609835633018E-3</v>
      </c>
      <c r="M225" s="127">
        <v>1050.3000489999999</v>
      </c>
      <c r="N225" s="126">
        <f t="shared" si="29"/>
        <v>939.56292264400054</v>
      </c>
      <c r="O225" s="126">
        <f t="shared" si="30"/>
        <v>110.73712635599941</v>
      </c>
      <c r="P225" s="128">
        <f t="shared" si="31"/>
        <v>12262.711153584578</v>
      </c>
    </row>
    <row r="226" spans="1:16">
      <c r="A226" s="131" t="d">
        <v>2017-11-22</v>
      </c>
      <c r="B226" s="127">
        <v>1051.920044</v>
      </c>
      <c r="C226" s="127">
        <v>2597.080078</v>
      </c>
      <c r="D226" s="130" t="d">
        <v>2017-11-22</v>
      </c>
      <c r="E226" s="129">
        <v>1.27</v>
      </c>
      <c r="F226" s="126">
        <f t="shared" si="27"/>
        <v>1.27</v>
      </c>
      <c r="G226" s="138">
        <f t="shared" si="32"/>
        <v>1.5424116199389201E-3</v>
      </c>
      <c r="H226" s="138">
        <f t="shared" si="33"/>
        <v>-7.5026105056212708E-4</v>
      </c>
      <c r="I226" s="126">
        <f t="shared" si="28"/>
        <v>1.2699999999999999E-2</v>
      </c>
      <c r="J226" s="139">
        <f t="shared" si="34"/>
        <v>-1.1157588380061079E-2</v>
      </c>
      <c r="K226" s="139">
        <f t="shared" si="35"/>
        <v>-1.3450261050562127E-2</v>
      </c>
      <c r="M226" s="127">
        <v>1051.920044</v>
      </c>
      <c r="N226" s="126">
        <f t="shared" si="29"/>
        <v>939.56292264400054</v>
      </c>
      <c r="O226" s="126">
        <f t="shared" si="30"/>
        <v>112.35712135599942</v>
      </c>
      <c r="P226" s="128">
        <f t="shared" si="31"/>
        <v>12624.122719406781</v>
      </c>
    </row>
    <row r="227" spans="1:16">
      <c r="A227" s="131" t="d">
        <v>2017-11-24</v>
      </c>
      <c r="B227" s="127">
        <v>1056.5200199999999</v>
      </c>
      <c r="C227" s="127">
        <v>2602.419922</v>
      </c>
      <c r="D227" s="130" t="d">
        <v>2017-11-24</v>
      </c>
      <c r="E227" s="129">
        <v>1.26</v>
      </c>
      <c r="F227" s="126">
        <f t="shared" si="27"/>
        <v>1.26</v>
      </c>
      <c r="G227" s="138">
        <f t="shared" si="32"/>
        <v>4.3729331200004868E-3</v>
      </c>
      <c r="H227" s="138">
        <f t="shared" si="33"/>
        <v>2.0560952452849568E-3</v>
      </c>
      <c r="I227" s="126">
        <f t="shared" si="28"/>
        <v>1.26E-2</v>
      </c>
      <c r="J227" s="139">
        <f t="shared" si="34"/>
        <v>-8.2270668799995124E-3</v>
      </c>
      <c r="K227" s="139">
        <f t="shared" si="35"/>
        <v>-1.0543904754715044E-2</v>
      </c>
      <c r="M227" s="127">
        <v>1056.5200199999999</v>
      </c>
      <c r="N227" s="126">
        <f t="shared" si="29"/>
        <v>939.56292264400054</v>
      </c>
      <c r="O227" s="126">
        <f t="shared" si="30"/>
        <v>116.95709735599939</v>
      </c>
      <c r="P227" s="128">
        <f t="shared" si="31"/>
        <v>13678.96262194072</v>
      </c>
    </row>
    <row r="228" spans="1:16">
      <c r="A228" s="131" t="d">
        <v>2017-11-27</v>
      </c>
      <c r="B228" s="127">
        <v>1072.01001</v>
      </c>
      <c r="C228" s="127">
        <v>2601.419922</v>
      </c>
      <c r="D228" s="130" t="d">
        <v>2017-11-27</v>
      </c>
      <c r="E228" s="129">
        <v>1.25</v>
      </c>
      <c r="F228" s="126">
        <f t="shared" si="27"/>
        <v>1.25</v>
      </c>
      <c r="G228" s="138">
        <f t="shared" si="32"/>
        <v>1.466133126374646E-2</v>
      </c>
      <c r="H228" s="138">
        <f t="shared" si="33"/>
        <v>-3.8425774086123829E-4</v>
      </c>
      <c r="I228" s="126">
        <f t="shared" si="28"/>
        <v>1.2500000000000001E-2</v>
      </c>
      <c r="J228" s="139">
        <f t="shared" si="34"/>
        <v>2.1613312637464594E-3</v>
      </c>
      <c r="K228" s="139">
        <f t="shared" si="35"/>
        <v>-1.2884257740861238E-2</v>
      </c>
      <c r="M228" s="127">
        <v>1072.01001</v>
      </c>
      <c r="N228" s="126">
        <f t="shared" si="29"/>
        <v>939.56292264400054</v>
      </c>
      <c r="O228" s="126">
        <f t="shared" si="30"/>
        <v>132.44708735599943</v>
      </c>
      <c r="P228" s="128">
        <f t="shared" si="31"/>
        <v>17542.230949087745</v>
      </c>
    </row>
    <row r="229" spans="1:16">
      <c r="A229" s="131" t="d">
        <v>2017-11-28</v>
      </c>
      <c r="B229" s="127">
        <v>1063.290039</v>
      </c>
      <c r="C229" s="127">
        <v>2627.040039</v>
      </c>
      <c r="D229" s="130" t="d">
        <v>2017-11-28</v>
      </c>
      <c r="E229" s="129">
        <v>1.28</v>
      </c>
      <c r="F229" s="126">
        <f t="shared" si="27"/>
        <v>1.28</v>
      </c>
      <c r="G229" s="138">
        <f t="shared" si="32"/>
        <v>-8.1342253511233423E-3</v>
      </c>
      <c r="H229" s="138">
        <f t="shared" si="33"/>
        <v>9.8485126462408701E-3</v>
      </c>
      <c r="I229" s="126">
        <f t="shared" si="28"/>
        <v>1.2800000000000001E-2</v>
      </c>
      <c r="J229" s="139">
        <f t="shared" si="34"/>
        <v>-2.0934225351123343E-2</v>
      </c>
      <c r="K229" s="139">
        <f t="shared" si="35"/>
        <v>-2.9514873537591305E-3</v>
      </c>
      <c r="M229" s="127">
        <v>1063.290039</v>
      </c>
      <c r="N229" s="126">
        <f t="shared" si="29"/>
        <v>939.56292264400054</v>
      </c>
      <c r="O229" s="126">
        <f t="shared" si="30"/>
        <v>123.72711635599944</v>
      </c>
      <c r="P229" s="128">
        <f t="shared" si="31"/>
        <v>15308.399321771025</v>
      </c>
    </row>
    <row r="230" spans="1:16">
      <c r="A230" s="131" t="d">
        <v>2017-11-29</v>
      </c>
      <c r="B230" s="127">
        <v>1037.380005</v>
      </c>
      <c r="C230" s="127">
        <v>2626.070068</v>
      </c>
      <c r="D230" s="130" t="d">
        <v>2017-11-29</v>
      </c>
      <c r="E230" s="129">
        <v>1.27</v>
      </c>
      <c r="F230" s="126">
        <f t="shared" si="27"/>
        <v>1.27</v>
      </c>
      <c r="G230" s="138">
        <f t="shared" si="32"/>
        <v>-2.4367795286004742E-2</v>
      </c>
      <c r="H230" s="138">
        <f t="shared" si="33"/>
        <v>-3.6922581521414976E-4</v>
      </c>
      <c r="I230" s="126">
        <f t="shared" si="28"/>
        <v>1.2699999999999999E-2</v>
      </c>
      <c r="J230" s="139">
        <f t="shared" si="34"/>
        <v>-3.7067795286004741E-2</v>
      </c>
      <c r="K230" s="139">
        <f t="shared" si="35"/>
        <v>-1.306922581521415E-2</v>
      </c>
      <c r="M230" s="127">
        <v>1037.380005</v>
      </c>
      <c r="N230" s="126">
        <f t="shared" si="29"/>
        <v>939.56292264400054</v>
      </c>
      <c r="O230" s="126">
        <f t="shared" si="30"/>
        <v>97.817082355999446</v>
      </c>
      <c r="P230" s="128">
        <f t="shared" si="31"/>
        <v>9568.1816006403787</v>
      </c>
    </row>
    <row r="231" spans="1:16">
      <c r="A231" s="131" t="d">
        <v>2017-11-30</v>
      </c>
      <c r="B231" s="127">
        <v>1036.170044</v>
      </c>
      <c r="C231" s="127">
        <v>2647.580078</v>
      </c>
      <c r="D231" s="130" t="d">
        <v>2017-11-30</v>
      </c>
      <c r="E231" s="129">
        <v>1.25</v>
      </c>
      <c r="F231" s="126">
        <f t="shared" si="27"/>
        <v>1.25</v>
      </c>
      <c r="G231" s="138">
        <f t="shared" si="32"/>
        <v>-1.1663623688216559E-3</v>
      </c>
      <c r="H231" s="138">
        <f t="shared" si="33"/>
        <v>8.1909505241731292E-3</v>
      </c>
      <c r="I231" s="126">
        <f t="shared" si="28"/>
        <v>1.2500000000000001E-2</v>
      </c>
      <c r="J231" s="139">
        <f t="shared" si="34"/>
        <v>-1.3666362368821657E-2</v>
      </c>
      <c r="K231" s="139">
        <f t="shared" si="35"/>
        <v>-4.3090494758268715E-3</v>
      </c>
      <c r="M231" s="127">
        <v>1036.170044</v>
      </c>
      <c r="N231" s="126">
        <f t="shared" si="29"/>
        <v>939.56292264400054</v>
      </c>
      <c r="O231" s="126">
        <f t="shared" si="30"/>
        <v>96.607121355999425</v>
      </c>
      <c r="P231" s="128">
        <f t="shared" si="31"/>
        <v>9332.9358966927994</v>
      </c>
    </row>
    <row r="232" spans="1:16">
      <c r="A232" s="131" t="d">
        <v>2017-12-01</v>
      </c>
      <c r="B232" s="127">
        <v>1025.0699460000001</v>
      </c>
      <c r="C232" s="127">
        <v>2642.219971</v>
      </c>
      <c r="D232" s="130" t="d">
        <v>2017-12-01</v>
      </c>
      <c r="E232" s="129">
        <v>1.25</v>
      </c>
      <c r="F232" s="126">
        <f t="shared" si="27"/>
        <v>1.25</v>
      </c>
      <c r="G232" s="138">
        <f t="shared" si="32"/>
        <v>-1.0712621991222021E-2</v>
      </c>
      <c r="H232" s="138">
        <f t="shared" si="33"/>
        <v>-2.0245306438659381E-3</v>
      </c>
      <c r="I232" s="126">
        <f t="shared" si="28"/>
        <v>1.2500000000000001E-2</v>
      </c>
      <c r="J232" s="139">
        <f t="shared" si="34"/>
        <v>-2.3212621991222024E-2</v>
      </c>
      <c r="K232" s="139">
        <f t="shared" si="35"/>
        <v>-1.4524530643865939E-2</v>
      </c>
      <c r="M232" s="127">
        <v>1025.0699460000001</v>
      </c>
      <c r="N232" s="126">
        <f t="shared" si="29"/>
        <v>939.56292264400054</v>
      </c>
      <c r="O232" s="126">
        <f t="shared" si="30"/>
        <v>85.507023355999536</v>
      </c>
      <c r="P232" s="128">
        <f t="shared" si="31"/>
        <v>7311.4510432034504</v>
      </c>
    </row>
    <row r="233" spans="1:16">
      <c r="A233" s="131" t="d">
        <v>2017-12-04</v>
      </c>
      <c r="B233" s="127">
        <v>1011.869995</v>
      </c>
      <c r="C233" s="127">
        <v>2639.4399410000001</v>
      </c>
      <c r="D233" s="130" t="d">
        <v>2017-12-04</v>
      </c>
      <c r="E233" s="129">
        <v>1.28</v>
      </c>
      <c r="F233" s="126">
        <f t="shared" si="27"/>
        <v>1.28</v>
      </c>
      <c r="G233" s="138">
        <f t="shared" si="32"/>
        <v>-1.2877122240788097E-2</v>
      </c>
      <c r="H233" s="138">
        <f t="shared" si="33"/>
        <v>-1.0521569099138026E-3</v>
      </c>
      <c r="I233" s="126">
        <f t="shared" si="28"/>
        <v>1.2800000000000001E-2</v>
      </c>
      <c r="J233" s="139">
        <f t="shared" si="34"/>
        <v>-2.5677122240788098E-2</v>
      </c>
      <c r="K233" s="139">
        <f t="shared" si="35"/>
        <v>-1.3852156909913803E-2</v>
      </c>
      <c r="M233" s="127">
        <v>1011.869995</v>
      </c>
      <c r="N233" s="126">
        <f t="shared" si="29"/>
        <v>939.56292264400054</v>
      </c>
      <c r="O233" s="126">
        <f t="shared" si="30"/>
        <v>72.30707235599948</v>
      </c>
      <c r="P233" s="128">
        <f t="shared" si="31"/>
        <v>5228.3127126957443</v>
      </c>
    </row>
    <row r="234" spans="1:16">
      <c r="A234" s="131" t="d">
        <v>2017-12-05</v>
      </c>
      <c r="B234" s="127">
        <v>1019.599976</v>
      </c>
      <c r="C234" s="127">
        <v>2629.570068</v>
      </c>
      <c r="D234" s="130" t="d">
        <v>2017-12-05</v>
      </c>
      <c r="E234" s="129">
        <v>1.28</v>
      </c>
      <c r="F234" s="126">
        <f t="shared" si="27"/>
        <v>1.28</v>
      </c>
      <c r="G234" s="138">
        <f t="shared" si="32"/>
        <v>7.6393025173159251E-3</v>
      </c>
      <c r="H234" s="138">
        <f t="shared" si="33"/>
        <v>-3.7393815432908528E-3</v>
      </c>
      <c r="I234" s="126">
        <f t="shared" si="28"/>
        <v>1.2800000000000001E-2</v>
      </c>
      <c r="J234" s="139">
        <f t="shared" si="34"/>
        <v>-5.1606974826840755E-3</v>
      </c>
      <c r="K234" s="139">
        <f t="shared" si="35"/>
        <v>-1.6539381543290852E-2</v>
      </c>
      <c r="M234" s="127">
        <v>1019.599976</v>
      </c>
      <c r="N234" s="126">
        <f t="shared" si="29"/>
        <v>939.56292264400054</v>
      </c>
      <c r="O234" s="126">
        <f t="shared" si="30"/>
        <v>80.037053355999433</v>
      </c>
      <c r="P234" s="128">
        <f t="shared" si="31"/>
        <v>6405.9299099111004</v>
      </c>
    </row>
    <row r="235" spans="1:16">
      <c r="A235" s="131" t="d">
        <v>2017-12-06</v>
      </c>
      <c r="B235" s="127">
        <v>1032.719971</v>
      </c>
      <c r="C235" s="127">
        <v>2629.2700199999999</v>
      </c>
      <c r="D235" s="130" t="d">
        <v>2017-12-06</v>
      </c>
      <c r="E235" s="129">
        <v>1.28</v>
      </c>
      <c r="F235" s="126">
        <f t="shared" si="27"/>
        <v>1.28</v>
      </c>
      <c r="G235" s="138">
        <f t="shared" si="32"/>
        <v>1.2867786689708609E-2</v>
      </c>
      <c r="H235" s="138">
        <f t="shared" si="33"/>
        <v>-1.1410534507196889E-4</v>
      </c>
      <c r="I235" s="126">
        <f t="shared" si="28"/>
        <v>1.2800000000000001E-2</v>
      </c>
      <c r="J235" s="139">
        <f t="shared" si="34"/>
        <v>6.7786689708608169E-5</v>
      </c>
      <c r="K235" s="139">
        <f t="shared" si="35"/>
        <v>-1.291410534507197E-2</v>
      </c>
      <c r="M235" s="127">
        <v>1032.719971</v>
      </c>
      <c r="N235" s="126">
        <f t="shared" si="29"/>
        <v>939.56292264400054</v>
      </c>
      <c r="O235" s="126">
        <f t="shared" si="30"/>
        <v>93.15704835599945</v>
      </c>
      <c r="P235" s="128">
        <f t="shared" si="31"/>
        <v>8678.2356584020199</v>
      </c>
    </row>
    <row r="236" spans="1:16">
      <c r="A236" s="131" t="d">
        <v>2017-12-07</v>
      </c>
      <c r="B236" s="127">
        <v>1044.5699460000001</v>
      </c>
      <c r="C236" s="127">
        <v>2636.9799800000001</v>
      </c>
      <c r="D236" s="130" t="d">
        <v>2017-12-07</v>
      </c>
      <c r="E236" s="129">
        <v>1.27</v>
      </c>
      <c r="F236" s="126">
        <f t="shared" si="27"/>
        <v>1.27</v>
      </c>
      <c r="G236" s="138">
        <f t="shared" si="32"/>
        <v>1.1474528751996107E-2</v>
      </c>
      <c r="H236" s="138">
        <f t="shared" si="33"/>
        <v>2.9323576282972025E-3</v>
      </c>
      <c r="I236" s="126">
        <f t="shared" si="28"/>
        <v>1.2699999999999999E-2</v>
      </c>
      <c r="J236" s="139">
        <f t="shared" si="34"/>
        <v>-1.2254712480038923E-3</v>
      </c>
      <c r="K236" s="139">
        <f t="shared" si="35"/>
        <v>-9.767642371702797E-3</v>
      </c>
      <c r="M236" s="127">
        <v>1044.5699460000001</v>
      </c>
      <c r="N236" s="126">
        <f t="shared" si="29"/>
        <v>939.56292264400054</v>
      </c>
      <c r="O236" s="126">
        <f t="shared" si="30"/>
        <v>105.00702335599954</v>
      </c>
      <c r="P236" s="128">
        <f t="shared" si="31"/>
        <v>11026.474954087433</v>
      </c>
    </row>
    <row r="237" spans="1:16">
      <c r="A237" s="131" t="d">
        <v>2017-12-08</v>
      </c>
      <c r="B237" s="127">
        <v>1049.380005</v>
      </c>
      <c r="C237" s="127">
        <v>2651.5</v>
      </c>
      <c r="D237" s="130" t="d">
        <v>2017-12-08</v>
      </c>
      <c r="E237" s="129">
        <v>1.26</v>
      </c>
      <c r="F237" s="126">
        <f t="shared" si="27"/>
        <v>1.26</v>
      </c>
      <c r="G237" s="138">
        <f t="shared" si="32"/>
        <v>4.6048223179493142E-3</v>
      </c>
      <c r="H237" s="138">
        <f t="shared" si="33"/>
        <v>5.5063064983906064E-3</v>
      </c>
      <c r="I237" s="126">
        <f t="shared" si="28"/>
        <v>1.26E-2</v>
      </c>
      <c r="J237" s="139">
        <f t="shared" si="34"/>
        <v>-7.9951776820506859E-3</v>
      </c>
      <c r="K237" s="139">
        <f t="shared" si="35"/>
        <v>-7.0936935016093937E-3</v>
      </c>
      <c r="M237" s="127">
        <v>1049.380005</v>
      </c>
      <c r="N237" s="126">
        <f t="shared" si="29"/>
        <v>939.56292264400054</v>
      </c>
      <c r="O237" s="126">
        <f t="shared" si="30"/>
        <v>109.81708235599945</v>
      </c>
      <c r="P237" s="128">
        <f t="shared" si="31"/>
        <v>12059.791577184365</v>
      </c>
    </row>
    <row r="238" spans="1:16">
      <c r="A238" s="131" t="d">
        <v>2017-12-11</v>
      </c>
      <c r="B238" s="127">
        <v>1051.969971</v>
      </c>
      <c r="C238" s="127">
        <v>2659.98999</v>
      </c>
      <c r="D238" s="130" t="d">
        <v>2017-12-11</v>
      </c>
      <c r="E238" s="129">
        <v>1.31</v>
      </c>
      <c r="F238" s="126">
        <f t="shared" si="27"/>
        <v>1.31</v>
      </c>
      <c r="G238" s="138">
        <f t="shared" si="32"/>
        <v>2.4680916233009451E-3</v>
      </c>
      <c r="H238" s="138">
        <f t="shared" si="33"/>
        <v>3.2019573826136279E-3</v>
      </c>
      <c r="I238" s="126">
        <f t="shared" si="28"/>
        <v>1.3100000000000001E-2</v>
      </c>
      <c r="J238" s="139">
        <f t="shared" si="34"/>
        <v>-1.0631908376699056E-2</v>
      </c>
      <c r="K238" s="139">
        <f t="shared" si="35"/>
        <v>-9.8980426173863722E-3</v>
      </c>
      <c r="M238" s="127">
        <v>1051.969971</v>
      </c>
      <c r="N238" s="126">
        <f t="shared" si="29"/>
        <v>939.56292264400054</v>
      </c>
      <c r="O238" s="126">
        <f t="shared" si="30"/>
        <v>112.40704835599945</v>
      </c>
      <c r="P238" s="128">
        <f t="shared" si="31"/>
        <v>12635.344520107999</v>
      </c>
    </row>
    <row r="239" spans="1:16">
      <c r="A239" s="131" t="d">
        <v>2017-12-12</v>
      </c>
      <c r="B239" s="127">
        <v>1048.7700199999999</v>
      </c>
      <c r="C239" s="127">
        <v>2664.110107</v>
      </c>
      <c r="D239" s="130" t="d">
        <v>2017-12-12</v>
      </c>
      <c r="E239" s="129">
        <v>1.32</v>
      </c>
      <c r="F239" s="126">
        <f t="shared" si="27"/>
        <v>1.32</v>
      </c>
      <c r="G239" s="138">
        <f t="shared" si="32"/>
        <v>-3.041865346173513E-3</v>
      </c>
      <c r="H239" s="138">
        <f t="shared" si="33"/>
        <v>1.5489219942515409E-3</v>
      </c>
      <c r="I239" s="126">
        <f t="shared" si="28"/>
        <v>1.32E-2</v>
      </c>
      <c r="J239" s="139">
        <f t="shared" si="34"/>
        <v>-1.6241865346173515E-2</v>
      </c>
      <c r="K239" s="139">
        <f t="shared" si="35"/>
        <v>-1.1651078005748459E-2</v>
      </c>
      <c r="M239" s="127">
        <v>1048.7700199999999</v>
      </c>
      <c r="N239" s="126">
        <f t="shared" si="29"/>
        <v>939.56292264400054</v>
      </c>
      <c r="O239" s="126">
        <f t="shared" si="30"/>
        <v>109.20709735599939</v>
      </c>
      <c r="P239" s="128">
        <f t="shared" si="31"/>
        <v>11926.19011292273</v>
      </c>
    </row>
    <row r="240" spans="1:16">
      <c r="A240" s="131" t="d">
        <v>2017-12-13</v>
      </c>
      <c r="B240" s="127">
        <v>1051.3900149999999</v>
      </c>
      <c r="C240" s="127">
        <v>2662.8500979999999</v>
      </c>
      <c r="D240" s="130" t="d">
        <v>2017-12-13</v>
      </c>
      <c r="E240" s="129">
        <v>1.28</v>
      </c>
      <c r="F240" s="126">
        <f t="shared" si="27"/>
        <v>1.28</v>
      </c>
      <c r="G240" s="138">
        <f t="shared" si="32"/>
        <v>2.4981597013995663E-3</v>
      </c>
      <c r="H240" s="138">
        <f t="shared" si="33"/>
        <v>-4.7295680335785833E-4</v>
      </c>
      <c r="I240" s="126">
        <f t="shared" si="28"/>
        <v>1.2800000000000001E-2</v>
      </c>
      <c r="J240" s="139">
        <f t="shared" si="34"/>
        <v>-1.0301840298600434E-2</v>
      </c>
      <c r="K240" s="139">
        <f t="shared" si="35"/>
        <v>-1.3272956803357858E-2</v>
      </c>
      <c r="M240" s="127">
        <v>1051.3900149999999</v>
      </c>
      <c r="N240" s="126">
        <f t="shared" si="29"/>
        <v>939.56292264400054</v>
      </c>
      <c r="O240" s="126">
        <f t="shared" si="30"/>
        <v>111.82709235599941</v>
      </c>
      <c r="P240" s="128">
        <f t="shared" si="31"/>
        <v>12505.298584797221</v>
      </c>
    </row>
    <row r="241" spans="1:16">
      <c r="A241" s="131" t="d">
        <v>2017-12-14</v>
      </c>
      <c r="B241" s="127">
        <v>1057.469971</v>
      </c>
      <c r="C241" s="127">
        <v>2652.01001</v>
      </c>
      <c r="D241" s="130" t="d">
        <v>2017-12-14</v>
      </c>
      <c r="E241" s="129">
        <v>1.3</v>
      </c>
      <c r="F241" s="126">
        <f t="shared" si="27"/>
        <v>1.3</v>
      </c>
      <c r="G241" s="138">
        <f t="shared" si="32"/>
        <v>5.7827789053142556E-3</v>
      </c>
      <c r="H241" s="138">
        <f t="shared" si="33"/>
        <v>-4.0708592677228218E-3</v>
      </c>
      <c r="I241" s="126">
        <f t="shared" si="28"/>
        <v>1.3000000000000001E-2</v>
      </c>
      <c r="J241" s="139">
        <f t="shared" si="34"/>
        <v>-7.2172210946857456E-3</v>
      </c>
      <c r="K241" s="139">
        <f t="shared" si="35"/>
        <v>-1.7070859267722824E-2</v>
      </c>
      <c r="M241" s="127">
        <v>1057.469971</v>
      </c>
      <c r="N241" s="126">
        <f t="shared" si="29"/>
        <v>939.56292264400054</v>
      </c>
      <c r="O241" s="126">
        <f t="shared" si="30"/>
        <v>117.90704835599945</v>
      </c>
      <c r="P241" s="128">
        <f t="shared" si="31"/>
        <v>13902.072052023992</v>
      </c>
    </row>
    <row r="242" spans="1:16">
      <c r="A242" s="131" t="d">
        <v>2017-12-15</v>
      </c>
      <c r="B242" s="127">
        <v>1072</v>
      </c>
      <c r="C242" s="127">
        <v>2675.8100589999999</v>
      </c>
      <c r="D242" s="130" t="d">
        <v>2017-12-15</v>
      </c>
      <c r="E242" s="129">
        <v>1.29</v>
      </c>
      <c r="F242" s="126">
        <f t="shared" si="27"/>
        <v>1.29</v>
      </c>
      <c r="G242" s="138">
        <f t="shared" si="32"/>
        <v>1.3740370316387938E-2</v>
      </c>
      <c r="H242" s="138">
        <f t="shared" si="33"/>
        <v>8.9743435772325561E-3</v>
      </c>
      <c r="I242" s="126">
        <f t="shared" si="28"/>
        <v>1.29E-2</v>
      </c>
      <c r="J242" s="139">
        <f t="shared" si="34"/>
        <v>8.4037031638793842E-4</v>
      </c>
      <c r="K242" s="139">
        <f t="shared" si="35"/>
        <v>-3.9256564227674439E-3</v>
      </c>
      <c r="M242" s="127">
        <v>1072</v>
      </c>
      <c r="N242" s="126">
        <f t="shared" si="29"/>
        <v>939.56292264400054</v>
      </c>
      <c r="O242" s="126">
        <f t="shared" si="30"/>
        <v>132.43707735599946</v>
      </c>
      <c r="P242" s="128">
        <f t="shared" si="31"/>
        <v>17539.579458598986</v>
      </c>
    </row>
    <row r="243" spans="1:16">
      <c r="A243" s="131" t="d">
        <v>2017-12-18</v>
      </c>
      <c r="B243" s="127">
        <v>1085.089966</v>
      </c>
      <c r="C243" s="127">
        <v>2690.1599120000001</v>
      </c>
      <c r="D243" s="130" t="d">
        <v>2017-12-18</v>
      </c>
      <c r="E243" s="129">
        <v>1.36</v>
      </c>
      <c r="F243" s="126">
        <f t="shared" si="27"/>
        <v>1.36</v>
      </c>
      <c r="G243" s="138">
        <f t="shared" si="32"/>
        <v>1.2210789179104481E-2</v>
      </c>
      <c r="H243" s="138">
        <f t="shared" si="33"/>
        <v>5.3628070317378856E-3</v>
      </c>
      <c r="I243" s="126">
        <f t="shared" si="28"/>
        <v>1.3600000000000001E-2</v>
      </c>
      <c r="J243" s="139">
        <f t="shared" si="34"/>
        <v>-1.3892108208955201E-3</v>
      </c>
      <c r="K243" s="139">
        <f t="shared" si="35"/>
        <v>-8.2371929682621154E-3</v>
      </c>
      <c r="M243" s="127">
        <v>1085.089966</v>
      </c>
      <c r="N243" s="126">
        <f t="shared" si="29"/>
        <v>939.56292264400054</v>
      </c>
      <c r="O243" s="126">
        <f t="shared" si="30"/>
        <v>145.52704335599947</v>
      </c>
      <c r="P243" s="128">
        <f t="shared" si="31"/>
        <v>21178.120347938948</v>
      </c>
    </row>
    <row r="244" spans="1:16">
      <c r="A244" s="131" t="d">
        <v>2017-12-19</v>
      </c>
      <c r="B244" s="127">
        <v>1079.780029</v>
      </c>
      <c r="C244" s="127">
        <v>2681.469971</v>
      </c>
      <c r="D244" s="130" t="d">
        <v>2017-12-19</v>
      </c>
      <c r="E244" s="129">
        <v>1.35</v>
      </c>
      <c r="F244" s="126">
        <f t="shared" si="27"/>
        <v>1.35</v>
      </c>
      <c r="G244" s="138">
        <f t="shared" si="32"/>
        <v>-4.893545389212447E-3</v>
      </c>
      <c r="H244" s="138">
        <f t="shared" si="33"/>
        <v>-3.2302693089867477E-3</v>
      </c>
      <c r="I244" s="126">
        <f t="shared" si="28"/>
        <v>1.3500000000000002E-2</v>
      </c>
      <c r="J244" s="139">
        <f t="shared" si="34"/>
        <v>-1.8393545389212448E-2</v>
      </c>
      <c r="K244" s="139">
        <f t="shared" si="35"/>
        <v>-1.6730269308986748E-2</v>
      </c>
      <c r="M244" s="127">
        <v>1079.780029</v>
      </c>
      <c r="N244" s="126">
        <f t="shared" si="29"/>
        <v>939.56292264400054</v>
      </c>
      <c r="O244" s="126">
        <f t="shared" si="30"/>
        <v>140.21710635599948</v>
      </c>
      <c r="P244" s="128">
        <f t="shared" si="31"/>
        <v>19660.836914849668</v>
      </c>
    </row>
    <row r="245" spans="1:16">
      <c r="A245" s="131" t="d">
        <v>2017-12-20</v>
      </c>
      <c r="B245" s="127">
        <v>1073.5600589999999</v>
      </c>
      <c r="C245" s="127">
        <v>2679.25</v>
      </c>
      <c r="D245" s="130" t="d">
        <v>2017-12-20</v>
      </c>
      <c r="E245" s="129">
        <v>1.36</v>
      </c>
      <c r="F245" s="126">
        <f t="shared" si="27"/>
        <v>1.36</v>
      </c>
      <c r="G245" s="138">
        <f t="shared" si="32"/>
        <v>-5.7604047425849391E-3</v>
      </c>
      <c r="H245" s="138">
        <f t="shared" si="33"/>
        <v>-8.2789329136961898E-4</v>
      </c>
      <c r="I245" s="126">
        <f t="shared" si="28"/>
        <v>1.3600000000000001E-2</v>
      </c>
      <c r="J245" s="139">
        <f t="shared" si="34"/>
        <v>-1.9360404742584939E-2</v>
      </c>
      <c r="K245" s="139">
        <f t="shared" si="35"/>
        <v>-1.442789329136962E-2</v>
      </c>
      <c r="M245" s="127">
        <v>1073.5600589999999</v>
      </c>
      <c r="N245" s="126">
        <f t="shared" si="29"/>
        <v>939.56292264400054</v>
      </c>
      <c r="O245" s="126">
        <f t="shared" si="30"/>
        <v>133.99713635599937</v>
      </c>
      <c r="P245" s="128">
        <f t="shared" si="31"/>
        <v>17955.232551608289</v>
      </c>
    </row>
    <row r="246" spans="1:16">
      <c r="A246" s="131" t="d">
        <v>2017-12-21</v>
      </c>
      <c r="B246" s="127">
        <v>1070.849976</v>
      </c>
      <c r="C246" s="127">
        <v>2684.570068</v>
      </c>
      <c r="D246" s="130" t="d">
        <v>2017-12-21</v>
      </c>
      <c r="E246" s="129">
        <v>1.33</v>
      </c>
      <c r="F246" s="126">
        <f t="shared" si="27"/>
        <v>1.33</v>
      </c>
      <c r="G246" s="138">
        <f t="shared" si="32"/>
        <v>-2.5243888101838751E-3</v>
      </c>
      <c r="H246" s="138">
        <f t="shared" si="33"/>
        <v>1.9856556872258997E-3</v>
      </c>
      <c r="I246" s="126">
        <f t="shared" si="28"/>
        <v>1.3300000000000001E-2</v>
      </c>
      <c r="J246" s="139">
        <f t="shared" si="34"/>
        <v>-1.5824388810183877E-2</v>
      </c>
      <c r="K246" s="139">
        <f t="shared" si="35"/>
        <v>-1.1314344312774102E-2</v>
      </c>
      <c r="M246" s="127">
        <v>1070.849976</v>
      </c>
      <c r="N246" s="126">
        <f t="shared" si="29"/>
        <v>939.56292264400054</v>
      </c>
      <c r="O246" s="126">
        <f t="shared" si="30"/>
        <v>131.28705335599943</v>
      </c>
      <c r="P246" s="128">
        <f t="shared" si="31"/>
        <v>17236.290378901042</v>
      </c>
    </row>
    <row r="247" spans="1:16">
      <c r="A247" s="131" t="d">
        <v>2017-12-22</v>
      </c>
      <c r="B247" s="127">
        <v>1068.8599850000001</v>
      </c>
      <c r="C247" s="127">
        <v>2683.3400879999999</v>
      </c>
      <c r="D247" s="130" t="d">
        <v>2017-12-22</v>
      </c>
      <c r="E247" s="129">
        <v>1.31</v>
      </c>
      <c r="F247" s="126">
        <f t="shared" si="27"/>
        <v>1.31</v>
      </c>
      <c r="G247" s="138">
        <f t="shared" si="32"/>
        <v>-1.8583284723348757E-3</v>
      </c>
      <c r="H247" s="138">
        <f t="shared" si="33"/>
        <v>-4.5816647315761875E-4</v>
      </c>
      <c r="I247" s="126">
        <f t="shared" si="28"/>
        <v>1.3100000000000001E-2</v>
      </c>
      <c r="J247" s="139">
        <f t="shared" si="34"/>
        <v>-1.4958328472334876E-2</v>
      </c>
      <c r="K247" s="139">
        <f t="shared" si="35"/>
        <v>-1.3558166473157619E-2</v>
      </c>
      <c r="M247" s="127">
        <v>1068.8599850000001</v>
      </c>
      <c r="N247" s="126">
        <f t="shared" si="29"/>
        <v>939.56292264400054</v>
      </c>
      <c r="O247" s="126">
        <f t="shared" si="30"/>
        <v>129.29706235599951</v>
      </c>
      <c r="P247" s="128">
        <f t="shared" si="31"/>
        <v>16717.730333891228</v>
      </c>
    </row>
    <row r="248" spans="1:16">
      <c r="A248" s="131" t="d">
        <v>2017-12-26</v>
      </c>
      <c r="B248" s="127">
        <v>1065.849976</v>
      </c>
      <c r="C248" s="127">
        <v>2680.5</v>
      </c>
      <c r="D248" s="130" t="d">
        <v>2017-12-26</v>
      </c>
      <c r="E248" s="129">
        <v>1.45</v>
      </c>
      <c r="F248" s="126">
        <f t="shared" si="27"/>
        <v>1.45</v>
      </c>
      <c r="G248" s="138">
        <f t="shared" si="32"/>
        <v>-2.8160928861043306E-3</v>
      </c>
      <c r="H248" s="138">
        <f t="shared" si="33"/>
        <v>-1.0584152238849284E-3</v>
      </c>
      <c r="I248" s="126">
        <f t="shared" si="28"/>
        <v>1.4499999999999999E-2</v>
      </c>
      <c r="J248" s="139">
        <f t="shared" si="34"/>
        <v>-1.731609288610433E-2</v>
      </c>
      <c r="K248" s="139">
        <f t="shared" si="35"/>
        <v>-1.5558415223884927E-2</v>
      </c>
      <c r="M248" s="127">
        <v>1065.849976</v>
      </c>
      <c r="N248" s="126">
        <f t="shared" si="29"/>
        <v>939.56292264400054</v>
      </c>
      <c r="O248" s="126">
        <f t="shared" si="30"/>
        <v>126.28705335599943</v>
      </c>
      <c r="P248" s="128">
        <f t="shared" si="31"/>
        <v>15948.419845341048</v>
      </c>
    </row>
    <row r="249" spans="1:16">
      <c r="A249" s="131" t="d">
        <v>2017-12-27</v>
      </c>
      <c r="B249" s="127">
        <v>1060.1999510000001</v>
      </c>
      <c r="C249" s="127">
        <v>2682.6201169999999</v>
      </c>
      <c r="D249" s="130" t="d">
        <v>2017-12-27</v>
      </c>
      <c r="E249" s="129">
        <v>1.42</v>
      </c>
      <c r="F249" s="126">
        <f t="shared" si="27"/>
        <v>1.42</v>
      </c>
      <c r="G249" s="138">
        <f t="shared" si="32"/>
        <v>-5.3009571020527137E-3</v>
      </c>
      <c r="H249" s="138">
        <f t="shared" si="33"/>
        <v>7.9094086924078955E-4</v>
      </c>
      <c r="I249" s="126">
        <f t="shared" si="28"/>
        <v>1.4199999999999999E-2</v>
      </c>
      <c r="J249" s="139">
        <f t="shared" si="34"/>
        <v>-1.9500957102052713E-2</v>
      </c>
      <c r="K249" s="139">
        <f t="shared" si="35"/>
        <v>-1.340905913075921E-2</v>
      </c>
      <c r="M249" s="127">
        <v>1060.1999510000001</v>
      </c>
      <c r="N249" s="126">
        <f t="shared" si="29"/>
        <v>939.56292264400054</v>
      </c>
      <c r="O249" s="126">
        <f t="shared" si="30"/>
        <v>120.63702835599952</v>
      </c>
      <c r="P249" s="128">
        <f t="shared" si="31"/>
        <v>14553.292610566232</v>
      </c>
    </row>
    <row r="250" spans="1:16">
      <c r="A250" s="131" t="d">
        <v>2017-12-28</v>
      </c>
      <c r="B250" s="127">
        <v>1055.9499510000001</v>
      </c>
      <c r="C250" s="127">
        <v>2687.540039</v>
      </c>
      <c r="D250" s="130" t="d">
        <v>2017-12-28</v>
      </c>
      <c r="E250" s="129">
        <v>1.37</v>
      </c>
      <c r="F250" s="126">
        <f t="shared" si="27"/>
        <v>1.37</v>
      </c>
      <c r="G250" s="138">
        <f t="shared" si="32"/>
        <v>-4.008677793270337E-3</v>
      </c>
      <c r="H250" s="138">
        <f t="shared" si="33"/>
        <v>1.8339987718805444E-3</v>
      </c>
      <c r="I250" s="126">
        <f t="shared" si="28"/>
        <v>1.37E-2</v>
      </c>
      <c r="J250" s="139">
        <f t="shared" si="34"/>
        <v>-1.7708677793270337E-2</v>
      </c>
      <c r="K250" s="139">
        <f t="shared" si="35"/>
        <v>-1.1866001228119457E-2</v>
      </c>
      <c r="M250" s="127">
        <v>1055.9499510000001</v>
      </c>
      <c r="N250" s="126">
        <f t="shared" si="29"/>
        <v>939.56292264400054</v>
      </c>
      <c r="O250" s="126">
        <f t="shared" si="30"/>
        <v>116.38702835599952</v>
      </c>
      <c r="P250" s="128">
        <f t="shared" si="31"/>
        <v>13545.940369540236</v>
      </c>
    </row>
    <row r="251" spans="1:16">
      <c r="A251" s="131" t="d">
        <v>2017-12-29</v>
      </c>
      <c r="B251" s="127">
        <v>1053.400024</v>
      </c>
      <c r="C251" s="127">
        <v>2673.610107</v>
      </c>
      <c r="D251" s="130" t="d">
        <v>2017-12-29</v>
      </c>
      <c r="E251" s="129">
        <v>1.37</v>
      </c>
      <c r="F251" s="126">
        <f t="shared" si="27"/>
        <v>1.37</v>
      </c>
      <c r="G251" s="138">
        <f>(B251-B250)/B250</f>
        <v>-2.4148180485118703E-3</v>
      </c>
      <c r="H251" s="138">
        <f t="shared" si="33"/>
        <v>-5.1831532918047846E-3</v>
      </c>
      <c r="I251" s="126">
        <f t="shared" si="28"/>
        <v>1.37E-2</v>
      </c>
      <c r="J251" s="139">
        <f t="shared" si="34"/>
        <v>-1.6114818048511871E-2</v>
      </c>
      <c r="K251" s="139">
        <f t="shared" si="35"/>
        <v>-1.8883153291804785E-2</v>
      </c>
      <c r="M251" s="127">
        <v>1053.400024</v>
      </c>
      <c r="N251" s="126">
        <f t="shared" si="29"/>
        <v>939.56292264400054</v>
      </c>
      <c r="O251" s="126">
        <f t="shared" si="30"/>
        <v>113.83710135599949</v>
      </c>
      <c r="P251" s="128">
        <f t="shared" si="31"/>
        <v>12958.885645136103</v>
      </c>
    </row>
    <row r="252" spans="1:16">
      <c r="B252" s="235"/>
      <c r="C252" s="235">
        <f>(C251-C2)/C2</f>
        <v>0.18415027466030595</v>
      </c>
      <c r="E252" s="236"/>
      <c r="G252" s="139"/>
      <c r="H252" s="139"/>
      <c r="I252" s="138">
        <v>1.37E-2</v>
      </c>
      <c r="K252" s="139">
        <f>AVERAGE(K3:K251)</f>
        <v>-8.6696119485703965E-3</v>
      </c>
    </row>
    <row r="253" spans="1:16">
      <c r="C253" s="260">
        <f>C252-I252</f>
        <v>0.17045027466030596</v>
      </c>
      <c r="J253" s="138"/>
      <c r="K253" s="139"/>
    </row>
    <row r="254" spans="1:16">
      <c r="F254" s="237"/>
      <c r="J254" s="238"/>
    </row>
  </sheetData>
  <pageMargins left="0.75" right="0.75" top="1" bottom="1" header="0.5" footer="0.5"/>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499984740745262"/>
  </sheetPr>
  <dimension ref="A1:Q18"/>
  <sheetViews>
    <sheetView zoomScale="90" workbookViewId="0">
      <selection activeCell="R5" sqref="R5"/>
    </sheetView>
  </sheetViews>
  <sheetFormatPr baseColWidth="10" defaultColWidth="11.5" defaultRowHeight="13"/>
  <cols>
    <col min="1" max="1" width="17.1640625" bestFit="1" customWidth="1"/>
    <col min="2" max="2" width="12.1640625" bestFit="1" customWidth="1"/>
    <col min="3" max="3" width="12.83203125" bestFit="1" customWidth="1"/>
    <col min="4" max="6" width="12.33203125" bestFit="1" customWidth="1"/>
    <col min="7" max="9" width="12.1640625" bestFit="1" customWidth="1"/>
    <col min="13" max="16" width="10.83203125" style="105"/>
  </cols>
  <sheetData>
    <row r="1" spans="1:17" ht="16">
      <c r="A1" t="s">
        <v>169</v>
      </c>
      <c r="K1" s="154" t="s">
        <v>161</v>
      </c>
      <c r="L1" s="154" t="s">
        <v>204</v>
      </c>
      <c r="M1" s="157" t="s">
        <v>200</v>
      </c>
      <c r="N1" s="157" t="s">
        <v>201</v>
      </c>
      <c r="O1" s="157" t="s">
        <v>202</v>
      </c>
      <c r="P1" s="157" t="s">
        <v>203</v>
      </c>
      <c r="Q1" s="154"/>
    </row>
    <row r="2" spans="1:17" ht="17" thickBot="1">
      <c r="K2" s="155" t="d">
        <v>2017-01-01</v>
      </c>
      <c r="L2" s="154">
        <v>36829400</v>
      </c>
      <c r="M2" s="158">
        <v>800.61999500000002</v>
      </c>
      <c r="N2" s="158">
        <v>867</v>
      </c>
      <c r="O2" s="158">
        <v>796.89001499999995</v>
      </c>
      <c r="P2" s="158">
        <v>820.19000200000005</v>
      </c>
      <c r="Q2" s="154"/>
    </row>
    <row r="3" spans="1:17" ht="16">
      <c r="A3" s="143" t="s">
        <v>170</v>
      </c>
      <c r="B3" s="143"/>
      <c r="K3" s="155" t="d">
        <v>2017-02-01</v>
      </c>
      <c r="L3" s="154">
        <v>26423800</v>
      </c>
      <c r="M3" s="158">
        <v>824</v>
      </c>
      <c r="N3" s="158">
        <v>853.78997800000002</v>
      </c>
      <c r="O3" s="158">
        <v>812.04998799999998</v>
      </c>
      <c r="P3" s="158">
        <v>844.92999299999997</v>
      </c>
      <c r="Q3" s="154"/>
    </row>
    <row r="4" spans="1:17" ht="16">
      <c r="A4" s="140" t="s">
        <v>171</v>
      </c>
      <c r="B4" s="140">
        <v>0.58406016906846503</v>
      </c>
      <c r="K4" s="155" t="d">
        <v>2017-03-01</v>
      </c>
      <c r="L4" s="154">
        <v>34550100</v>
      </c>
      <c r="M4" s="158">
        <v>851.38000499999998</v>
      </c>
      <c r="N4" s="158">
        <v>874.419983</v>
      </c>
      <c r="O4" s="158">
        <v>824.29998799999998</v>
      </c>
      <c r="P4" s="158">
        <v>847.79998799999998</v>
      </c>
      <c r="Q4" s="154"/>
    </row>
    <row r="5" spans="1:17" ht="16">
      <c r="A5" s="140" t="s">
        <v>172</v>
      </c>
      <c r="B5" s="140">
        <v>0.34112628109228399</v>
      </c>
      <c r="K5" s="155" t="d">
        <v>2017-04-01</v>
      </c>
      <c r="L5" s="154">
        <v>28673500</v>
      </c>
      <c r="M5" s="158">
        <v>848.75</v>
      </c>
      <c r="N5" s="158">
        <v>935.90002400000003</v>
      </c>
      <c r="O5" s="158">
        <v>834.59997599999997</v>
      </c>
      <c r="P5" s="158">
        <v>924.52002000000005</v>
      </c>
      <c r="Q5" s="154"/>
    </row>
    <row r="6" spans="1:17" ht="16">
      <c r="A6" s="140" t="s">
        <v>173</v>
      </c>
      <c r="B6" s="140">
        <v>0.33845877615743492</v>
      </c>
      <c r="K6" s="155" t="d">
        <v>2017-05-01</v>
      </c>
      <c r="L6" s="154">
        <v>35359300</v>
      </c>
      <c r="M6" s="158">
        <v>924.15002400000003</v>
      </c>
      <c r="N6" s="158">
        <v>999.59997599999997</v>
      </c>
      <c r="O6" s="158">
        <v>920.79998799999998</v>
      </c>
      <c r="P6" s="158">
        <v>987.09002699999996</v>
      </c>
      <c r="Q6" s="154"/>
    </row>
    <row r="7" spans="1:17" ht="16">
      <c r="A7" s="140" t="s">
        <v>174</v>
      </c>
      <c r="B7" s="140">
        <v>8.1377127419961538E-3</v>
      </c>
      <c r="K7" s="155" t="d">
        <v>2017-06-01</v>
      </c>
      <c r="L7" s="154">
        <v>44077300</v>
      </c>
      <c r="M7" s="158">
        <v>990.96002199999998</v>
      </c>
      <c r="N7" s="158">
        <v>1008.6099850000001</v>
      </c>
      <c r="O7" s="158">
        <v>929.59997599999997</v>
      </c>
      <c r="P7" s="158">
        <v>929.67999299999997</v>
      </c>
      <c r="Q7" s="154"/>
    </row>
    <row r="8" spans="1:17" ht="17" thickBot="1">
      <c r="A8" s="141" t="s">
        <v>175</v>
      </c>
      <c r="B8" s="141">
        <v>249</v>
      </c>
      <c r="K8" s="155" t="d">
        <v>2017-07-01</v>
      </c>
      <c r="L8" s="154">
        <v>41908600</v>
      </c>
      <c r="M8" s="158">
        <v>933.21997099999999</v>
      </c>
      <c r="N8" s="158">
        <v>1006.190002</v>
      </c>
      <c r="O8" s="158">
        <v>915.30999799999995</v>
      </c>
      <c r="P8" s="158">
        <v>945.5</v>
      </c>
      <c r="Q8" s="154"/>
    </row>
    <row r="9" spans="1:17" ht="16">
      <c r="K9" s="155" t="d">
        <v>2017-08-01</v>
      </c>
      <c r="L9" s="154">
        <v>38053000</v>
      </c>
      <c r="M9" s="158">
        <v>947.80999799999995</v>
      </c>
      <c r="N9" s="158">
        <v>957.20001200000002</v>
      </c>
      <c r="O9" s="158">
        <v>918.59997599999997</v>
      </c>
      <c r="P9" s="158">
        <v>944.27002000000005</v>
      </c>
      <c r="Q9" s="154"/>
    </row>
    <row r="10" spans="1:17" ht="17" thickBot="1">
      <c r="A10" t="s">
        <v>176</v>
      </c>
      <c r="K10" s="155" t="d">
        <v>2017-09-01</v>
      </c>
      <c r="L10" s="154">
        <v>29626200</v>
      </c>
      <c r="M10" s="158">
        <v>957.46997099999999</v>
      </c>
      <c r="N10" s="158">
        <v>975.80999799999995</v>
      </c>
      <c r="O10" s="158">
        <v>924.51000999999997</v>
      </c>
      <c r="P10" s="158">
        <v>973.71997099999999</v>
      </c>
      <c r="Q10" s="154"/>
    </row>
    <row r="11" spans="1:17" ht="16">
      <c r="A11" s="142"/>
      <c r="B11" s="142" t="s">
        <v>181</v>
      </c>
      <c r="C11" s="142" t="s">
        <v>182</v>
      </c>
      <c r="D11" s="142" t="s">
        <v>183</v>
      </c>
      <c r="E11" s="142" t="s">
        <v>184</v>
      </c>
      <c r="F11" s="142" t="s">
        <v>185</v>
      </c>
      <c r="K11" s="155" t="d">
        <v>2017-10-01</v>
      </c>
      <c r="L11" s="154">
        <v>36853800</v>
      </c>
      <c r="M11" s="158">
        <v>975.65002400000003</v>
      </c>
      <c r="N11" s="158">
        <v>1063.619995</v>
      </c>
      <c r="O11" s="158">
        <v>961.95001200000002</v>
      </c>
      <c r="P11" s="158">
        <v>1033.040039</v>
      </c>
      <c r="Q11" s="154"/>
    </row>
    <row r="12" spans="1:17" ht="16">
      <c r="A12" s="140" t="s">
        <v>177</v>
      </c>
      <c r="B12" s="140">
        <v>1</v>
      </c>
      <c r="C12" s="140">
        <v>8.4686592533793521E-3</v>
      </c>
      <c r="D12" s="140">
        <v>8.4686592533793521E-3</v>
      </c>
      <c r="E12" s="140">
        <v>127.88215558131195</v>
      </c>
      <c r="F12" s="140">
        <v>3.6095899457291391E-24</v>
      </c>
      <c r="K12" s="155" t="d">
        <v>2017-11-01</v>
      </c>
      <c r="L12" s="154">
        <v>28686000</v>
      </c>
      <c r="M12" s="158">
        <v>1036.3199460000001</v>
      </c>
      <c r="N12" s="158">
        <v>1080</v>
      </c>
      <c r="O12" s="158">
        <v>1028.660034</v>
      </c>
      <c r="P12" s="158">
        <v>1036.170044</v>
      </c>
      <c r="Q12" s="154"/>
    </row>
    <row r="13" spans="1:17" ht="16">
      <c r="A13" s="140" t="s">
        <v>178</v>
      </c>
      <c r="B13" s="140">
        <v>247</v>
      </c>
      <c r="C13" s="140">
        <v>1.6356925061797901E-2</v>
      </c>
      <c r="D13" s="140">
        <v>6.6222368671246571E-5</v>
      </c>
      <c r="E13" s="140"/>
      <c r="F13" s="140"/>
      <c r="K13" s="155" t="d">
        <v>2017-12-01</v>
      </c>
      <c r="L13" s="154">
        <v>29940500</v>
      </c>
      <c r="M13" s="158">
        <v>1030.410034</v>
      </c>
      <c r="N13" s="158">
        <v>1086.48999</v>
      </c>
      <c r="O13" s="158">
        <v>1002.320007</v>
      </c>
      <c r="P13" s="158">
        <v>1053.400024</v>
      </c>
      <c r="Q13" s="154"/>
    </row>
    <row r="14" spans="1:17" ht="14" thickBot="1">
      <c r="A14" s="141" t="s">
        <v>179</v>
      </c>
      <c r="B14" s="141">
        <v>248</v>
      </c>
      <c r="C14" s="141">
        <v>2.4825584315177254E-2</v>
      </c>
      <c r="D14" s="141"/>
      <c r="E14" s="141"/>
      <c r="F14" s="141"/>
    </row>
    <row r="15" spans="1:17" ht="14" thickBot="1"/>
    <row r="16" spans="1:17">
      <c r="A16" s="142"/>
      <c r="B16" s="142" t="s">
        <v>186</v>
      </c>
      <c r="C16" s="142" t="s">
        <v>174</v>
      </c>
      <c r="D16" s="142" t="s">
        <v>187</v>
      </c>
      <c r="E16" s="142" t="s">
        <v>188</v>
      </c>
      <c r="F16" s="142" t="s">
        <v>189</v>
      </c>
      <c r="G16" s="142" t="s">
        <v>190</v>
      </c>
      <c r="H16" s="142" t="s">
        <v>191</v>
      </c>
      <c r="I16" s="142" t="s">
        <v>192</v>
      </c>
    </row>
    <row r="17" spans="1:9">
      <c r="A17" s="144" t="s">
        <v>180</v>
      </c>
      <c r="B17" s="144">
        <v>2.1992750502350562E-3</v>
      </c>
      <c r="C17" s="140">
        <v>1.0578757882401687E-3</v>
      </c>
      <c r="D17" s="140">
        <v>2.0789539515727689</v>
      </c>
      <c r="E17" s="140">
        <v>3.8653783760912344E-2</v>
      </c>
      <c r="F17" s="140">
        <v>1.1566728856609275E-4</v>
      </c>
      <c r="G17" s="140">
        <v>4.2828828119040197E-3</v>
      </c>
      <c r="H17" s="140">
        <v>1.1566728856609275E-4</v>
      </c>
      <c r="I17" s="140">
        <v>4.2828828119040197E-3</v>
      </c>
    </row>
    <row r="18" spans="1:9" ht="14" thickBot="1">
      <c r="A18" s="145" t="s">
        <v>193</v>
      </c>
      <c r="B18" s="145">
        <v>1.2048069859208699</v>
      </c>
      <c r="C18" s="141">
        <v>0.10653995352527972</v>
      </c>
      <c r="D18" s="141">
        <v>11.308499263001783</v>
      </c>
      <c r="E18" s="141">
        <v>3.6095899457292162E-24</v>
      </c>
      <c r="F18" s="141">
        <v>0.9949643214409396</v>
      </c>
      <c r="G18" s="141">
        <v>1.4146496504008002</v>
      </c>
      <c r="H18" s="141">
        <v>0.9949643214409396</v>
      </c>
      <c r="I18" s="141">
        <v>1.4146496504008002</v>
      </c>
    </row>
  </sheetData>
  <pageMargins left="0.7" right="0.7" top="0.75" bottom="0.75" header="0.3" footer="0.3"/>
  <drawing r:id="rId1"/>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L252"/>
  <sheetViews>
    <sheetView zoomScale="80" zoomScaleNormal="80" workbookViewId="0">
      <pane ySplit="1" topLeftCell="A2" activePane="bottomLeft" state="frozen"/>
      <selection pane="bottomLeft" activeCell="P27" sqref="P27"/>
    </sheetView>
  </sheetViews>
  <sheetFormatPr baseColWidth="10" defaultColWidth="11.5" defaultRowHeight="16"/>
  <cols>
    <col min="1" max="1" width="10.83203125" style="156" bestFit="1" customWidth="1"/>
    <col min="2" max="2" width="13.83203125" style="156" bestFit="1" customWidth="1"/>
    <col min="3" max="3" width="11.6640625" style="156" bestFit="1" customWidth="1"/>
    <col min="4" max="4" width="8.6640625" style="156" bestFit="1" customWidth="1"/>
    <col min="5" max="5" width="8.83203125" style="156" bestFit="1" customWidth="1"/>
    <col min="6" max="6" width="13" style="156" bestFit="1" customWidth="1"/>
    <col min="7" max="7" width="8.6640625" style="156" bestFit="1" customWidth="1"/>
    <col min="8" max="8" width="7.83203125" style="156" bestFit="1" customWidth="1"/>
    <col min="9" max="9" width="12" style="156" bestFit="1" customWidth="1"/>
    <col min="10" max="10" width="10.33203125" bestFit="1" customWidth="1"/>
    <col min="12" max="12" width="14.5" style="31" bestFit="1" customWidth="1"/>
  </cols>
  <sheetData>
    <row r="1" spans="1:12" s="17" customFormat="1" ht="17" thickBot="1">
      <c r="A1" s="166" t="s">
        <v>209</v>
      </c>
      <c r="B1" s="167" t="s">
        <v>210</v>
      </c>
      <c r="C1" s="173" t="s">
        <v>211</v>
      </c>
      <c r="D1" s="168" t="s">
        <v>205</v>
      </c>
      <c r="E1" s="169" t="s">
        <v>206</v>
      </c>
      <c r="F1" s="177" t="s">
        <v>212</v>
      </c>
      <c r="G1" s="170" t="s">
        <v>207</v>
      </c>
      <c r="H1" s="171" t="s">
        <v>208</v>
      </c>
      <c r="I1" s="178" t="s">
        <v>213</v>
      </c>
      <c r="J1" s="172" t="s">
        <v>140</v>
      </c>
      <c r="K1" s="181" t="s">
        <v>162</v>
      </c>
      <c r="L1" s="184" t="s">
        <v>214</v>
      </c>
    </row>
    <row r="2" spans="1:12">
      <c r="A2" s="159">
        <v>82.896439000000001</v>
      </c>
      <c r="B2" s="160"/>
      <c r="C2" s="176">
        <f>AVERAGE(B3:B252)</f>
        <v>9.8032841642503696E-4</v>
      </c>
      <c r="D2" s="159">
        <v>53.109969999999997</v>
      </c>
      <c r="E2" s="160"/>
      <c r="F2" s="176">
        <f>AVERAGE(E3:E252)</f>
        <v>2.8058910979362334E-4</v>
      </c>
      <c r="G2" s="159">
        <v>78.867630000000005</v>
      </c>
      <c r="H2" s="160"/>
      <c r="I2" s="176">
        <f>AVERAGE(H3:H252)</f>
        <v>4.9542991715443598E-4</v>
      </c>
      <c r="J2" s="164">
        <v>808.01000999999997</v>
      </c>
      <c r="K2" s="179"/>
      <c r="L2" s="186">
        <f>AVERAGE(K3:K251)</f>
        <v>3.0811492308589154E-4</v>
      </c>
    </row>
    <row r="3" spans="1:12">
      <c r="A3" s="159">
        <v>83.049332000000007</v>
      </c>
      <c r="B3" s="161">
        <f>(A3-A2)/A2</f>
        <v>1.8443856195078047E-3</v>
      </c>
      <c r="C3" s="174"/>
      <c r="D3" s="159">
        <v>53.724072</v>
      </c>
      <c r="E3" s="161">
        <f>(D3-D2)/D2</f>
        <v>1.1562838389854158E-2</v>
      </c>
      <c r="F3" s="174"/>
      <c r="G3" s="159">
        <v>79.148635999999996</v>
      </c>
      <c r="H3" s="161">
        <f>(G3-G2)/G2</f>
        <v>3.5630080427165207E-3</v>
      </c>
      <c r="I3" s="174"/>
      <c r="J3" s="164">
        <v>807.77002000000005</v>
      </c>
      <c r="K3" s="180">
        <f>(D3-D2)/D2</f>
        <v>1.1562838389854158E-2</v>
      </c>
      <c r="L3" s="183"/>
    </row>
    <row r="4" spans="1:12">
      <c r="A4" s="159">
        <v>82.284858999999997</v>
      </c>
      <c r="B4" s="161">
        <f t="shared" ref="B4:B67" si="0">(A4-A3)/A3</f>
        <v>-9.2050469472771852E-3</v>
      </c>
      <c r="C4" s="174"/>
      <c r="D4" s="159">
        <v>54.175055999999998</v>
      </c>
      <c r="E4" s="161">
        <f t="shared" ref="E4:E67" si="1">(D4-D3)/D3</f>
        <v>8.394449326179115E-3</v>
      </c>
      <c r="F4" s="174"/>
      <c r="G4" s="159">
        <v>79.673148999999995</v>
      </c>
      <c r="H4" s="161">
        <f t="shared" ref="H4:H67" si="2">(G4-G3)/G3</f>
        <v>6.6269366916190311E-3</v>
      </c>
      <c r="I4" s="174"/>
      <c r="J4" s="164">
        <v>813.02002000000005</v>
      </c>
      <c r="K4" s="180">
        <f t="shared" ref="K4:K67" si="3">(D4-D3)/D3</f>
        <v>8.394449326179115E-3</v>
      </c>
      <c r="L4" s="183"/>
    </row>
    <row r="5" spans="1:12">
      <c r="A5" s="159">
        <v>82.294426000000001</v>
      </c>
      <c r="B5" s="161">
        <f t="shared" si="0"/>
        <v>1.1626683348882084E-4</v>
      </c>
      <c r="C5" s="174"/>
      <c r="D5" s="159">
        <v>54.817936000000003</v>
      </c>
      <c r="E5" s="161">
        <f t="shared" si="1"/>
        <v>1.186671592919083E-2</v>
      </c>
      <c r="F5" s="174"/>
      <c r="G5" s="159">
        <v>79.645058000000006</v>
      </c>
      <c r="H5" s="161">
        <f t="shared" si="2"/>
        <v>-3.5257800592253746E-4</v>
      </c>
      <c r="I5" s="174"/>
      <c r="J5" s="164">
        <v>825.21002199999998</v>
      </c>
      <c r="K5" s="180">
        <f>(D5-D4)/D4</f>
        <v>1.186671592919083E-2</v>
      </c>
      <c r="L5" s="183"/>
    </row>
    <row r="6" spans="1:12">
      <c r="A6" s="159">
        <v>82.351746000000006</v>
      </c>
      <c r="B6" s="161">
        <f t="shared" si="0"/>
        <v>6.9652348021729019E-4</v>
      </c>
      <c r="C6" s="174"/>
      <c r="D6" s="159">
        <v>55.844631</v>
      </c>
      <c r="E6" s="161">
        <f t="shared" si="1"/>
        <v>1.8729180171978686E-2</v>
      </c>
      <c r="F6" s="174"/>
      <c r="G6" s="159">
        <v>79.054962000000003</v>
      </c>
      <c r="H6" s="161">
        <f t="shared" si="2"/>
        <v>-7.4090723871404873E-3</v>
      </c>
      <c r="I6" s="174"/>
      <c r="J6" s="164">
        <v>827.17999299999997</v>
      </c>
      <c r="K6" s="180">
        <f>(D6-D5)/D5</f>
        <v>1.8729180171978686E-2</v>
      </c>
      <c r="L6" s="183"/>
    </row>
    <row r="7" spans="1:12">
      <c r="A7" s="159">
        <v>82.590644999999995</v>
      </c>
      <c r="B7" s="161">
        <f t="shared" si="0"/>
        <v>2.9009585297680184E-3</v>
      </c>
      <c r="C7" s="174"/>
      <c r="D7" s="159">
        <v>55.537582</v>
      </c>
      <c r="E7" s="161">
        <f>(D7-D6)/D6</f>
        <v>-5.498272519698433E-3</v>
      </c>
      <c r="F7" s="174"/>
      <c r="G7" s="159">
        <v>78.202590999999998</v>
      </c>
      <c r="H7" s="161">
        <f t="shared" si="2"/>
        <v>-1.0782005056178575E-2</v>
      </c>
      <c r="I7" s="174"/>
      <c r="J7" s="164">
        <v>826.01000999999997</v>
      </c>
      <c r="K7" s="180">
        <f t="shared" si="3"/>
        <v>-5.498272519698433E-3</v>
      </c>
      <c r="L7" s="183"/>
    </row>
    <row r="8" spans="1:12">
      <c r="A8" s="159">
        <v>83.211769000000004</v>
      </c>
      <c r="B8" s="161">
        <f t="shared" si="0"/>
        <v>7.5205127650959614E-3</v>
      </c>
      <c r="C8" s="174"/>
      <c r="D8" s="159">
        <v>55.74868</v>
      </c>
      <c r="E8" s="161">
        <f t="shared" si="1"/>
        <v>3.8009937126899005E-3</v>
      </c>
      <c r="F8" s="174"/>
      <c r="G8" s="159">
        <v>78.446135999999996</v>
      </c>
      <c r="H8" s="161">
        <f t="shared" si="2"/>
        <v>3.1142830037434112E-3</v>
      </c>
      <c r="I8" s="174"/>
      <c r="J8" s="164">
        <v>829.85998500000005</v>
      </c>
      <c r="K8" s="180">
        <f t="shared" si="3"/>
        <v>3.8009937126899005E-3</v>
      </c>
      <c r="L8" s="183"/>
    </row>
    <row r="9" spans="1:12">
      <c r="A9" s="159">
        <v>82.409087999999997</v>
      </c>
      <c r="B9" s="161">
        <f t="shared" si="0"/>
        <v>-9.6462436701713044E-3</v>
      </c>
      <c r="C9" s="174"/>
      <c r="D9" s="159">
        <v>55.681514999999997</v>
      </c>
      <c r="E9" s="161">
        <f t="shared" si="1"/>
        <v>-1.2047818890062116E-3</v>
      </c>
      <c r="F9" s="174"/>
      <c r="G9" s="159">
        <v>78.530417999999997</v>
      </c>
      <c r="H9" s="161">
        <f t="shared" si="2"/>
        <v>1.0743932626586191E-3</v>
      </c>
      <c r="I9" s="174"/>
      <c r="J9" s="164">
        <v>829.53002900000001</v>
      </c>
      <c r="K9" s="180">
        <f t="shared" si="3"/>
        <v>-1.2047818890062116E-3</v>
      </c>
      <c r="L9" s="183"/>
    </row>
    <row r="10" spans="1:12">
      <c r="A10" s="159">
        <v>82.848647999999997</v>
      </c>
      <c r="B10" s="161">
        <f t="shared" si="0"/>
        <v>5.333877739309531E-3</v>
      </c>
      <c r="C10" s="174"/>
      <c r="D10" s="159">
        <v>55.508792999999997</v>
      </c>
      <c r="E10" s="161">
        <f t="shared" si="1"/>
        <v>-3.1019630123210597E-3</v>
      </c>
      <c r="F10" s="174"/>
      <c r="G10" s="159">
        <v>78.689667</v>
      </c>
      <c r="H10" s="161">
        <f t="shared" si="2"/>
        <v>2.0278639036405313E-3</v>
      </c>
      <c r="I10" s="174"/>
      <c r="J10" s="164">
        <v>830.94000200000005</v>
      </c>
      <c r="K10" s="180">
        <f t="shared" si="3"/>
        <v>-3.1019630123210597E-3</v>
      </c>
      <c r="L10" s="183"/>
    </row>
    <row r="11" spans="1:12">
      <c r="A11" s="159">
        <v>79.838577000000001</v>
      </c>
      <c r="B11" s="161">
        <f t="shared" si="0"/>
        <v>-3.6332168027654432E-2</v>
      </c>
      <c r="C11" s="174"/>
      <c r="D11" s="159">
        <v>55.652724999999997</v>
      </c>
      <c r="E11" s="161">
        <f t="shared" si="1"/>
        <v>2.5929585606374022E-3</v>
      </c>
      <c r="F11" s="174"/>
      <c r="G11" s="159">
        <v>79.813666999999995</v>
      </c>
      <c r="H11" s="161">
        <f t="shared" si="2"/>
        <v>1.4283959290360134E-2</v>
      </c>
      <c r="I11" s="174"/>
      <c r="J11" s="164">
        <v>827.46002199999998</v>
      </c>
      <c r="K11" s="180">
        <f t="shared" si="3"/>
        <v>2.5929585606374022E-3</v>
      </c>
      <c r="L11" s="183"/>
    </row>
    <row r="12" spans="1:12">
      <c r="A12" s="159">
        <v>80.211265999999995</v>
      </c>
      <c r="B12" s="161">
        <f t="shared" si="0"/>
        <v>4.6680315958035432E-3</v>
      </c>
      <c r="C12" s="174"/>
      <c r="D12" s="159">
        <v>56.084518000000003</v>
      </c>
      <c r="E12" s="161">
        <f t="shared" si="1"/>
        <v>7.7587036393996179E-3</v>
      </c>
      <c r="F12" s="174"/>
      <c r="G12" s="159">
        <v>80.181388999999996</v>
      </c>
      <c r="H12" s="161">
        <f t="shared" si="2"/>
        <v>4.6072560480149415E-3</v>
      </c>
      <c r="I12" s="174"/>
      <c r="J12" s="164">
        <v>829.02002000000005</v>
      </c>
      <c r="K12" s="180">
        <f t="shared" si="3"/>
        <v>7.7587036393996179E-3</v>
      </c>
      <c r="L12" s="183"/>
    </row>
    <row r="13" spans="1:12">
      <c r="A13" s="159">
        <v>79.599686000000005</v>
      </c>
      <c r="B13" s="161">
        <f t="shared" si="0"/>
        <v>-7.6246147268139294E-3</v>
      </c>
      <c r="C13" s="174"/>
      <c r="D13" s="159">
        <v>55.547179999999997</v>
      </c>
      <c r="E13" s="161">
        <f t="shared" si="1"/>
        <v>-9.5808615133325271E-3</v>
      </c>
      <c r="F13" s="174"/>
      <c r="G13" s="159">
        <v>79.964241000000001</v>
      </c>
      <c r="H13" s="161">
        <f t="shared" si="2"/>
        <v>-2.7082095073208893E-3</v>
      </c>
      <c r="I13" s="174"/>
      <c r="J13" s="164">
        <v>824.36999500000002</v>
      </c>
      <c r="K13" s="180">
        <f t="shared" si="3"/>
        <v>-9.5808615133325271E-3</v>
      </c>
      <c r="L13" s="183"/>
    </row>
    <row r="14" spans="1:12">
      <c r="A14" s="159">
        <v>79.953247000000005</v>
      </c>
      <c r="B14" s="161">
        <f t="shared" si="0"/>
        <v>4.4417386269588943E-3</v>
      </c>
      <c r="C14" s="174"/>
      <c r="D14" s="159">
        <v>55.326484999999998</v>
      </c>
      <c r="E14" s="161">
        <f t="shared" si="1"/>
        <v>-3.9731089859107015E-3</v>
      </c>
      <c r="F14" s="174"/>
      <c r="G14" s="159">
        <v>82.560492999999994</v>
      </c>
      <c r="H14" s="161">
        <f t="shared" si="2"/>
        <v>3.2467662639353918E-2</v>
      </c>
      <c r="I14" s="174"/>
      <c r="J14" s="164">
        <v>828.169983</v>
      </c>
      <c r="K14" s="180">
        <f t="shared" si="3"/>
        <v>-3.9731089859107015E-3</v>
      </c>
      <c r="L14" s="183"/>
    </row>
    <row r="15" spans="1:12">
      <c r="A15" s="159">
        <v>79.991470000000007</v>
      </c>
      <c r="B15" s="161">
        <f t="shared" si="0"/>
        <v>4.7806688826536483E-4</v>
      </c>
      <c r="C15" s="174"/>
      <c r="D15" s="159">
        <v>55.422440000000002</v>
      </c>
      <c r="E15" s="161">
        <f t="shared" si="1"/>
        <v>1.7343411568619183E-3</v>
      </c>
      <c r="F15" s="174"/>
      <c r="G15" s="159">
        <v>82.097892999999999</v>
      </c>
      <c r="H15" s="161">
        <f t="shared" si="2"/>
        <v>-5.6031642156012173E-3</v>
      </c>
      <c r="I15" s="174"/>
      <c r="J15" s="164">
        <v>844.42999299999997</v>
      </c>
      <c r="K15" s="180">
        <f t="shared" si="3"/>
        <v>1.7343411568619183E-3</v>
      </c>
      <c r="L15" s="183"/>
    </row>
    <row r="16" spans="1:12">
      <c r="A16" s="159">
        <v>80.956612000000007</v>
      </c>
      <c r="B16" s="161">
        <f t="shared" si="0"/>
        <v>1.2065561490493926E-2</v>
      </c>
      <c r="C16" s="174"/>
      <c r="D16" s="159">
        <v>56.074916999999999</v>
      </c>
      <c r="E16" s="161">
        <f t="shared" si="1"/>
        <v>1.1772794557583489E-2</v>
      </c>
      <c r="F16" s="174"/>
      <c r="G16" s="159">
        <v>82.947570999999996</v>
      </c>
      <c r="H16" s="161">
        <f t="shared" si="2"/>
        <v>1.0349571334309363E-2</v>
      </c>
      <c r="I16" s="174"/>
      <c r="J16" s="164">
        <v>849.53002900000001</v>
      </c>
      <c r="K16" s="180">
        <f t="shared" si="3"/>
        <v>1.1772794557583489E-2</v>
      </c>
      <c r="L16" s="183"/>
    </row>
    <row r="17" spans="1:12">
      <c r="A17" s="159">
        <v>82.208411999999996</v>
      </c>
      <c r="B17" s="161">
        <f t="shared" si="0"/>
        <v>1.5462603598085213E-2</v>
      </c>
      <c r="C17" s="174"/>
      <c r="D17" s="159">
        <v>56.324401999999999</v>
      </c>
      <c r="E17" s="161">
        <f t="shared" si="1"/>
        <v>4.4491372140595406E-3</v>
      </c>
      <c r="F17" s="174"/>
      <c r="G17" s="159">
        <v>82.286697000000004</v>
      </c>
      <c r="H17" s="161">
        <f t="shared" si="2"/>
        <v>-7.967370135528052E-3</v>
      </c>
      <c r="I17" s="174"/>
      <c r="J17" s="164">
        <v>858.45001200000002</v>
      </c>
      <c r="K17" s="180">
        <f t="shared" si="3"/>
        <v>4.4491372140595406E-3</v>
      </c>
      <c r="L17" s="183"/>
    </row>
    <row r="18" spans="1:12">
      <c r="A18" s="159">
        <v>82.896439000000001</v>
      </c>
      <c r="B18" s="161">
        <f t="shared" si="0"/>
        <v>8.3693016719506193E-3</v>
      </c>
      <c r="C18" s="174"/>
      <c r="D18" s="159">
        <v>56.094112000000003</v>
      </c>
      <c r="E18" s="161">
        <f t="shared" si="1"/>
        <v>-4.0886363959975382E-3</v>
      </c>
      <c r="F18" s="174"/>
      <c r="G18" s="159">
        <v>81.758026000000001</v>
      </c>
      <c r="H18" s="161">
        <f t="shared" si="2"/>
        <v>-6.424744451706486E-3</v>
      </c>
      <c r="I18" s="174"/>
      <c r="J18" s="164">
        <v>856.97997999999995</v>
      </c>
      <c r="K18" s="180">
        <f t="shared" si="3"/>
        <v>-4.0886363959975382E-3</v>
      </c>
      <c r="L18" s="183"/>
    </row>
    <row r="19" spans="1:12">
      <c r="A19" s="159">
        <v>83.068436000000005</v>
      </c>
      <c r="B19" s="161">
        <f t="shared" si="0"/>
        <v>2.0748418397080314E-3</v>
      </c>
      <c r="C19" s="174"/>
      <c r="D19" s="159">
        <v>53.848812000000002</v>
      </c>
      <c r="E19" s="161">
        <f t="shared" si="1"/>
        <v>-4.0027373996044363E-2</v>
      </c>
      <c r="F19" s="174"/>
      <c r="G19" s="159">
        <v>81.871307000000002</v>
      </c>
      <c r="H19" s="161">
        <f t="shared" si="2"/>
        <v>1.3855642747539016E-3</v>
      </c>
      <c r="I19" s="174"/>
      <c r="J19" s="164">
        <v>845.03002900000001</v>
      </c>
      <c r="K19" s="180">
        <f t="shared" si="3"/>
        <v>-4.0027373996044363E-2</v>
      </c>
      <c r="L19" s="183"/>
    </row>
    <row r="20" spans="1:12">
      <c r="A20" s="159">
        <v>82.208411999999996</v>
      </c>
      <c r="B20" s="161">
        <f t="shared" si="0"/>
        <v>-1.0353198415821984E-2</v>
      </c>
      <c r="C20" s="174"/>
      <c r="D20" s="159">
        <v>53.637718</v>
      </c>
      <c r="E20" s="161">
        <f t="shared" si="1"/>
        <v>-3.9201236231544492E-3</v>
      </c>
      <c r="F20" s="174"/>
      <c r="G20" s="159">
        <v>81.899635000000004</v>
      </c>
      <c r="H20" s="161">
        <f t="shared" si="2"/>
        <v>3.4600644643430336E-4</v>
      </c>
      <c r="I20" s="174"/>
      <c r="J20" s="164">
        <v>823.830017</v>
      </c>
      <c r="K20" s="180">
        <f t="shared" si="3"/>
        <v>-3.9201236231544492E-3</v>
      </c>
      <c r="L20" s="183"/>
    </row>
    <row r="21" spans="1:12">
      <c r="A21" s="159">
        <v>80.870598000000001</v>
      </c>
      <c r="B21" s="161">
        <f t="shared" si="0"/>
        <v>-1.6273444133673261E-2</v>
      </c>
      <c r="C21" s="174"/>
      <c r="D21" s="159">
        <v>52.985236999999998</v>
      </c>
      <c r="E21" s="161">
        <f t="shared" si="1"/>
        <v>-1.2164592833722003E-2</v>
      </c>
      <c r="F21" s="174"/>
      <c r="G21" s="159">
        <v>82.702102999999994</v>
      </c>
      <c r="H21" s="161">
        <f t="shared" si="2"/>
        <v>9.7981877452810433E-3</v>
      </c>
      <c r="I21" s="174"/>
      <c r="J21" s="164">
        <v>820.19000200000005</v>
      </c>
      <c r="K21" s="180">
        <f t="shared" si="3"/>
        <v>-1.2164592833722003E-2</v>
      </c>
      <c r="L21" s="183"/>
    </row>
    <row r="22" spans="1:12">
      <c r="A22" s="159">
        <v>81.176392000000007</v>
      </c>
      <c r="B22" s="161">
        <f t="shared" si="0"/>
        <v>3.7812753653683369E-3</v>
      </c>
      <c r="C22" s="174"/>
      <c r="D22" s="159">
        <v>51.718657999999998</v>
      </c>
      <c r="E22" s="161">
        <f t="shared" si="1"/>
        <v>-2.3904375477267377E-2</v>
      </c>
      <c r="F22" s="174"/>
      <c r="G22" s="159">
        <v>82.447204999999997</v>
      </c>
      <c r="H22" s="161">
        <f t="shared" si="2"/>
        <v>-3.0821223494159177E-3</v>
      </c>
      <c r="I22" s="174"/>
      <c r="J22" s="164">
        <v>815.23999000000003</v>
      </c>
      <c r="K22" s="180">
        <f t="shared" si="3"/>
        <v>-2.3904375477267377E-2</v>
      </c>
      <c r="L22" s="183"/>
    </row>
    <row r="23" spans="1:12">
      <c r="A23" s="159">
        <v>80.832367000000005</v>
      </c>
      <c r="B23" s="161">
        <f t="shared" si="0"/>
        <v>-4.2379932333036184E-3</v>
      </c>
      <c r="C23" s="174"/>
      <c r="D23" s="159">
        <v>51.689864999999998</v>
      </c>
      <c r="E23" s="161">
        <f t="shared" si="1"/>
        <v>-5.5672364893923369E-4</v>
      </c>
      <c r="F23" s="174"/>
      <c r="G23" s="159">
        <v>82.853172000000001</v>
      </c>
      <c r="H23" s="161">
        <f t="shared" si="2"/>
        <v>4.9239631592120558E-3</v>
      </c>
      <c r="I23" s="174"/>
      <c r="J23" s="164">
        <v>818.26000999999997</v>
      </c>
      <c r="K23" s="180">
        <f t="shared" si="3"/>
        <v>-5.5672364893923369E-4</v>
      </c>
      <c r="L23" s="183"/>
    </row>
    <row r="24" spans="1:12">
      <c r="A24" s="159">
        <v>83.307334999999995</v>
      </c>
      <c r="B24" s="161">
        <f t="shared" si="0"/>
        <v>3.061852685818281E-2</v>
      </c>
      <c r="C24" s="174"/>
      <c r="D24" s="159">
        <v>52.831707000000002</v>
      </c>
      <c r="E24" s="161">
        <f t="shared" si="1"/>
        <v>2.2090249220035767E-2</v>
      </c>
      <c r="F24" s="174"/>
      <c r="G24" s="159">
        <v>82.522728000000001</v>
      </c>
      <c r="H24" s="161">
        <f t="shared" si="2"/>
        <v>-3.98830837762011E-3</v>
      </c>
      <c r="I24" s="174"/>
      <c r="J24" s="164">
        <v>820.13000499999998</v>
      </c>
      <c r="K24" s="180">
        <f t="shared" si="3"/>
        <v>2.2090249220035767E-2</v>
      </c>
      <c r="L24" s="183"/>
    </row>
    <row r="25" spans="1:12">
      <c r="A25" s="159">
        <v>82.915535000000006</v>
      </c>
      <c r="B25" s="161">
        <f t="shared" si="0"/>
        <v>-4.7030672629245589E-3</v>
      </c>
      <c r="C25" s="174"/>
      <c r="D25" s="159">
        <v>53.474598</v>
      </c>
      <c r="E25" s="161">
        <f t="shared" si="1"/>
        <v>1.2168658491386597E-2</v>
      </c>
      <c r="F25" s="174"/>
      <c r="G25" s="159">
        <v>82.513289999999998</v>
      </c>
      <c r="H25" s="161">
        <f t="shared" si="2"/>
        <v>-1.1436849252005997E-4</v>
      </c>
      <c r="I25" s="174"/>
      <c r="J25" s="164">
        <v>821.61999500000002</v>
      </c>
      <c r="K25" s="180">
        <f t="shared" si="3"/>
        <v>1.2168658491386597E-2</v>
      </c>
      <c r="L25" s="183"/>
    </row>
    <row r="26" spans="1:12">
      <c r="A26" s="159">
        <v>82.867760000000004</v>
      </c>
      <c r="B26" s="161">
        <f t="shared" si="0"/>
        <v>-5.7618876848592306E-4</v>
      </c>
      <c r="C26" s="174"/>
      <c r="D26" s="159">
        <v>53.243274999999997</v>
      </c>
      <c r="E26" s="161">
        <f t="shared" si="1"/>
        <v>-4.3258483214778593E-3</v>
      </c>
      <c r="F26" s="174"/>
      <c r="G26" s="159">
        <v>83.089179999999999</v>
      </c>
      <c r="H26" s="161">
        <f t="shared" si="2"/>
        <v>6.9793605369510917E-3</v>
      </c>
      <c r="I26" s="174"/>
      <c r="J26" s="164">
        <v>829.22997999999995</v>
      </c>
      <c r="K26" s="180">
        <f t="shared" si="3"/>
        <v>-4.3258483214778593E-3</v>
      </c>
      <c r="L26" s="183"/>
    </row>
    <row r="27" spans="1:12">
      <c r="A27" s="159">
        <v>82.141525000000001</v>
      </c>
      <c r="B27" s="161">
        <f t="shared" si="0"/>
        <v>-8.7637821994947449E-3</v>
      </c>
      <c r="C27" s="174"/>
      <c r="D27" s="159">
        <v>53.223990999999998</v>
      </c>
      <c r="E27" s="161">
        <f t="shared" si="1"/>
        <v>-3.621865860054433E-4</v>
      </c>
      <c r="F27" s="174"/>
      <c r="G27" s="159">
        <v>83.391281000000006</v>
      </c>
      <c r="H27" s="161">
        <f t="shared" si="2"/>
        <v>3.6358645012504335E-3</v>
      </c>
      <c r="I27" s="174"/>
      <c r="J27" s="164">
        <v>829.88000499999998</v>
      </c>
      <c r="K27" s="180">
        <f t="shared" si="3"/>
        <v>-3.621865860054433E-4</v>
      </c>
      <c r="L27" s="183"/>
    </row>
    <row r="28" spans="1:12">
      <c r="A28" s="159">
        <v>83.326438999999993</v>
      </c>
      <c r="B28" s="161">
        <f t="shared" si="0"/>
        <v>1.4425273940312065E-2</v>
      </c>
      <c r="C28" s="174"/>
      <c r="D28" s="159">
        <v>53.792667000000002</v>
      </c>
      <c r="E28" s="161">
        <f t="shared" si="1"/>
        <v>1.068458019241743E-2</v>
      </c>
      <c r="F28" s="174"/>
      <c r="G28" s="159">
        <v>83.712265000000002</v>
      </c>
      <c r="H28" s="161">
        <f t="shared" si="2"/>
        <v>3.8491314217849191E-3</v>
      </c>
      <c r="I28" s="174"/>
      <c r="J28" s="164">
        <v>830.05999799999995</v>
      </c>
      <c r="K28" s="180">
        <f t="shared" si="3"/>
        <v>1.068458019241743E-2</v>
      </c>
      <c r="L28" s="183"/>
    </row>
    <row r="29" spans="1:12">
      <c r="A29" s="159">
        <v>83.135323</v>
      </c>
      <c r="B29" s="161">
        <f t="shared" si="0"/>
        <v>-2.293581752605483E-3</v>
      </c>
      <c r="C29" s="174"/>
      <c r="D29" s="159">
        <v>54.187846999999998</v>
      </c>
      <c r="E29" s="161">
        <f t="shared" si="1"/>
        <v>7.3463544761592937E-3</v>
      </c>
      <c r="F29" s="174"/>
      <c r="G29" s="159">
        <v>83.051422000000002</v>
      </c>
      <c r="H29" s="161">
        <f t="shared" si="2"/>
        <v>-7.8942195626889294E-3</v>
      </c>
      <c r="I29" s="174"/>
      <c r="J29" s="164">
        <v>834.84997599999997</v>
      </c>
      <c r="K29" s="180">
        <f t="shared" si="3"/>
        <v>7.3463544761592937E-3</v>
      </c>
      <c r="L29" s="183"/>
    </row>
    <row r="30" spans="1:12">
      <c r="A30" s="159">
        <v>84.234245000000001</v>
      </c>
      <c r="B30" s="161">
        <f t="shared" si="0"/>
        <v>1.3218472730297828E-2</v>
      </c>
      <c r="C30" s="174"/>
      <c r="D30" s="159">
        <v>54.081820999999998</v>
      </c>
      <c r="E30" s="161">
        <f t="shared" si="1"/>
        <v>-1.9566379893262774E-3</v>
      </c>
      <c r="F30" s="174"/>
      <c r="G30" s="159">
        <v>83.372405999999998</v>
      </c>
      <c r="H30" s="161">
        <f t="shared" si="2"/>
        <v>3.8648826506546235E-3</v>
      </c>
      <c r="I30" s="174"/>
      <c r="J30" s="164">
        <v>838.96002199999998</v>
      </c>
      <c r="K30" s="180">
        <f t="shared" si="3"/>
        <v>-1.9566379893262774E-3</v>
      </c>
      <c r="L30" s="183"/>
    </row>
    <row r="31" spans="1:12">
      <c r="A31" s="159">
        <v>85.581603999999999</v>
      </c>
      <c r="B31" s="161">
        <f t="shared" si="0"/>
        <v>1.599538287545638E-2</v>
      </c>
      <c r="C31" s="174"/>
      <c r="D31" s="159">
        <v>54.534835999999999</v>
      </c>
      <c r="E31" s="161">
        <f t="shared" si="1"/>
        <v>8.376474601326768E-3</v>
      </c>
      <c r="F31" s="174"/>
      <c r="G31" s="159">
        <v>82.947570999999996</v>
      </c>
      <c r="H31" s="161">
        <f t="shared" si="2"/>
        <v>-5.0956308013949082E-3</v>
      </c>
      <c r="I31" s="174"/>
      <c r="J31" s="164">
        <v>840.03002900000001</v>
      </c>
      <c r="K31" s="180">
        <f t="shared" si="3"/>
        <v>8.376474601326768E-3</v>
      </c>
      <c r="L31" s="183"/>
    </row>
    <row r="32" spans="1:12">
      <c r="A32" s="159">
        <v>86.565842000000004</v>
      </c>
      <c r="B32" s="161">
        <f t="shared" si="0"/>
        <v>1.1500579026305757E-2</v>
      </c>
      <c r="C32" s="174"/>
      <c r="D32" s="159">
        <v>54.80471</v>
      </c>
      <c r="E32" s="161">
        <f t="shared" si="1"/>
        <v>4.9486533708472417E-3</v>
      </c>
      <c r="F32" s="174"/>
      <c r="G32" s="159">
        <v>86.025290999999996</v>
      </c>
      <c r="H32" s="161">
        <f t="shared" si="2"/>
        <v>3.7104401767231975E-2</v>
      </c>
      <c r="I32" s="174"/>
      <c r="J32" s="164">
        <v>837.32000700000003</v>
      </c>
      <c r="K32" s="180">
        <f t="shared" si="3"/>
        <v>4.9486533708472417E-3</v>
      </c>
      <c r="L32" s="183"/>
    </row>
    <row r="33" spans="1:12">
      <c r="A33" s="159">
        <v>86.508506999999994</v>
      </c>
      <c r="B33" s="161">
        <f t="shared" si="0"/>
        <v>-6.6232821948418192E-4</v>
      </c>
      <c r="C33" s="174"/>
      <c r="D33" s="159">
        <v>54.679409</v>
      </c>
      <c r="E33" s="161">
        <f t="shared" si="1"/>
        <v>-2.2863180920034121E-3</v>
      </c>
      <c r="F33" s="174"/>
      <c r="G33" s="159">
        <v>85.713752999999997</v>
      </c>
      <c r="H33" s="161">
        <f t="shared" si="2"/>
        <v>-3.6214698768063311E-3</v>
      </c>
      <c r="I33" s="174"/>
      <c r="J33" s="164">
        <v>842.169983</v>
      </c>
      <c r="K33" s="180">
        <f t="shared" si="3"/>
        <v>-2.2863180920034121E-3</v>
      </c>
      <c r="L33" s="183"/>
    </row>
    <row r="34" spans="1:12">
      <c r="A34" s="159">
        <v>86.221855000000005</v>
      </c>
      <c r="B34" s="161">
        <f t="shared" si="0"/>
        <v>-3.3135700746747309E-3</v>
      </c>
      <c r="C34" s="174"/>
      <c r="D34" s="159">
        <v>55.276997000000001</v>
      </c>
      <c r="E34" s="161">
        <f t="shared" si="1"/>
        <v>1.0928940362175491E-2</v>
      </c>
      <c r="F34" s="174"/>
      <c r="G34" s="159">
        <v>85.996964000000006</v>
      </c>
      <c r="H34" s="161">
        <f t="shared" si="2"/>
        <v>3.3041488686186516E-3</v>
      </c>
      <c r="I34" s="174"/>
      <c r="J34" s="164">
        <v>846.54998799999998</v>
      </c>
      <c r="K34" s="180">
        <f t="shared" si="3"/>
        <v>1.0928940362175491E-2</v>
      </c>
      <c r="L34" s="183"/>
    </row>
    <row r="35" spans="1:12">
      <c r="A35" s="159">
        <v>86.967208999999997</v>
      </c>
      <c r="B35" s="161">
        <f t="shared" si="0"/>
        <v>8.6446064051856897E-3</v>
      </c>
      <c r="C35" s="174"/>
      <c r="D35" s="159">
        <v>55.460132999999999</v>
      </c>
      <c r="E35" s="161">
        <f t="shared" si="1"/>
        <v>3.3130598610484848E-3</v>
      </c>
      <c r="F35" s="174"/>
      <c r="G35" s="159">
        <v>86.544548000000006</v>
      </c>
      <c r="H35" s="161">
        <f t="shared" si="2"/>
        <v>6.3674806008267972E-3</v>
      </c>
      <c r="I35" s="174"/>
      <c r="J35" s="164">
        <v>849.27002000000005</v>
      </c>
      <c r="K35" s="180">
        <f t="shared" si="3"/>
        <v>3.3130598610484848E-3</v>
      </c>
      <c r="L35" s="183"/>
    </row>
    <row r="36" spans="1:12">
      <c r="A36" s="159">
        <v>87.014977000000002</v>
      </c>
      <c r="B36" s="161">
        <f t="shared" si="0"/>
        <v>5.4926449347138316E-4</v>
      </c>
      <c r="C36" s="174"/>
      <c r="D36" s="159">
        <v>55.489047999999997</v>
      </c>
      <c r="E36" s="161">
        <f t="shared" si="1"/>
        <v>5.2136550051183259E-4</v>
      </c>
      <c r="F36" s="174"/>
      <c r="G36" s="159">
        <v>86.327399999999997</v>
      </c>
      <c r="H36" s="161">
        <f t="shared" si="2"/>
        <v>-2.5090893073935606E-3</v>
      </c>
      <c r="I36" s="174"/>
      <c r="J36" s="164">
        <v>851.35998500000005</v>
      </c>
      <c r="K36" s="180">
        <f t="shared" si="3"/>
        <v>5.2136550051183259E-4</v>
      </c>
      <c r="L36" s="183"/>
    </row>
    <row r="37" spans="1:12">
      <c r="A37" s="159">
        <v>87.081862999999998</v>
      </c>
      <c r="B37" s="161">
        <f t="shared" si="0"/>
        <v>7.6867227121138774E-4</v>
      </c>
      <c r="C37" s="174"/>
      <c r="D37" s="159">
        <v>55.556519000000002</v>
      </c>
      <c r="E37" s="161">
        <f t="shared" si="1"/>
        <v>1.2159336379316641E-3</v>
      </c>
      <c r="F37" s="174"/>
      <c r="G37" s="159">
        <v>86.034728999999999</v>
      </c>
      <c r="H37" s="161">
        <f t="shared" si="2"/>
        <v>-3.3902445805155555E-3</v>
      </c>
      <c r="I37" s="174"/>
      <c r="J37" s="164">
        <v>851</v>
      </c>
      <c r="K37" s="180">
        <f t="shared" si="3"/>
        <v>1.2159336379316641E-3</v>
      </c>
      <c r="L37" s="183"/>
    </row>
    <row r="38" spans="1:12">
      <c r="A38" s="159">
        <v>86.317397999999997</v>
      </c>
      <c r="B38" s="161">
        <f t="shared" si="0"/>
        <v>-8.7786936758576378E-3</v>
      </c>
      <c r="C38" s="174"/>
      <c r="D38" s="159">
        <v>55.402298000000002</v>
      </c>
      <c r="E38" s="161">
        <f t="shared" si="1"/>
        <v>-2.7759298598243657E-3</v>
      </c>
      <c r="F38" s="174"/>
      <c r="G38" s="159">
        <v>85.959220999999999</v>
      </c>
      <c r="H38" s="161">
        <f t="shared" si="2"/>
        <v>-8.7764558426166772E-4</v>
      </c>
      <c r="I38" s="174"/>
      <c r="J38" s="164">
        <v>847.80999799999995</v>
      </c>
      <c r="K38" s="180">
        <f t="shared" si="3"/>
        <v>-2.7759298598243657E-3</v>
      </c>
      <c r="L38" s="183"/>
    </row>
    <row r="39" spans="1:12">
      <c r="A39" s="159">
        <v>86.412964000000002</v>
      </c>
      <c r="B39" s="161">
        <f t="shared" si="0"/>
        <v>1.1071464410918081E-3</v>
      </c>
      <c r="C39" s="174"/>
      <c r="D39" s="159">
        <v>54.727603999999999</v>
      </c>
      <c r="E39" s="161">
        <f t="shared" si="1"/>
        <v>-1.2178086908958222E-2</v>
      </c>
      <c r="F39" s="174"/>
      <c r="G39" s="159">
        <v>85.808159000000003</v>
      </c>
      <c r="H39" s="161">
        <f t="shared" si="2"/>
        <v>-1.7573681827572174E-3</v>
      </c>
      <c r="I39" s="174"/>
      <c r="J39" s="164">
        <v>849.669983</v>
      </c>
      <c r="K39" s="180">
        <f t="shared" si="3"/>
        <v>-1.2178086908958222E-2</v>
      </c>
      <c r="L39" s="183"/>
    </row>
    <row r="40" spans="1:12">
      <c r="A40" s="159">
        <v>86.594527999999997</v>
      </c>
      <c r="B40" s="161">
        <f t="shared" si="0"/>
        <v>2.1011199199230629E-3</v>
      </c>
      <c r="C40" s="174"/>
      <c r="D40" s="159">
        <v>54.814346</v>
      </c>
      <c r="E40" s="161">
        <f t="shared" si="1"/>
        <v>1.5849771168494967E-3</v>
      </c>
      <c r="F40" s="174"/>
      <c r="G40" s="159">
        <v>85.978088</v>
      </c>
      <c r="H40" s="161">
        <f t="shared" si="2"/>
        <v>1.9803361589426039E-3</v>
      </c>
      <c r="I40" s="174"/>
      <c r="J40" s="164">
        <v>844.92999299999997</v>
      </c>
      <c r="K40" s="180">
        <f t="shared" si="3"/>
        <v>1.5849771168494967E-3</v>
      </c>
      <c r="L40" s="183"/>
    </row>
    <row r="41" spans="1:12">
      <c r="A41" s="159">
        <v>89.442145999999994</v>
      </c>
      <c r="B41" s="161">
        <f t="shared" si="0"/>
        <v>3.2884502817545208E-2</v>
      </c>
      <c r="C41" s="174"/>
      <c r="D41" s="159">
        <v>55.074596</v>
      </c>
      <c r="E41" s="161">
        <f t="shared" si="1"/>
        <v>4.7478446609579032E-3</v>
      </c>
      <c r="F41" s="174"/>
      <c r="G41" s="159">
        <v>86.535094999999998</v>
      </c>
      <c r="H41" s="161">
        <f t="shared" si="2"/>
        <v>6.4784762368755942E-3</v>
      </c>
      <c r="I41" s="174"/>
      <c r="J41" s="164">
        <v>856.75</v>
      </c>
      <c r="K41" s="180">
        <f t="shared" si="3"/>
        <v>4.7478446609579032E-3</v>
      </c>
      <c r="L41" s="183"/>
    </row>
    <row r="42" spans="1:12">
      <c r="A42" s="159">
        <v>88.046988999999996</v>
      </c>
      <c r="B42" s="161">
        <f t="shared" si="0"/>
        <v>-1.5598429402621865E-2</v>
      </c>
      <c r="C42" s="174"/>
      <c r="D42" s="159">
        <v>55.055317000000002</v>
      </c>
      <c r="E42" s="161">
        <f t="shared" si="1"/>
        <v>-3.5005249970417182E-4</v>
      </c>
      <c r="F42" s="174"/>
      <c r="G42" s="159">
        <v>85.827033999999998</v>
      </c>
      <c r="H42" s="161">
        <f t="shared" si="2"/>
        <v>-8.1823565340744201E-3</v>
      </c>
      <c r="I42" s="174"/>
      <c r="J42" s="164">
        <v>849.84997599999997</v>
      </c>
      <c r="K42" s="180">
        <f t="shared" si="3"/>
        <v>-3.5005249970417182E-4</v>
      </c>
      <c r="L42" s="183"/>
    </row>
    <row r="43" spans="1:12">
      <c r="A43" s="159">
        <v>88.677681000000007</v>
      </c>
      <c r="B43" s="161">
        <f t="shared" si="0"/>
        <v>7.1631296784039995E-3</v>
      </c>
      <c r="C43" s="174"/>
      <c r="D43" s="159">
        <v>55.036034000000001</v>
      </c>
      <c r="E43" s="161">
        <f t="shared" si="1"/>
        <v>-3.5024773356588781E-4</v>
      </c>
      <c r="F43" s="174"/>
      <c r="G43" s="159">
        <v>85.439948999999999</v>
      </c>
      <c r="H43" s="161">
        <f t="shared" si="2"/>
        <v>-4.5100591498944149E-3</v>
      </c>
      <c r="I43" s="174"/>
      <c r="J43" s="164">
        <v>849.080017</v>
      </c>
      <c r="K43" s="180">
        <f t="shared" si="3"/>
        <v>-3.5024773356588781E-4</v>
      </c>
      <c r="L43" s="183"/>
    </row>
    <row r="44" spans="1:12">
      <c r="A44" s="159">
        <v>87.836760999999996</v>
      </c>
      <c r="B44" s="161">
        <f t="shared" si="0"/>
        <v>-9.4828821696409851E-3</v>
      </c>
      <c r="C44" s="174"/>
      <c r="D44" s="159">
        <v>54.631222000000001</v>
      </c>
      <c r="E44" s="161">
        <f t="shared" si="1"/>
        <v>-7.3553991917368125E-3</v>
      </c>
      <c r="F44" s="174"/>
      <c r="G44" s="159">
        <v>85.317229999999995</v>
      </c>
      <c r="H44" s="161">
        <f t="shared" si="2"/>
        <v>-1.4363187412483542E-3</v>
      </c>
      <c r="I44" s="174"/>
      <c r="J44" s="164">
        <v>847.27002000000005</v>
      </c>
      <c r="K44" s="180">
        <f t="shared" si="3"/>
        <v>-7.3553991917368125E-3</v>
      </c>
      <c r="L44" s="183"/>
    </row>
    <row r="45" spans="1:12">
      <c r="A45" s="159">
        <v>87.349425999999994</v>
      </c>
      <c r="B45" s="161">
        <f t="shared" si="0"/>
        <v>-5.5481895558512411E-3</v>
      </c>
      <c r="C45" s="174"/>
      <c r="D45" s="159">
        <v>54.168568</v>
      </c>
      <c r="E45" s="161">
        <f t="shared" si="1"/>
        <v>-8.4686738290423117E-3</v>
      </c>
      <c r="F45" s="174"/>
      <c r="G45" s="159">
        <v>85.241698999999997</v>
      </c>
      <c r="H45" s="161">
        <f t="shared" si="2"/>
        <v>-8.8529597128268256E-4</v>
      </c>
      <c r="I45" s="174"/>
      <c r="J45" s="164">
        <v>851.15002400000003</v>
      </c>
      <c r="K45" s="180">
        <f t="shared" si="3"/>
        <v>-8.4686738290423117E-3</v>
      </c>
      <c r="L45" s="183"/>
    </row>
    <row r="46" spans="1:12">
      <c r="A46" s="159">
        <v>87.158302000000006</v>
      </c>
      <c r="B46" s="161">
        <f t="shared" si="0"/>
        <v>-2.1880395642209245E-3</v>
      </c>
      <c r="C46" s="174"/>
      <c r="D46" s="159">
        <v>53.725192999999997</v>
      </c>
      <c r="E46" s="161">
        <f t="shared" si="1"/>
        <v>-8.1850973058767811E-3</v>
      </c>
      <c r="F46" s="174"/>
      <c r="G46" s="159">
        <v>85.100089999999994</v>
      </c>
      <c r="H46" s="161">
        <f t="shared" si="2"/>
        <v>-1.661264400654456E-3</v>
      </c>
      <c r="I46" s="174"/>
      <c r="J46" s="164">
        <v>853.64001499999995</v>
      </c>
      <c r="K46" s="180">
        <f t="shared" si="3"/>
        <v>-8.1850973058767811E-3</v>
      </c>
      <c r="L46" s="183"/>
    </row>
    <row r="47" spans="1:12">
      <c r="A47" s="159">
        <v>87.502319</v>
      </c>
      <c r="B47" s="161">
        <f t="shared" si="0"/>
        <v>3.9470365083522823E-3</v>
      </c>
      <c r="C47" s="174"/>
      <c r="D47" s="159">
        <v>53.195076</v>
      </c>
      <c r="E47" s="161">
        <f t="shared" si="1"/>
        <v>-9.8671958237543621E-3</v>
      </c>
      <c r="F47" s="174"/>
      <c r="G47" s="159">
        <v>85.288910000000001</v>
      </c>
      <c r="H47" s="161">
        <f t="shared" si="2"/>
        <v>2.2187990635498373E-3</v>
      </c>
      <c r="I47" s="174"/>
      <c r="J47" s="164">
        <v>857.84002699999996</v>
      </c>
      <c r="K47" s="180">
        <f t="shared" si="3"/>
        <v>-9.8671958237543621E-3</v>
      </c>
      <c r="L47" s="183"/>
    </row>
    <row r="48" spans="1:12">
      <c r="A48" s="159">
        <v>87.225196999999994</v>
      </c>
      <c r="B48" s="161">
        <f t="shared" si="0"/>
        <v>-3.167024636227134E-3</v>
      </c>
      <c r="C48" s="174"/>
      <c r="D48" s="159">
        <v>52.558928999999999</v>
      </c>
      <c r="E48" s="161">
        <f t="shared" si="1"/>
        <v>-1.195875723535015E-2</v>
      </c>
      <c r="F48" s="174"/>
      <c r="G48" s="159">
        <v>85.978088</v>
      </c>
      <c r="H48" s="161">
        <f t="shared" si="2"/>
        <v>8.0805112880443456E-3</v>
      </c>
      <c r="I48" s="174"/>
      <c r="J48" s="164">
        <v>861.40997300000004</v>
      </c>
      <c r="K48" s="180">
        <f t="shared" si="3"/>
        <v>-1.195875723535015E-2</v>
      </c>
      <c r="L48" s="183"/>
    </row>
    <row r="49" spans="1:12">
      <c r="A49" s="159">
        <v>87.301651000000007</v>
      </c>
      <c r="B49" s="161">
        <f t="shared" si="0"/>
        <v>8.7651278104894923E-4</v>
      </c>
      <c r="C49" s="174"/>
      <c r="D49" s="159">
        <v>52.655318999999999</v>
      </c>
      <c r="E49" s="161">
        <f t="shared" si="1"/>
        <v>1.8339414792869835E-3</v>
      </c>
      <c r="F49" s="174"/>
      <c r="G49" s="159">
        <v>86.204666000000003</v>
      </c>
      <c r="H49" s="161">
        <f t="shared" si="2"/>
        <v>2.6352993567384693E-3</v>
      </c>
      <c r="I49" s="174"/>
      <c r="J49" s="164">
        <v>864.580017</v>
      </c>
      <c r="K49" s="180">
        <f t="shared" si="3"/>
        <v>1.8339414792869835E-3</v>
      </c>
      <c r="L49" s="183"/>
    </row>
    <row r="50" spans="1:12">
      <c r="A50" s="159">
        <v>87.444984000000005</v>
      </c>
      <c r="B50" s="161">
        <f t="shared" si="0"/>
        <v>1.6418131657097569E-3</v>
      </c>
      <c r="C50" s="174"/>
      <c r="D50" s="159">
        <v>52.308334000000002</v>
      </c>
      <c r="E50" s="161">
        <f t="shared" si="1"/>
        <v>-6.589742624102164E-3</v>
      </c>
      <c r="F50" s="174"/>
      <c r="G50" s="159">
        <v>85.911995000000005</v>
      </c>
      <c r="H50" s="161">
        <f t="shared" si="2"/>
        <v>-3.3950714454365912E-3</v>
      </c>
      <c r="I50" s="174"/>
      <c r="J50" s="164">
        <v>865.90997300000004</v>
      </c>
      <c r="K50" s="180">
        <f t="shared" si="3"/>
        <v>-6.589742624102164E-3</v>
      </c>
      <c r="L50" s="183"/>
    </row>
    <row r="51" spans="1:12">
      <c r="A51" s="159">
        <v>87.655204999999995</v>
      </c>
      <c r="B51" s="161">
        <f t="shared" si="0"/>
        <v>2.404037263017739E-3</v>
      </c>
      <c r="C51" s="174"/>
      <c r="D51" s="159">
        <v>52.568576999999998</v>
      </c>
      <c r="E51" s="161">
        <f t="shared" si="1"/>
        <v>4.9751727898654837E-3</v>
      </c>
      <c r="F51" s="174"/>
      <c r="G51" s="159">
        <v>86.289626999999996</v>
      </c>
      <c r="H51" s="161">
        <f t="shared" si="2"/>
        <v>4.3955678133186325E-3</v>
      </c>
      <c r="I51" s="174"/>
      <c r="J51" s="164">
        <v>868.39001499999995</v>
      </c>
      <c r="K51" s="180">
        <f t="shared" si="3"/>
        <v>4.9751727898654837E-3</v>
      </c>
      <c r="L51" s="183"/>
    </row>
    <row r="52" spans="1:12">
      <c r="A52" s="159">
        <v>87.569214000000002</v>
      </c>
      <c r="B52" s="161">
        <f t="shared" si="0"/>
        <v>-9.8101419077159004E-4</v>
      </c>
      <c r="C52" s="174"/>
      <c r="D52" s="159">
        <v>52.819175999999999</v>
      </c>
      <c r="E52" s="161">
        <f t="shared" si="1"/>
        <v>4.7670873799760859E-3</v>
      </c>
      <c r="F52" s="174"/>
      <c r="G52" s="159">
        <v>86.327399999999997</v>
      </c>
      <c r="H52" s="161">
        <f t="shared" si="2"/>
        <v>4.3774670621767075E-4</v>
      </c>
      <c r="I52" s="174"/>
      <c r="J52" s="164">
        <v>870</v>
      </c>
      <c r="K52" s="180">
        <f t="shared" si="3"/>
        <v>4.7670873799760859E-3</v>
      </c>
      <c r="L52" s="183"/>
    </row>
    <row r="53" spans="1:12">
      <c r="A53" s="159">
        <v>86.651854999999998</v>
      </c>
      <c r="B53" s="161">
        <f t="shared" si="0"/>
        <v>-1.0475816306858763E-2</v>
      </c>
      <c r="C53" s="174"/>
      <c r="D53" s="159">
        <v>53.763751999999997</v>
      </c>
      <c r="E53" s="161">
        <f t="shared" si="1"/>
        <v>1.7883202115837587E-2</v>
      </c>
      <c r="F53" s="174"/>
      <c r="G53" s="159">
        <v>85.911995000000005</v>
      </c>
      <c r="H53" s="161">
        <f t="shared" si="2"/>
        <v>-4.8119716335716439E-3</v>
      </c>
      <c r="I53" s="174"/>
      <c r="J53" s="164">
        <v>872.36999500000002</v>
      </c>
      <c r="K53" s="180">
        <f t="shared" si="3"/>
        <v>1.7883202115837587E-2</v>
      </c>
      <c r="L53" s="183"/>
    </row>
    <row r="54" spans="1:12">
      <c r="A54" s="159">
        <v>86.030724000000006</v>
      </c>
      <c r="B54" s="161">
        <f t="shared" si="0"/>
        <v>-7.1681212133311084E-3</v>
      </c>
      <c r="C54" s="174"/>
      <c r="D54" s="159">
        <v>53.792667000000002</v>
      </c>
      <c r="E54" s="161">
        <f t="shared" si="1"/>
        <v>5.3781588755198685E-4</v>
      </c>
      <c r="F54" s="174"/>
      <c r="G54" s="159">
        <v>86.119698</v>
      </c>
      <c r="H54" s="161">
        <f t="shared" si="2"/>
        <v>2.4176251523433377E-3</v>
      </c>
      <c r="I54" s="174"/>
      <c r="J54" s="164">
        <v>867.90997300000004</v>
      </c>
      <c r="K54" s="180">
        <f t="shared" si="3"/>
        <v>5.3781588755198685E-4</v>
      </c>
      <c r="L54" s="183"/>
    </row>
    <row r="55" spans="1:12">
      <c r="A55" s="159">
        <v>83.507996000000006</v>
      </c>
      <c r="B55" s="161">
        <f t="shared" si="0"/>
        <v>-2.9323570495582492E-2</v>
      </c>
      <c r="C55" s="174"/>
      <c r="D55" s="159">
        <v>53.532425000000003</v>
      </c>
      <c r="E55" s="161">
        <f t="shared" si="1"/>
        <v>-4.8378713031647621E-3</v>
      </c>
      <c r="F55" s="174"/>
      <c r="G55" s="159">
        <v>86.091385000000002</v>
      </c>
      <c r="H55" s="161">
        <f t="shared" si="2"/>
        <v>-3.2876334517565475E-4</v>
      </c>
      <c r="I55" s="174"/>
      <c r="J55" s="164">
        <v>850.14001499999995</v>
      </c>
      <c r="K55" s="180">
        <f t="shared" si="3"/>
        <v>-4.8378713031647621E-3</v>
      </c>
      <c r="L55" s="183"/>
    </row>
    <row r="56" spans="1:12">
      <c r="A56" s="159">
        <v>83.641768999999996</v>
      </c>
      <c r="B56" s="161">
        <f t="shared" si="0"/>
        <v>1.6019184558086006E-3</v>
      </c>
      <c r="C56" s="174"/>
      <c r="D56" s="159">
        <v>53.869774</v>
      </c>
      <c r="E56" s="161">
        <f t="shared" si="1"/>
        <v>6.3017694416047116E-3</v>
      </c>
      <c r="F56" s="174"/>
      <c r="G56" s="159">
        <v>85.902564999999996</v>
      </c>
      <c r="H56" s="161">
        <f t="shared" si="2"/>
        <v>-2.1932508113327118E-3</v>
      </c>
      <c r="I56" s="174"/>
      <c r="J56" s="164">
        <v>849.79998799999998</v>
      </c>
      <c r="K56" s="180">
        <f t="shared" si="3"/>
        <v>6.3017694416047116E-3</v>
      </c>
      <c r="L56" s="183"/>
    </row>
    <row r="57" spans="1:12">
      <c r="A57" s="159">
        <v>83.507996000000006</v>
      </c>
      <c r="B57" s="161">
        <f t="shared" si="0"/>
        <v>-1.5993564172463977E-3</v>
      </c>
      <c r="C57" s="174"/>
      <c r="D57" s="159">
        <v>53.831218999999997</v>
      </c>
      <c r="E57" s="161">
        <f t="shared" si="1"/>
        <v>-7.1570747632990509E-4</v>
      </c>
      <c r="F57" s="174"/>
      <c r="G57" s="159">
        <v>85.694855000000004</v>
      </c>
      <c r="H57" s="161">
        <f t="shared" si="2"/>
        <v>-2.4179720361084869E-3</v>
      </c>
      <c r="I57" s="174"/>
      <c r="J57" s="164">
        <v>839.65002400000003</v>
      </c>
      <c r="K57" s="180">
        <f t="shared" si="3"/>
        <v>-7.1570747632990509E-4</v>
      </c>
      <c r="L57" s="183"/>
    </row>
    <row r="58" spans="1:12">
      <c r="A58" s="159">
        <v>83.412430000000001</v>
      </c>
      <c r="B58" s="161">
        <f t="shared" si="0"/>
        <v>-1.1443934063512331E-3</v>
      </c>
      <c r="C58" s="174"/>
      <c r="D58" s="159">
        <v>54.756523000000001</v>
      </c>
      <c r="E58" s="161">
        <f t="shared" si="1"/>
        <v>1.7188984704210472E-2</v>
      </c>
      <c r="F58" s="174"/>
      <c r="G58" s="159">
        <v>85.506041999999994</v>
      </c>
      <c r="H58" s="161">
        <f t="shared" si="2"/>
        <v>-2.203317807119346E-3</v>
      </c>
      <c r="I58" s="174"/>
      <c r="J58" s="164">
        <v>835.14001499999995</v>
      </c>
      <c r="K58" s="180">
        <f t="shared" si="3"/>
        <v>1.7188984704210472E-2</v>
      </c>
      <c r="L58" s="183"/>
    </row>
    <row r="59" spans="1:12">
      <c r="A59" s="159">
        <v>83.364661999999996</v>
      </c>
      <c r="B59" s="161">
        <f t="shared" si="0"/>
        <v>-5.7267244222479691E-4</v>
      </c>
      <c r="C59" s="174"/>
      <c r="D59" s="159">
        <v>55.161338999999998</v>
      </c>
      <c r="E59" s="161">
        <f t="shared" si="1"/>
        <v>7.3930187276499771E-3</v>
      </c>
      <c r="F59" s="174"/>
      <c r="G59" s="159">
        <v>85.430510999999996</v>
      </c>
      <c r="H59" s="161">
        <f t="shared" si="2"/>
        <v>-8.8334108600182919E-4</v>
      </c>
      <c r="I59" s="174"/>
      <c r="J59" s="164">
        <v>838.51000999999997</v>
      </c>
      <c r="K59" s="180">
        <f t="shared" si="3"/>
        <v>7.3930187276499771E-3</v>
      </c>
      <c r="L59" s="183"/>
    </row>
    <row r="60" spans="1:12">
      <c r="A60" s="159">
        <v>84.664246000000006</v>
      </c>
      <c r="B60" s="161">
        <f t="shared" si="0"/>
        <v>1.5589147353587424E-2</v>
      </c>
      <c r="C60" s="174"/>
      <c r="D60" s="159">
        <v>55.276997000000001</v>
      </c>
      <c r="E60" s="161">
        <f t="shared" si="1"/>
        <v>2.0967221263429332E-3</v>
      </c>
      <c r="F60" s="174"/>
      <c r="G60" s="159">
        <v>85.685424999999995</v>
      </c>
      <c r="H60" s="161">
        <f t="shared" si="2"/>
        <v>2.9838753978657512E-3</v>
      </c>
      <c r="I60" s="174"/>
      <c r="J60" s="164">
        <v>840.63000499999998</v>
      </c>
      <c r="K60" s="180">
        <f t="shared" si="3"/>
        <v>2.0967221263429332E-3</v>
      </c>
      <c r="L60" s="183"/>
    </row>
    <row r="61" spans="1:12">
      <c r="A61" s="159">
        <v>84.3489</v>
      </c>
      <c r="B61" s="161">
        <f t="shared" si="0"/>
        <v>-3.7246655453590789E-3</v>
      </c>
      <c r="C61" s="174"/>
      <c r="D61" s="159">
        <v>55.460132999999999</v>
      </c>
      <c r="E61" s="161">
        <f t="shared" si="1"/>
        <v>3.3130598610484848E-3</v>
      </c>
      <c r="F61" s="174"/>
      <c r="G61" s="159">
        <v>85.534369999999996</v>
      </c>
      <c r="H61" s="161">
        <f t="shared" si="2"/>
        <v>-1.7629019170996643E-3</v>
      </c>
      <c r="I61" s="174"/>
      <c r="J61" s="164">
        <v>849.86999500000002</v>
      </c>
      <c r="K61" s="180">
        <f t="shared" si="3"/>
        <v>3.3130598610484848E-3</v>
      </c>
      <c r="L61" s="183"/>
    </row>
    <row r="62" spans="1:12">
      <c r="A62" s="159">
        <v>85.075149999999994</v>
      </c>
      <c r="B62" s="161">
        <f t="shared" si="0"/>
        <v>8.6100707893048186E-3</v>
      </c>
      <c r="C62" s="174"/>
      <c r="D62" s="159">
        <v>56.057724</v>
      </c>
      <c r="E62" s="161">
        <f t="shared" si="1"/>
        <v>1.0775145454483517E-2</v>
      </c>
      <c r="F62" s="174"/>
      <c r="G62" s="159">
        <v>85.156723</v>
      </c>
      <c r="H62" s="161">
        <f t="shared" si="2"/>
        <v>-4.4151491382937186E-3</v>
      </c>
      <c r="I62" s="174"/>
      <c r="J62" s="164">
        <v>849.47997999999995</v>
      </c>
      <c r="K62" s="180">
        <f t="shared" si="3"/>
        <v>1.0775145454483517E-2</v>
      </c>
      <c r="L62" s="183"/>
    </row>
    <row r="63" spans="1:12">
      <c r="A63" s="159">
        <v>83.938004000000006</v>
      </c>
      <c r="B63" s="161">
        <f t="shared" si="0"/>
        <v>-1.3366370791000512E-2</v>
      </c>
      <c r="C63" s="174"/>
      <c r="D63" s="159">
        <v>56.279407999999997</v>
      </c>
      <c r="E63" s="161">
        <f t="shared" si="1"/>
        <v>3.9545665464405261E-3</v>
      </c>
      <c r="F63" s="174"/>
      <c r="G63" s="159">
        <v>84.826301999999998</v>
      </c>
      <c r="H63" s="161">
        <f t="shared" si="2"/>
        <v>-3.8801516587245988E-3</v>
      </c>
      <c r="I63" s="174"/>
      <c r="J63" s="164">
        <v>847.79998799999998</v>
      </c>
      <c r="K63" s="180">
        <f t="shared" si="3"/>
        <v>3.9545665464405261E-3</v>
      </c>
      <c r="L63" s="183"/>
    </row>
    <row r="64" spans="1:12">
      <c r="A64" s="159">
        <v>83.632216999999997</v>
      </c>
      <c r="B64" s="161">
        <f t="shared" si="0"/>
        <v>-3.6430101435341415E-3</v>
      </c>
      <c r="C64" s="174"/>
      <c r="D64" s="159">
        <v>56.327598999999999</v>
      </c>
      <c r="E64" s="161">
        <f t="shared" si="1"/>
        <v>8.5628121745706285E-4</v>
      </c>
      <c r="F64" s="174"/>
      <c r="G64" s="159">
        <v>84.665801999999999</v>
      </c>
      <c r="H64" s="161">
        <f t="shared" si="2"/>
        <v>-1.892101815307226E-3</v>
      </c>
      <c r="I64" s="174"/>
      <c r="J64" s="164">
        <v>856.75</v>
      </c>
      <c r="K64" s="180">
        <f t="shared" si="3"/>
        <v>8.5628121745706285E-4</v>
      </c>
      <c r="L64" s="183"/>
    </row>
    <row r="65" spans="1:12">
      <c r="A65" s="159">
        <v>83.910927000000001</v>
      </c>
      <c r="B65" s="161">
        <f t="shared" si="0"/>
        <v>3.3325674004313888E-3</v>
      </c>
      <c r="C65" s="174"/>
      <c r="D65" s="159">
        <v>56.211936999999999</v>
      </c>
      <c r="E65" s="161">
        <f t="shared" si="1"/>
        <v>-2.0533806171997562E-3</v>
      </c>
      <c r="F65" s="174"/>
      <c r="G65" s="159">
        <v>84.882949999999994</v>
      </c>
      <c r="H65" s="161">
        <f t="shared" si="2"/>
        <v>2.5647663504090421E-3</v>
      </c>
      <c r="I65" s="174"/>
      <c r="J65" s="164">
        <v>852.57000700000003</v>
      </c>
      <c r="K65" s="180">
        <f t="shared" si="3"/>
        <v>-2.0533806171997562E-3</v>
      </c>
      <c r="L65" s="183"/>
    </row>
    <row r="66" spans="1:12">
      <c r="A66" s="159">
        <v>83.311638000000002</v>
      </c>
      <c r="B66" s="161">
        <f t="shared" si="0"/>
        <v>-7.1419661470311108E-3</v>
      </c>
      <c r="C66" s="174"/>
      <c r="D66" s="159">
        <v>56.115555000000001</v>
      </c>
      <c r="E66" s="161">
        <f t="shared" si="1"/>
        <v>-1.7146180178775625E-3</v>
      </c>
      <c r="F66" s="174"/>
      <c r="G66" s="159">
        <v>84.939589999999995</v>
      </c>
      <c r="H66" s="161">
        <f t="shared" si="2"/>
        <v>6.6727181371525825E-4</v>
      </c>
      <c r="I66" s="174"/>
      <c r="J66" s="164">
        <v>848.90997300000004</v>
      </c>
      <c r="K66" s="180">
        <f t="shared" si="3"/>
        <v>-1.7146180178775625E-3</v>
      </c>
      <c r="L66" s="183"/>
    </row>
    <row r="67" spans="1:12">
      <c r="A67" s="159">
        <v>83.591956999999994</v>
      </c>
      <c r="B67" s="161">
        <f t="shared" si="0"/>
        <v>3.364703980492996E-3</v>
      </c>
      <c r="C67" s="174"/>
      <c r="D67" s="159">
        <v>55.826393000000003</v>
      </c>
      <c r="E67" s="161">
        <f t="shared" si="1"/>
        <v>-5.1529740728751142E-3</v>
      </c>
      <c r="F67" s="174"/>
      <c r="G67" s="159">
        <v>84.401465999999999</v>
      </c>
      <c r="H67" s="161">
        <f t="shared" si="2"/>
        <v>-6.3353731752177787E-3</v>
      </c>
      <c r="I67" s="174"/>
      <c r="J67" s="164">
        <v>845.09997599999997</v>
      </c>
      <c r="K67" s="180">
        <f t="shared" si="3"/>
        <v>-5.1529740728751142E-3</v>
      </c>
      <c r="L67" s="183"/>
    </row>
    <row r="68" spans="1:12">
      <c r="A68" s="159">
        <v>83.301970999999995</v>
      </c>
      <c r="B68" s="161">
        <f t="shared" ref="B68:B131" si="4">(A68-A67)/A67</f>
        <v>-3.4690658097644368E-3</v>
      </c>
      <c r="C68" s="174"/>
      <c r="D68" s="159">
        <v>55.922787</v>
      </c>
      <c r="E68" s="161">
        <f t="shared" ref="E68:E131" si="5">(D68-D67)/D67</f>
        <v>1.7266743348436739E-3</v>
      </c>
      <c r="F68" s="174"/>
      <c r="G68" s="159">
        <v>84.240973999999994</v>
      </c>
      <c r="H68" s="161">
        <f t="shared" ref="H68:H131" si="6">(G68-G67)/G67</f>
        <v>-1.9015309520809148E-3</v>
      </c>
      <c r="I68" s="174"/>
      <c r="J68" s="164">
        <v>842.09997599999997</v>
      </c>
      <c r="K68" s="180">
        <f t="shared" ref="K68:K131" si="7">(D68-D67)/D67</f>
        <v>1.7266743348436739E-3</v>
      </c>
      <c r="L68" s="183"/>
    </row>
    <row r="69" spans="1:12">
      <c r="A69" s="159">
        <v>83.011985999999993</v>
      </c>
      <c r="B69" s="161">
        <f t="shared" si="4"/>
        <v>-3.4811301163570488E-3</v>
      </c>
      <c r="C69" s="174"/>
      <c r="D69" s="159">
        <v>55.855311999999998</v>
      </c>
      <c r="E69" s="161">
        <f t="shared" si="5"/>
        <v>-1.2065743432994806E-3</v>
      </c>
      <c r="F69" s="174"/>
      <c r="G69" s="159">
        <v>84.486435</v>
      </c>
      <c r="H69" s="161">
        <f t="shared" si="6"/>
        <v>2.9137958447632141E-3</v>
      </c>
      <c r="I69" s="174"/>
      <c r="J69" s="164">
        <v>841.70001200000002</v>
      </c>
      <c r="K69" s="180">
        <f t="shared" si="7"/>
        <v>-1.2065743432994806E-3</v>
      </c>
      <c r="L69" s="183"/>
    </row>
    <row r="70" spans="1:12">
      <c r="A70" s="159">
        <v>82.866996999999998</v>
      </c>
      <c r="B70" s="161">
        <f t="shared" si="4"/>
        <v>-1.7466031953505532E-3</v>
      </c>
      <c r="C70" s="174"/>
      <c r="D70" s="159">
        <v>55.787841999999998</v>
      </c>
      <c r="E70" s="161">
        <f t="shared" si="5"/>
        <v>-1.2079424066237449E-3</v>
      </c>
      <c r="F70" s="174"/>
      <c r="G70" s="159">
        <v>84.779099000000002</v>
      </c>
      <c r="H70" s="161">
        <f t="shared" si="6"/>
        <v>3.4640353803542787E-3</v>
      </c>
      <c r="I70" s="174"/>
      <c r="J70" s="164">
        <v>839.88000499999998</v>
      </c>
      <c r="K70" s="180">
        <f t="shared" si="7"/>
        <v>-1.2079424066237449E-3</v>
      </c>
      <c r="L70" s="183"/>
    </row>
    <row r="71" spans="1:12">
      <c r="A71" s="159">
        <v>82.548018999999996</v>
      </c>
      <c r="B71" s="161">
        <f t="shared" si="4"/>
        <v>-3.8492766909364574E-3</v>
      </c>
      <c r="C71" s="174"/>
      <c r="D71" s="159">
        <v>55.498691999999998</v>
      </c>
      <c r="E71" s="161">
        <f t="shared" si="5"/>
        <v>-5.1830289474183167E-3</v>
      </c>
      <c r="F71" s="174"/>
      <c r="G71" s="159">
        <v>85.260581999999999</v>
      </c>
      <c r="H71" s="161">
        <f t="shared" si="6"/>
        <v>5.6792653576089218E-3</v>
      </c>
      <c r="I71" s="174"/>
      <c r="J71" s="164">
        <v>841.46002199999998</v>
      </c>
      <c r="K71" s="180">
        <f t="shared" si="7"/>
        <v>-5.1830289474183167E-3</v>
      </c>
      <c r="L71" s="183"/>
    </row>
    <row r="72" spans="1:12">
      <c r="A72" s="159">
        <v>81.581421000000006</v>
      </c>
      <c r="B72" s="161">
        <f t="shared" si="4"/>
        <v>-1.1709523883304705E-2</v>
      </c>
      <c r="C72" s="174"/>
      <c r="D72" s="159">
        <v>55.431216999999997</v>
      </c>
      <c r="E72" s="161">
        <f t="shared" si="5"/>
        <v>-1.2157944190829169E-3</v>
      </c>
      <c r="F72" s="174"/>
      <c r="G72" s="159">
        <v>84.996239000000003</v>
      </c>
      <c r="H72" s="161">
        <f t="shared" si="6"/>
        <v>-3.1004128027181032E-3</v>
      </c>
      <c r="I72" s="174"/>
      <c r="J72" s="164">
        <v>840.17999299999997</v>
      </c>
      <c r="K72" s="180">
        <f t="shared" si="7"/>
        <v>-1.2157944190829169E-3</v>
      </c>
      <c r="L72" s="183"/>
    </row>
    <row r="73" spans="1:12">
      <c r="A73" s="159">
        <v>82.992660999999998</v>
      </c>
      <c r="B73" s="161">
        <f t="shared" si="4"/>
        <v>1.7298546442332651E-2</v>
      </c>
      <c r="C73" s="174"/>
      <c r="D73" s="159">
        <v>55.980614000000003</v>
      </c>
      <c r="E73" s="161">
        <f t="shared" si="5"/>
        <v>9.9113284848140019E-3</v>
      </c>
      <c r="F73" s="174"/>
      <c r="G73" s="159">
        <v>85.336112999999997</v>
      </c>
      <c r="H73" s="161">
        <f t="shared" si="6"/>
        <v>3.99869457753295E-3</v>
      </c>
      <c r="I73" s="174"/>
      <c r="J73" s="164">
        <v>855.13000499999998</v>
      </c>
      <c r="K73" s="180">
        <f t="shared" si="7"/>
        <v>9.9113284848140019E-3</v>
      </c>
      <c r="L73" s="183"/>
    </row>
    <row r="74" spans="1:12">
      <c r="A74" s="159">
        <v>82.316032000000007</v>
      </c>
      <c r="B74" s="161">
        <f t="shared" si="4"/>
        <v>-8.1528775176878746E-3</v>
      </c>
      <c r="C74" s="174"/>
      <c r="D74" s="159">
        <v>56.240848999999997</v>
      </c>
      <c r="E74" s="161">
        <f t="shared" si="5"/>
        <v>4.6486628388890915E-3</v>
      </c>
      <c r="F74" s="174"/>
      <c r="G74" s="159">
        <v>85.723183000000006</v>
      </c>
      <c r="H74" s="161">
        <f t="shared" si="6"/>
        <v>4.5358288114201832E-3</v>
      </c>
      <c r="I74" s="174"/>
      <c r="J74" s="164">
        <v>853.98999000000003</v>
      </c>
      <c r="K74" s="180">
        <f t="shared" si="7"/>
        <v>4.6486628388890915E-3</v>
      </c>
      <c r="L74" s="183"/>
    </row>
    <row r="75" spans="1:12">
      <c r="A75" s="159">
        <v>81.639411999999993</v>
      </c>
      <c r="B75" s="161">
        <f t="shared" si="4"/>
        <v>-8.2197839662632669E-3</v>
      </c>
      <c r="C75" s="174"/>
      <c r="D75" s="159">
        <v>56.905914000000003</v>
      </c>
      <c r="E75" s="161">
        <f t="shared" si="5"/>
        <v>1.1825301570394246E-2</v>
      </c>
      <c r="F75" s="174"/>
      <c r="G75" s="159">
        <v>85.237639999999999</v>
      </c>
      <c r="H75" s="161">
        <f t="shared" si="6"/>
        <v>-5.664080392348554E-3</v>
      </c>
      <c r="I75" s="174"/>
      <c r="J75" s="164">
        <v>856.51000999999997</v>
      </c>
      <c r="K75" s="180">
        <f t="shared" si="7"/>
        <v>1.1825301570394246E-2</v>
      </c>
      <c r="L75" s="183"/>
    </row>
    <row r="76" spans="1:12">
      <c r="A76" s="159">
        <v>82.693023999999994</v>
      </c>
      <c r="B76" s="161">
        <f t="shared" si="4"/>
        <v>1.2905678448541512E-2</v>
      </c>
      <c r="C76" s="174"/>
      <c r="D76" s="159">
        <v>57.908324999999998</v>
      </c>
      <c r="E76" s="161">
        <f t="shared" si="5"/>
        <v>1.7615234156506034E-2</v>
      </c>
      <c r="F76" s="174"/>
      <c r="G76" s="159">
        <v>84.980782000000005</v>
      </c>
      <c r="H76" s="161">
        <f t="shared" si="6"/>
        <v>-3.013433971189184E-3</v>
      </c>
      <c r="I76" s="174"/>
      <c r="J76" s="164">
        <v>860.080017</v>
      </c>
      <c r="K76" s="180">
        <f t="shared" si="7"/>
        <v>1.7615234156506034E-2</v>
      </c>
      <c r="L76" s="183"/>
    </row>
    <row r="77" spans="1:12">
      <c r="A77" s="159">
        <v>81.697411000000002</v>
      </c>
      <c r="B77" s="161">
        <f t="shared" si="4"/>
        <v>-1.2039866869543817E-2</v>
      </c>
      <c r="C77" s="174"/>
      <c r="D77" s="159">
        <v>58.419167000000002</v>
      </c>
      <c r="E77" s="161">
        <f t="shared" si="5"/>
        <v>8.8215640842660148E-3</v>
      </c>
      <c r="F77" s="174"/>
      <c r="G77" s="159">
        <v>84.305344000000005</v>
      </c>
      <c r="H77" s="161">
        <f t="shared" si="6"/>
        <v>-7.9481264363982871E-3</v>
      </c>
      <c r="I77" s="174"/>
      <c r="J77" s="164">
        <v>858.95001200000002</v>
      </c>
      <c r="K77" s="180">
        <f t="shared" si="7"/>
        <v>8.8215640842660148E-3</v>
      </c>
      <c r="L77" s="183"/>
    </row>
    <row r="78" spans="1:12">
      <c r="A78" s="159">
        <v>84.577881000000005</v>
      </c>
      <c r="B78" s="161">
        <f t="shared" si="4"/>
        <v>3.5257788034433579E-2</v>
      </c>
      <c r="C78" s="174"/>
      <c r="D78" s="159">
        <v>58.901088999999999</v>
      </c>
      <c r="E78" s="161">
        <f t="shared" si="5"/>
        <v>8.2493815771114525E-3</v>
      </c>
      <c r="F78" s="174"/>
      <c r="G78" s="159">
        <v>85.190078999999997</v>
      </c>
      <c r="H78" s="161">
        <f t="shared" si="6"/>
        <v>1.0494411837047862E-2</v>
      </c>
      <c r="I78" s="174"/>
      <c r="J78" s="164">
        <v>878.92999299999997</v>
      </c>
      <c r="K78" s="180">
        <f t="shared" si="7"/>
        <v>8.2493815771114525E-3</v>
      </c>
      <c r="L78" s="183"/>
    </row>
    <row r="79" spans="1:12">
      <c r="A79" s="159">
        <v>85.312515000000005</v>
      </c>
      <c r="B79" s="161">
        <f t="shared" si="4"/>
        <v>8.6858879805702359E-3</v>
      </c>
      <c r="C79" s="174"/>
      <c r="D79" s="159">
        <v>58.756512000000001</v>
      </c>
      <c r="E79" s="161">
        <f t="shared" si="5"/>
        <v>-2.4545726140988359E-3</v>
      </c>
      <c r="F79" s="174"/>
      <c r="G79" s="159">
        <v>85.618155999999999</v>
      </c>
      <c r="H79" s="161">
        <f t="shared" si="6"/>
        <v>5.0249630593722288E-3</v>
      </c>
      <c r="I79" s="174"/>
      <c r="J79" s="164">
        <v>888.84002699999996</v>
      </c>
      <c r="K79" s="180">
        <f t="shared" si="7"/>
        <v>-2.4545726140988359E-3</v>
      </c>
      <c r="L79" s="183"/>
    </row>
    <row r="80" spans="1:12">
      <c r="A80" s="159">
        <v>85.476837000000003</v>
      </c>
      <c r="B80" s="161">
        <f t="shared" si="4"/>
        <v>1.9261183426604938E-3</v>
      </c>
      <c r="C80" s="174"/>
      <c r="D80" s="159">
        <v>59.334823999999998</v>
      </c>
      <c r="E80" s="161">
        <f t="shared" si="5"/>
        <v>9.8425175408641818E-3</v>
      </c>
      <c r="F80" s="174"/>
      <c r="G80" s="159">
        <v>83.468192999999999</v>
      </c>
      <c r="H80" s="161">
        <f t="shared" si="6"/>
        <v>-2.5111064059823943E-2</v>
      </c>
      <c r="I80" s="174"/>
      <c r="J80" s="164">
        <v>889.14001499999995</v>
      </c>
      <c r="K80" s="180">
        <f t="shared" si="7"/>
        <v>9.8425175408641818E-3</v>
      </c>
      <c r="L80" s="183"/>
    </row>
    <row r="81" spans="1:12">
      <c r="A81" s="159">
        <v>84.684218999999999</v>
      </c>
      <c r="B81" s="161">
        <f t="shared" si="4"/>
        <v>-9.2728981068871848E-3</v>
      </c>
      <c r="C81" s="174"/>
      <c r="D81" s="159">
        <v>59.084220999999999</v>
      </c>
      <c r="E81" s="161">
        <f t="shared" si="5"/>
        <v>-4.2235399569062202E-3</v>
      </c>
      <c r="F81" s="174"/>
      <c r="G81" s="159">
        <v>83.420631</v>
      </c>
      <c r="H81" s="161">
        <f t="shared" si="6"/>
        <v>-5.6982184818592176E-4</v>
      </c>
      <c r="I81" s="174"/>
      <c r="J81" s="164">
        <v>891.44000200000005</v>
      </c>
      <c r="K81" s="180">
        <f t="shared" si="7"/>
        <v>-4.2235399569062202E-3</v>
      </c>
      <c r="L81" s="183"/>
    </row>
    <row r="82" spans="1:12">
      <c r="A82" s="159">
        <v>84.094588999999999</v>
      </c>
      <c r="B82" s="161">
        <f t="shared" si="4"/>
        <v>-6.9626904157904512E-3</v>
      </c>
      <c r="C82" s="174"/>
      <c r="D82" s="159">
        <v>57.889046</v>
      </c>
      <c r="E82" s="161">
        <f t="shared" si="5"/>
        <v>-2.0228327965938639E-2</v>
      </c>
      <c r="F82" s="174"/>
      <c r="G82" s="159">
        <v>83.078163000000004</v>
      </c>
      <c r="H82" s="161">
        <f t="shared" si="6"/>
        <v>-4.1053153865498408E-3</v>
      </c>
      <c r="I82" s="174"/>
      <c r="J82" s="164">
        <v>924.52002000000005</v>
      </c>
      <c r="K82" s="180">
        <f t="shared" si="7"/>
        <v>-2.0228327965938639E-2</v>
      </c>
      <c r="L82" s="183"/>
    </row>
    <row r="83" spans="1:12">
      <c r="A83" s="159">
        <v>84.15258</v>
      </c>
      <c r="B83" s="161">
        <f t="shared" si="4"/>
        <v>6.8959252538830095E-4</v>
      </c>
      <c r="C83" s="174"/>
      <c r="D83" s="159">
        <v>58.004707000000003</v>
      </c>
      <c r="E83" s="161">
        <f t="shared" si="5"/>
        <v>1.9979773029944717E-3</v>
      </c>
      <c r="F83" s="174"/>
      <c r="G83" s="159">
        <v>82.849838000000005</v>
      </c>
      <c r="H83" s="161">
        <f t="shared" si="6"/>
        <v>-2.7483154628731754E-3</v>
      </c>
      <c r="I83" s="174"/>
      <c r="J83" s="164">
        <v>932.82000700000003</v>
      </c>
      <c r="K83" s="180">
        <f t="shared" si="7"/>
        <v>1.9979773029944717E-3</v>
      </c>
      <c r="L83" s="183"/>
    </row>
    <row r="84" spans="1:12">
      <c r="A84" s="159">
        <v>83.611289999999997</v>
      </c>
      <c r="B84" s="161">
        <f t="shared" si="4"/>
        <v>-6.4322448580899552E-3</v>
      </c>
      <c r="C84" s="174"/>
      <c r="D84" s="159">
        <v>58.313136999999998</v>
      </c>
      <c r="E84" s="161">
        <f t="shared" si="5"/>
        <v>5.3173270920926158E-3</v>
      </c>
      <c r="F84" s="174"/>
      <c r="G84" s="159">
        <v>82.022186000000005</v>
      </c>
      <c r="H84" s="161">
        <f t="shared" si="6"/>
        <v>-9.989784168316666E-3</v>
      </c>
      <c r="I84" s="174"/>
      <c r="J84" s="164">
        <v>937.09002699999996</v>
      </c>
      <c r="K84" s="180">
        <f t="shared" si="7"/>
        <v>5.3173270920926158E-3</v>
      </c>
      <c r="L84" s="183"/>
    </row>
    <row r="85" spans="1:12">
      <c r="A85" s="159">
        <v>84.094588999999999</v>
      </c>
      <c r="B85" s="161">
        <f t="shared" si="4"/>
        <v>5.780307898610372E-3</v>
      </c>
      <c r="C85" s="174"/>
      <c r="D85" s="159">
        <v>58.399883000000003</v>
      </c>
      <c r="E85" s="161">
        <f t="shared" si="5"/>
        <v>1.487589323140086E-3</v>
      </c>
      <c r="F85" s="174"/>
      <c r="G85" s="159">
        <v>82.221976999999995</v>
      </c>
      <c r="H85" s="161">
        <f t="shared" si="6"/>
        <v>2.4358165728476256E-3</v>
      </c>
      <c r="I85" s="174"/>
      <c r="J85" s="164">
        <v>948.45001200000002</v>
      </c>
      <c r="K85" s="180">
        <f t="shared" si="7"/>
        <v>1.487589323140086E-3</v>
      </c>
      <c r="L85" s="183"/>
    </row>
    <row r="86" spans="1:12">
      <c r="A86" s="159">
        <v>84.191246000000007</v>
      </c>
      <c r="B86" s="161">
        <f t="shared" si="4"/>
        <v>1.1493842962953008E-3</v>
      </c>
      <c r="C86" s="174"/>
      <c r="D86" s="159">
        <v>58.631210000000003</v>
      </c>
      <c r="E86" s="161">
        <f t="shared" si="5"/>
        <v>3.9610867028620636E-3</v>
      </c>
      <c r="F86" s="174"/>
      <c r="G86" s="159">
        <v>82.240982000000002</v>
      </c>
      <c r="H86" s="161">
        <f t="shared" si="6"/>
        <v>2.3114258125910844E-4</v>
      </c>
      <c r="I86" s="174"/>
      <c r="J86" s="164">
        <v>954.71997099999999</v>
      </c>
      <c r="K86" s="180">
        <f t="shared" si="7"/>
        <v>3.9610867028620636E-3</v>
      </c>
      <c r="L86" s="183"/>
    </row>
    <row r="87" spans="1:12">
      <c r="A87" s="159">
        <v>84.094588999999999</v>
      </c>
      <c r="B87" s="161">
        <f t="shared" si="4"/>
        <v>-1.1480647287249739E-3</v>
      </c>
      <c r="C87" s="174"/>
      <c r="D87" s="159">
        <v>58.746876</v>
      </c>
      <c r="E87" s="161">
        <f t="shared" si="5"/>
        <v>1.9727718394349594E-3</v>
      </c>
      <c r="F87" s="174"/>
      <c r="G87" s="159">
        <v>82.288567</v>
      </c>
      <c r="H87" s="161">
        <f t="shared" si="6"/>
        <v>5.7860447240279779E-4</v>
      </c>
      <c r="I87" s="174"/>
      <c r="J87" s="164">
        <v>950.28002900000001</v>
      </c>
      <c r="K87" s="180">
        <f t="shared" si="7"/>
        <v>1.9727718394349594E-3</v>
      </c>
      <c r="L87" s="183"/>
    </row>
    <row r="88" spans="1:12">
      <c r="A88" s="159">
        <v>84.191246000000007</v>
      </c>
      <c r="B88" s="161">
        <f t="shared" si="4"/>
        <v>1.1493842962953008E-3</v>
      </c>
      <c r="C88" s="174"/>
      <c r="D88" s="159">
        <v>58.737236000000003</v>
      </c>
      <c r="E88" s="161">
        <f t="shared" si="5"/>
        <v>-1.640938319851668E-4</v>
      </c>
      <c r="F88" s="174"/>
      <c r="G88" s="159">
        <v>82.336135999999996</v>
      </c>
      <c r="H88" s="161">
        <f t="shared" si="6"/>
        <v>5.7807544515869078E-4</v>
      </c>
      <c r="I88" s="174"/>
      <c r="J88" s="164">
        <v>958.69000200000005</v>
      </c>
      <c r="K88" s="180">
        <f t="shared" si="7"/>
        <v>-1.640938319851668E-4</v>
      </c>
      <c r="L88" s="183"/>
    </row>
    <row r="89" spans="1:12">
      <c r="A89" s="159">
        <v>83.852942999999996</v>
      </c>
      <c r="B89" s="161">
        <f t="shared" si="4"/>
        <v>-4.0182681225552882E-3</v>
      </c>
      <c r="C89" s="174"/>
      <c r="D89" s="159">
        <v>59.017901999999999</v>
      </c>
      <c r="E89" s="161">
        <f t="shared" si="5"/>
        <v>4.7783317553450506E-3</v>
      </c>
      <c r="F89" s="174"/>
      <c r="G89" s="159">
        <v>82.193427999999997</v>
      </c>
      <c r="H89" s="161">
        <f t="shared" si="6"/>
        <v>-1.7332365463445958E-3</v>
      </c>
      <c r="I89" s="174"/>
      <c r="J89" s="164">
        <v>956.71002199999998</v>
      </c>
      <c r="K89" s="180">
        <f t="shared" si="7"/>
        <v>4.7783317553450506E-3</v>
      </c>
      <c r="L89" s="183"/>
    </row>
    <row r="90" spans="1:12">
      <c r="A90" s="159">
        <v>84.510222999999996</v>
      </c>
      <c r="B90" s="161">
        <f t="shared" si="4"/>
        <v>7.8384845717341146E-3</v>
      </c>
      <c r="C90" s="174"/>
      <c r="D90" s="159">
        <v>58.708202</v>
      </c>
      <c r="E90" s="161">
        <f t="shared" si="5"/>
        <v>-5.247560308057027E-3</v>
      </c>
      <c r="F90" s="174"/>
      <c r="G90" s="159">
        <v>82.279053000000005</v>
      </c>
      <c r="H90" s="161">
        <f t="shared" si="6"/>
        <v>1.0417499559698057E-3</v>
      </c>
      <c r="I90" s="174"/>
      <c r="J90" s="164">
        <v>954.84002699999996</v>
      </c>
      <c r="K90" s="180">
        <f t="shared" si="7"/>
        <v>-5.247560308057027E-3</v>
      </c>
      <c r="L90" s="183"/>
    </row>
    <row r="91" spans="1:12">
      <c r="A91" s="159">
        <v>84.249245000000002</v>
      </c>
      <c r="B91" s="161">
        <f t="shared" si="4"/>
        <v>-3.0881234333033814E-3</v>
      </c>
      <c r="C91" s="174"/>
      <c r="D91" s="159">
        <v>58.330753000000001</v>
      </c>
      <c r="E91" s="161">
        <f t="shared" si="5"/>
        <v>-6.4292379453214834E-3</v>
      </c>
      <c r="F91" s="174"/>
      <c r="G91" s="159">
        <v>81.974625000000003</v>
      </c>
      <c r="H91" s="161">
        <f t="shared" si="6"/>
        <v>-3.6999453554722055E-3</v>
      </c>
      <c r="I91" s="174"/>
      <c r="J91" s="164">
        <v>955.89001499999995</v>
      </c>
      <c r="K91" s="180">
        <f t="shared" si="7"/>
        <v>-6.4292379453214834E-3</v>
      </c>
      <c r="L91" s="183"/>
    </row>
    <row r="92" spans="1:12">
      <c r="A92" s="159">
        <v>84.017250000000004</v>
      </c>
      <c r="B92" s="161">
        <f t="shared" si="4"/>
        <v>-2.7536745284779435E-3</v>
      </c>
      <c r="C92" s="174"/>
      <c r="D92" s="159">
        <v>58.001685999999999</v>
      </c>
      <c r="E92" s="161">
        <f t="shared" si="5"/>
        <v>-5.6413981146446364E-3</v>
      </c>
      <c r="F92" s="174"/>
      <c r="G92" s="159">
        <v>81.993660000000006</v>
      </c>
      <c r="H92" s="161">
        <f t="shared" si="6"/>
        <v>2.3220600277222805E-4</v>
      </c>
      <c r="I92" s="174"/>
      <c r="J92" s="164">
        <v>955.14001499999995</v>
      </c>
      <c r="K92" s="180">
        <f t="shared" si="7"/>
        <v>-5.6413981146446364E-3</v>
      </c>
      <c r="L92" s="183"/>
    </row>
    <row r="93" spans="1:12">
      <c r="A93" s="159">
        <v>84.423225000000002</v>
      </c>
      <c r="B93" s="161">
        <f t="shared" si="4"/>
        <v>4.8320434196548676E-3</v>
      </c>
      <c r="C93" s="174"/>
      <c r="D93" s="159">
        <v>58.504955000000002</v>
      </c>
      <c r="E93" s="161">
        <f t="shared" si="5"/>
        <v>8.676799498552561E-3</v>
      </c>
      <c r="F93" s="174"/>
      <c r="G93" s="159">
        <v>82.126853999999994</v>
      </c>
      <c r="H93" s="161">
        <f t="shared" si="6"/>
        <v>1.6244426703233997E-3</v>
      </c>
      <c r="I93" s="174"/>
      <c r="J93" s="164">
        <v>959.21997099999999</v>
      </c>
      <c r="K93" s="180">
        <f t="shared" si="7"/>
        <v>8.676799498552561E-3</v>
      </c>
      <c r="L93" s="183"/>
    </row>
    <row r="94" spans="1:12">
      <c r="A94" s="159">
        <v>84.684218999999999</v>
      </c>
      <c r="B94" s="161">
        <f t="shared" si="4"/>
        <v>3.0914952609308235E-3</v>
      </c>
      <c r="C94" s="174"/>
      <c r="D94" s="159">
        <v>58.050078999999997</v>
      </c>
      <c r="E94" s="161">
        <f t="shared" si="5"/>
        <v>-7.7749995705492948E-3</v>
      </c>
      <c r="F94" s="174"/>
      <c r="G94" s="159">
        <v>82.041222000000005</v>
      </c>
      <c r="H94" s="161">
        <f t="shared" si="6"/>
        <v>-1.0426796574965567E-3</v>
      </c>
      <c r="I94" s="174"/>
      <c r="J94" s="164">
        <v>964.60998500000005</v>
      </c>
      <c r="K94" s="180">
        <f t="shared" si="7"/>
        <v>-7.7749995705492948E-3</v>
      </c>
      <c r="L94" s="183"/>
    </row>
    <row r="95" spans="1:12">
      <c r="A95" s="159">
        <v>81.455765</v>
      </c>
      <c r="B95" s="161">
        <f t="shared" si="4"/>
        <v>-3.8123443046690901E-2</v>
      </c>
      <c r="C95" s="174"/>
      <c r="D95" s="159">
        <v>57.808124999999997</v>
      </c>
      <c r="E95" s="161">
        <f t="shared" si="5"/>
        <v>-4.168021890202764E-3</v>
      </c>
      <c r="F95" s="174"/>
      <c r="G95" s="159">
        <v>82.060257000000007</v>
      </c>
      <c r="H95" s="161">
        <f t="shared" si="6"/>
        <v>2.3201750944180664E-4</v>
      </c>
      <c r="I95" s="174"/>
      <c r="J95" s="164">
        <v>942.169983</v>
      </c>
      <c r="K95" s="180">
        <f t="shared" si="7"/>
        <v>-4.168021890202764E-3</v>
      </c>
      <c r="L95" s="183"/>
    </row>
    <row r="96" spans="1:12">
      <c r="A96" s="159">
        <v>81.156104999999997</v>
      </c>
      <c r="B96" s="161">
        <f t="shared" si="4"/>
        <v>-3.6788065276902493E-3</v>
      </c>
      <c r="C96" s="174"/>
      <c r="D96" s="159">
        <v>57.895226000000001</v>
      </c>
      <c r="E96" s="161">
        <f t="shared" si="5"/>
        <v>1.5067259143935925E-3</v>
      </c>
      <c r="F96" s="174"/>
      <c r="G96" s="159">
        <v>81.689246999999995</v>
      </c>
      <c r="H96" s="161">
        <f t="shared" si="6"/>
        <v>-4.5211898373656379E-3</v>
      </c>
      <c r="I96" s="174"/>
      <c r="J96" s="164">
        <v>950.5</v>
      </c>
      <c r="K96" s="180">
        <f t="shared" si="7"/>
        <v>1.5067259143935925E-3</v>
      </c>
      <c r="L96" s="183"/>
    </row>
    <row r="97" spans="1:12">
      <c r="A97" s="159">
        <v>81.948723000000001</v>
      </c>
      <c r="B97" s="161">
        <f t="shared" si="4"/>
        <v>9.7665850277068433E-3</v>
      </c>
      <c r="C97" s="174"/>
      <c r="D97" s="159">
        <v>59.385677000000001</v>
      </c>
      <c r="E97" s="161">
        <f t="shared" si="5"/>
        <v>2.5743936123506974E-2</v>
      </c>
      <c r="F97" s="174"/>
      <c r="G97" s="159">
        <v>82.041222000000005</v>
      </c>
      <c r="H97" s="161">
        <f t="shared" si="6"/>
        <v>4.308706628180942E-3</v>
      </c>
      <c r="I97" s="174"/>
      <c r="J97" s="164">
        <v>954.65002400000003</v>
      </c>
      <c r="K97" s="180">
        <f t="shared" si="7"/>
        <v>2.5743936123506974E-2</v>
      </c>
      <c r="L97" s="183"/>
    </row>
    <row r="98" spans="1:12">
      <c r="A98" s="159">
        <v>81.871398999999997</v>
      </c>
      <c r="B98" s="161">
        <f t="shared" si="4"/>
        <v>-9.435656489730095E-4</v>
      </c>
      <c r="C98" s="174"/>
      <c r="D98" s="159">
        <v>59.259861000000001</v>
      </c>
      <c r="E98" s="161">
        <f t="shared" si="5"/>
        <v>-2.1186253378908245E-3</v>
      </c>
      <c r="F98" s="174"/>
      <c r="G98" s="159">
        <v>82.012687999999997</v>
      </c>
      <c r="H98" s="161">
        <f t="shared" si="6"/>
        <v>-3.4780076776535102E-4</v>
      </c>
      <c r="I98" s="174"/>
      <c r="J98" s="164">
        <v>964.07000700000003</v>
      </c>
      <c r="K98" s="180">
        <f t="shared" si="7"/>
        <v>-2.1186253378908245E-3</v>
      </c>
      <c r="L98" s="183"/>
    </row>
    <row r="99" spans="1:12">
      <c r="A99" s="159">
        <v>82.895995999999997</v>
      </c>
      <c r="B99" s="161">
        <f t="shared" si="4"/>
        <v>1.2514712250122904E-2</v>
      </c>
      <c r="C99" s="174"/>
      <c r="D99" s="159">
        <v>59.182437999999998</v>
      </c>
      <c r="E99" s="161">
        <f t="shared" si="5"/>
        <v>-1.306499858310554E-3</v>
      </c>
      <c r="F99" s="174"/>
      <c r="G99" s="159">
        <v>81.889022999999995</v>
      </c>
      <c r="H99" s="161">
        <f t="shared" si="6"/>
        <v>-1.5078764398016387E-3</v>
      </c>
      <c r="I99" s="174"/>
      <c r="J99" s="164">
        <v>970.54998799999998</v>
      </c>
      <c r="K99" s="180">
        <f t="shared" si="7"/>
        <v>-1.306499858310554E-3</v>
      </c>
      <c r="L99" s="183"/>
    </row>
    <row r="100" spans="1:12">
      <c r="A100" s="159">
        <v>82.847672000000003</v>
      </c>
      <c r="B100" s="161">
        <f t="shared" si="4"/>
        <v>-5.8294733559861953E-4</v>
      </c>
      <c r="C100" s="174"/>
      <c r="D100" s="159">
        <v>59.898620999999999</v>
      </c>
      <c r="E100" s="161">
        <f t="shared" si="5"/>
        <v>1.2101275719665367E-2</v>
      </c>
      <c r="F100" s="174"/>
      <c r="G100" s="159">
        <v>82.288567</v>
      </c>
      <c r="H100" s="161">
        <f t="shared" si="6"/>
        <v>4.8790910596162064E-3</v>
      </c>
      <c r="I100" s="174"/>
      <c r="J100" s="164">
        <v>977.60998500000005</v>
      </c>
      <c r="K100" s="180">
        <f t="shared" si="7"/>
        <v>1.2101275719665367E-2</v>
      </c>
      <c r="L100" s="183"/>
    </row>
    <row r="101" spans="1:12">
      <c r="A101" s="159">
        <v>82.499695000000003</v>
      </c>
      <c r="B101" s="161">
        <f t="shared" si="4"/>
        <v>-4.2002025114236188E-3</v>
      </c>
      <c r="C101" s="174"/>
      <c r="D101" s="159">
        <v>60.876125000000002</v>
      </c>
      <c r="E101" s="161">
        <f t="shared" si="5"/>
        <v>1.6319307250829751E-2</v>
      </c>
      <c r="F101" s="174"/>
      <c r="G101" s="159">
        <v>82.631050000000002</v>
      </c>
      <c r="H101" s="161">
        <f t="shared" si="6"/>
        <v>4.1619755026236077E-3</v>
      </c>
      <c r="I101" s="174"/>
      <c r="J101" s="164">
        <v>991.85998500000005</v>
      </c>
      <c r="K101" s="180">
        <f t="shared" si="7"/>
        <v>1.6319307250829751E-2</v>
      </c>
      <c r="L101" s="183"/>
    </row>
    <row r="102" spans="1:12">
      <c r="A102" s="159">
        <v>82.509354000000002</v>
      </c>
      <c r="B102" s="161">
        <f t="shared" si="4"/>
        <v>1.1707922071710927E-4</v>
      </c>
      <c r="C102" s="174"/>
      <c r="D102" s="159">
        <v>61.263252000000001</v>
      </c>
      <c r="E102" s="161">
        <f t="shared" si="5"/>
        <v>6.3592582477941815E-3</v>
      </c>
      <c r="F102" s="174"/>
      <c r="G102" s="159">
        <v>83.002044999999995</v>
      </c>
      <c r="H102" s="161">
        <f t="shared" si="6"/>
        <v>4.4897771479364421E-3</v>
      </c>
      <c r="I102" s="174"/>
      <c r="J102" s="164">
        <v>993.27002000000005</v>
      </c>
      <c r="K102" s="180">
        <f t="shared" si="7"/>
        <v>6.3592582477941815E-3</v>
      </c>
      <c r="L102" s="183"/>
    </row>
    <row r="103" spans="1:12">
      <c r="A103" s="159">
        <v>81.098113999999995</v>
      </c>
      <c r="B103" s="161">
        <f t="shared" si="4"/>
        <v>-1.7104000111308668E-2</v>
      </c>
      <c r="C103" s="174"/>
      <c r="D103" s="159">
        <v>61.224536999999998</v>
      </c>
      <c r="E103" s="161">
        <f t="shared" si="5"/>
        <v>-6.3194490556922091E-4</v>
      </c>
      <c r="F103" s="174"/>
      <c r="G103" s="159">
        <v>83.144745</v>
      </c>
      <c r="H103" s="161">
        <f t="shared" si="6"/>
        <v>1.7192347489752204E-3</v>
      </c>
      <c r="I103" s="174"/>
      <c r="J103" s="164">
        <v>996.169983</v>
      </c>
      <c r="K103" s="180">
        <f t="shared" si="7"/>
        <v>-6.3194490556922091E-4</v>
      </c>
      <c r="L103" s="183"/>
    </row>
    <row r="104" spans="1:12">
      <c r="A104" s="159">
        <v>79.406563000000006</v>
      </c>
      <c r="B104" s="161">
        <f t="shared" si="4"/>
        <v>-2.0858080620715667E-2</v>
      </c>
      <c r="C104" s="174"/>
      <c r="D104" s="159">
        <v>61.563285999999998</v>
      </c>
      <c r="E104" s="161">
        <f t="shared" si="5"/>
        <v>5.5328960674704648E-3</v>
      </c>
      <c r="F104" s="174"/>
      <c r="G104" s="159">
        <v>83.801140000000004</v>
      </c>
      <c r="H104" s="161">
        <f t="shared" si="6"/>
        <v>7.8946059669796741E-3</v>
      </c>
      <c r="I104" s="174"/>
      <c r="J104" s="164">
        <v>987.09002699999996</v>
      </c>
      <c r="K104" s="180">
        <f t="shared" si="7"/>
        <v>5.5328960674704648E-3</v>
      </c>
      <c r="L104" s="183"/>
    </row>
    <row r="105" spans="1:12">
      <c r="A105" s="159">
        <v>80.286170999999996</v>
      </c>
      <c r="B105" s="161">
        <f t="shared" si="4"/>
        <v>1.1077270779242646E-2</v>
      </c>
      <c r="C105" s="174"/>
      <c r="D105" s="159">
        <v>61.698771999999998</v>
      </c>
      <c r="E105" s="161">
        <f t="shared" si="5"/>
        <v>2.2007597190312456E-3</v>
      </c>
      <c r="F105" s="174"/>
      <c r="G105" s="159">
        <v>83.839211000000006</v>
      </c>
      <c r="H105" s="161">
        <f t="shared" si="6"/>
        <v>4.5430169565714961E-4</v>
      </c>
      <c r="I105" s="174"/>
      <c r="J105" s="164">
        <v>988.28997800000002</v>
      </c>
      <c r="K105" s="180">
        <f t="shared" si="7"/>
        <v>2.2007597190312456E-3</v>
      </c>
      <c r="L105" s="183"/>
    </row>
    <row r="106" spans="1:12">
      <c r="A106" s="159">
        <v>79.880195999999998</v>
      </c>
      <c r="B106" s="161">
        <f t="shared" si="4"/>
        <v>-5.0565993488467399E-3</v>
      </c>
      <c r="C106" s="174"/>
      <c r="D106" s="159">
        <v>62.49239</v>
      </c>
      <c r="E106" s="161">
        <f t="shared" si="5"/>
        <v>1.2862784367896368E-2</v>
      </c>
      <c r="F106" s="174"/>
      <c r="G106" s="159">
        <v>84.276809999999998</v>
      </c>
      <c r="H106" s="161">
        <f t="shared" si="6"/>
        <v>5.2195028409796418E-3</v>
      </c>
      <c r="I106" s="174"/>
      <c r="J106" s="164">
        <v>996.11999500000002</v>
      </c>
      <c r="K106" s="180">
        <f t="shared" si="7"/>
        <v>1.2862784367896368E-2</v>
      </c>
      <c r="L106" s="183"/>
    </row>
    <row r="107" spans="1:12">
      <c r="A107" s="159">
        <v>80.025176999999999</v>
      </c>
      <c r="B107" s="161">
        <f t="shared" si="4"/>
        <v>1.8149805240838589E-3</v>
      </c>
      <c r="C107" s="174"/>
      <c r="D107" s="159">
        <v>62.202041999999999</v>
      </c>
      <c r="E107" s="161">
        <f t="shared" si="5"/>
        <v>-4.64613371324095E-3</v>
      </c>
      <c r="F107" s="174"/>
      <c r="G107" s="159">
        <v>84.419501999999994</v>
      </c>
      <c r="H107" s="161">
        <f t="shared" si="6"/>
        <v>1.6931348018511465E-3</v>
      </c>
      <c r="I107" s="174"/>
      <c r="J107" s="164">
        <v>1003.880005</v>
      </c>
      <c r="K107" s="180">
        <f t="shared" si="7"/>
        <v>-4.64613371324095E-3</v>
      </c>
      <c r="L107" s="183"/>
    </row>
    <row r="108" spans="1:12">
      <c r="A108" s="159">
        <v>80.189507000000006</v>
      </c>
      <c r="B108" s="161">
        <f t="shared" si="4"/>
        <v>2.0534787445706838E-3</v>
      </c>
      <c r="C108" s="174"/>
      <c r="D108" s="159">
        <v>62.095585</v>
      </c>
      <c r="E108" s="161">
        <f t="shared" si="5"/>
        <v>-1.7114711443074315E-3</v>
      </c>
      <c r="F108" s="174"/>
      <c r="G108" s="159">
        <v>84.476585</v>
      </c>
      <c r="H108" s="161">
        <f t="shared" si="6"/>
        <v>6.7618261950900605E-4</v>
      </c>
      <c r="I108" s="174"/>
      <c r="J108" s="164">
        <v>996.67999299999997</v>
      </c>
      <c r="K108" s="180">
        <f t="shared" si="7"/>
        <v>-1.7114711443074315E-3</v>
      </c>
      <c r="L108" s="183"/>
    </row>
    <row r="109" spans="1:12">
      <c r="A109" s="159">
        <v>81.107795999999993</v>
      </c>
      <c r="B109" s="161">
        <f t="shared" si="4"/>
        <v>1.1451485791027336E-2</v>
      </c>
      <c r="C109" s="174"/>
      <c r="D109" s="159">
        <v>61.456820999999998</v>
      </c>
      <c r="E109" s="161">
        <f t="shared" si="5"/>
        <v>-1.0286786089542468E-2</v>
      </c>
      <c r="F109" s="174"/>
      <c r="G109" s="159">
        <v>84.448036000000002</v>
      </c>
      <c r="H109" s="161">
        <f t="shared" si="6"/>
        <v>-3.3795163476362308E-4</v>
      </c>
      <c r="I109" s="174"/>
      <c r="J109" s="164">
        <v>1001.5</v>
      </c>
      <c r="K109" s="180">
        <f t="shared" si="7"/>
        <v>-1.0286786089542468E-2</v>
      </c>
      <c r="L109" s="183"/>
    </row>
    <row r="110" spans="1:12">
      <c r="A110" s="159">
        <v>82.113045</v>
      </c>
      <c r="B110" s="161">
        <f t="shared" si="4"/>
        <v>1.2393987379462344E-2</v>
      </c>
      <c r="C110" s="174"/>
      <c r="D110" s="159">
        <v>60.237358</v>
      </c>
      <c r="E110" s="161">
        <f t="shared" si="5"/>
        <v>-1.9842598106400551E-2</v>
      </c>
      <c r="F110" s="174"/>
      <c r="G110" s="159">
        <v>83.572829999999996</v>
      </c>
      <c r="H110" s="161">
        <f t="shared" si="6"/>
        <v>-1.0363840788434744E-2</v>
      </c>
      <c r="I110" s="174"/>
      <c r="J110" s="164">
        <v>1004.280029</v>
      </c>
      <c r="K110" s="180">
        <f t="shared" si="7"/>
        <v>-1.9842598106400551E-2</v>
      </c>
      <c r="L110" s="183"/>
    </row>
    <row r="111" spans="1:12">
      <c r="A111" s="159">
        <v>84.055915999999996</v>
      </c>
      <c r="B111" s="161">
        <f t="shared" si="4"/>
        <v>2.3660929880264418E-2</v>
      </c>
      <c r="C111" s="174"/>
      <c r="D111" s="159">
        <v>60.188969</v>
      </c>
      <c r="E111" s="161">
        <f t="shared" si="5"/>
        <v>-8.0330548361699794E-4</v>
      </c>
      <c r="F111" s="174"/>
      <c r="G111" s="159">
        <v>83.867751999999996</v>
      </c>
      <c r="H111" s="161">
        <f t="shared" si="6"/>
        <v>3.528922019273485E-3</v>
      </c>
      <c r="I111" s="174"/>
      <c r="J111" s="164">
        <v>970.11999500000002</v>
      </c>
      <c r="K111" s="180">
        <f t="shared" si="7"/>
        <v>-8.0330548361699794E-4</v>
      </c>
      <c r="L111" s="183"/>
    </row>
    <row r="112" spans="1:12">
      <c r="A112" s="159">
        <v>84.075255999999996</v>
      </c>
      <c r="B112" s="161">
        <f t="shared" si="4"/>
        <v>2.3008493536611619E-4</v>
      </c>
      <c r="C112" s="174"/>
      <c r="D112" s="159">
        <v>59.317931999999999</v>
      </c>
      <c r="E112" s="161">
        <f t="shared" si="5"/>
        <v>-1.447170493982047E-2</v>
      </c>
      <c r="F112" s="174"/>
      <c r="G112" s="159">
        <v>83.943839999999994</v>
      </c>
      <c r="H112" s="161">
        <f t="shared" si="6"/>
        <v>9.07237861818433E-4</v>
      </c>
      <c r="I112" s="174"/>
      <c r="J112" s="164">
        <v>961.80999799999995</v>
      </c>
      <c r="K112" s="180">
        <f t="shared" si="7"/>
        <v>-1.447170493982047E-2</v>
      </c>
      <c r="L112" s="183"/>
    </row>
    <row r="113" spans="1:12">
      <c r="A113" s="159">
        <v>84.355568000000005</v>
      </c>
      <c r="B113" s="161">
        <f t="shared" si="4"/>
        <v>3.3340606182633479E-3</v>
      </c>
      <c r="C113" s="174"/>
      <c r="D113" s="159">
        <v>58.959834999999998</v>
      </c>
      <c r="E113" s="161">
        <f t="shared" si="5"/>
        <v>-6.0369097155983254E-3</v>
      </c>
      <c r="F113" s="174"/>
      <c r="G113" s="159">
        <v>83.772614000000004</v>
      </c>
      <c r="H113" s="161">
        <f t="shared" si="6"/>
        <v>-2.0397684928398574E-3</v>
      </c>
      <c r="I113" s="174"/>
      <c r="J113" s="164">
        <v>970.5</v>
      </c>
      <c r="K113" s="180">
        <f t="shared" si="7"/>
        <v>-6.0369097155983254E-3</v>
      </c>
      <c r="L113" s="183"/>
    </row>
    <row r="114" spans="1:12">
      <c r="A114" s="159">
        <v>84.181579999999997</v>
      </c>
      <c r="B114" s="161">
        <f t="shared" si="4"/>
        <v>-2.0625550171152716E-3</v>
      </c>
      <c r="C114" s="174"/>
      <c r="D114" s="159">
        <v>58.330753000000001</v>
      </c>
      <c r="E114" s="161">
        <f t="shared" si="5"/>
        <v>-1.066967029334456E-2</v>
      </c>
      <c r="F114" s="174"/>
      <c r="G114" s="159">
        <v>84.134117000000003</v>
      </c>
      <c r="H114" s="161">
        <f t="shared" si="6"/>
        <v>4.3152885261524606E-3</v>
      </c>
      <c r="I114" s="174"/>
      <c r="J114" s="164">
        <v>967.92999299999997</v>
      </c>
      <c r="K114" s="180">
        <f t="shared" si="7"/>
        <v>-1.066967029334456E-2</v>
      </c>
      <c r="L114" s="183"/>
    </row>
    <row r="115" spans="1:12">
      <c r="A115" s="159">
        <v>83.678955000000002</v>
      </c>
      <c r="B115" s="161">
        <f t="shared" si="4"/>
        <v>-5.9707242368222928E-3</v>
      </c>
      <c r="C115" s="174"/>
      <c r="D115" s="159">
        <v>58.15654</v>
      </c>
      <c r="E115" s="161">
        <f t="shared" si="5"/>
        <v>-2.9866406833459142E-3</v>
      </c>
      <c r="F115" s="174"/>
      <c r="G115" s="159">
        <v>85.028335999999996</v>
      </c>
      <c r="H115" s="161">
        <f t="shared" si="6"/>
        <v>1.0628494502414432E-2</v>
      </c>
      <c r="I115" s="174"/>
      <c r="J115" s="164">
        <v>960.17999299999997</v>
      </c>
      <c r="K115" s="180">
        <f t="shared" si="7"/>
        <v>-2.9866406833459142E-3</v>
      </c>
      <c r="L115" s="183"/>
    </row>
    <row r="116" spans="1:12">
      <c r="A116" s="159">
        <v>83.301970999999995</v>
      </c>
      <c r="B116" s="161">
        <f t="shared" si="4"/>
        <v>-4.5051231818084648E-3</v>
      </c>
      <c r="C116" s="174"/>
      <c r="D116" s="159">
        <v>58.204932999999997</v>
      </c>
      <c r="E116" s="161">
        <f t="shared" si="5"/>
        <v>8.321162159921695E-4</v>
      </c>
      <c r="F116" s="174"/>
      <c r="G116" s="159">
        <v>85.294715999999994</v>
      </c>
      <c r="H116" s="161">
        <f t="shared" si="6"/>
        <v>3.1328379753309305E-3</v>
      </c>
      <c r="I116" s="174"/>
      <c r="J116" s="164">
        <v>958.61999500000002</v>
      </c>
      <c r="K116" s="180">
        <f t="shared" si="7"/>
        <v>8.321162159921695E-4</v>
      </c>
      <c r="L116" s="183"/>
    </row>
    <row r="117" spans="1:12">
      <c r="A117" s="159">
        <v>85.128853000000007</v>
      </c>
      <c r="B117" s="161">
        <f t="shared" si="4"/>
        <v>2.1930837626879345E-2</v>
      </c>
      <c r="C117" s="174"/>
      <c r="D117" s="159">
        <v>58.940479000000003</v>
      </c>
      <c r="E117" s="161">
        <f t="shared" si="5"/>
        <v>1.2637176302565395E-2</v>
      </c>
      <c r="F117" s="174"/>
      <c r="G117" s="159">
        <v>85.484977999999998</v>
      </c>
      <c r="H117" s="161">
        <f t="shared" si="6"/>
        <v>2.2306422826943251E-3</v>
      </c>
      <c r="I117" s="174"/>
      <c r="J117" s="164">
        <v>975.21997099999999</v>
      </c>
      <c r="K117" s="180">
        <f t="shared" si="7"/>
        <v>1.2637176302565395E-2</v>
      </c>
      <c r="L117" s="183"/>
    </row>
    <row r="118" spans="1:12">
      <c r="A118" s="159">
        <v>84.597213999999994</v>
      </c>
      <c r="B118" s="161">
        <f t="shared" si="4"/>
        <v>-6.2451093990425616E-3</v>
      </c>
      <c r="C118" s="174"/>
      <c r="D118" s="159">
        <v>57.933945000000001</v>
      </c>
      <c r="E118" s="161">
        <f t="shared" si="5"/>
        <v>-1.7077126231023709E-2</v>
      </c>
      <c r="F118" s="174"/>
      <c r="G118" s="159">
        <v>85.266174000000007</v>
      </c>
      <c r="H118" s="161">
        <f t="shared" si="6"/>
        <v>-2.5595608154685557E-3</v>
      </c>
      <c r="I118" s="174"/>
      <c r="J118" s="164">
        <v>968.98999000000003</v>
      </c>
      <c r="K118" s="180">
        <f t="shared" si="7"/>
        <v>-1.7077126231023709E-2</v>
      </c>
      <c r="L118" s="183"/>
    </row>
    <row r="119" spans="1:12">
      <c r="A119" s="159">
        <v>84.210587000000004</v>
      </c>
      <c r="B119" s="161">
        <f t="shared" si="4"/>
        <v>-4.5702096052476398E-3</v>
      </c>
      <c r="C119" s="174"/>
      <c r="D119" s="159">
        <v>58.030720000000002</v>
      </c>
      <c r="E119" s="161">
        <f t="shared" si="5"/>
        <v>1.670436908793298E-3</v>
      </c>
      <c r="F119" s="174"/>
      <c r="G119" s="159">
        <v>85.047379000000006</v>
      </c>
      <c r="H119" s="161">
        <f t="shared" si="6"/>
        <v>-2.5660234268280882E-3</v>
      </c>
      <c r="I119" s="174"/>
      <c r="J119" s="164">
        <v>978.59002699999996</v>
      </c>
      <c r="K119" s="180">
        <f t="shared" si="7"/>
        <v>1.670436908793298E-3</v>
      </c>
      <c r="L119" s="183"/>
    </row>
    <row r="120" spans="1:12">
      <c r="A120" s="159">
        <v>84.113913999999994</v>
      </c>
      <c r="B120" s="161">
        <f t="shared" si="4"/>
        <v>-1.1479910477290673E-3</v>
      </c>
      <c r="C120" s="174"/>
      <c r="D120" s="159">
        <v>57.595199999999998</v>
      </c>
      <c r="E120" s="161">
        <f t="shared" si="5"/>
        <v>-7.5049904602252715E-3</v>
      </c>
      <c r="F120" s="174"/>
      <c r="G120" s="159">
        <v>84.695374000000001</v>
      </c>
      <c r="H120" s="161">
        <f t="shared" si="6"/>
        <v>-4.1389282555080904E-3</v>
      </c>
      <c r="I120" s="174"/>
      <c r="J120" s="164">
        <v>976.61999500000002</v>
      </c>
      <c r="K120" s="180">
        <f t="shared" si="7"/>
        <v>-7.5049904602252715E-3</v>
      </c>
      <c r="L120" s="183"/>
    </row>
    <row r="121" spans="1:12">
      <c r="A121" s="159">
        <v>83.959266999999997</v>
      </c>
      <c r="B121" s="161">
        <f t="shared" si="4"/>
        <v>-1.8385424318739596E-3</v>
      </c>
      <c r="C121" s="174"/>
      <c r="D121" s="159">
        <v>57.885551</v>
      </c>
      <c r="E121" s="161">
        <f t="shared" si="5"/>
        <v>5.0412360752285111E-3</v>
      </c>
      <c r="F121" s="174"/>
      <c r="G121" s="159">
        <v>85.066399000000004</v>
      </c>
      <c r="H121" s="161">
        <f t="shared" si="6"/>
        <v>4.380699706220118E-3</v>
      </c>
      <c r="I121" s="174"/>
      <c r="J121" s="164">
        <v>986.09002699999996</v>
      </c>
      <c r="K121" s="180">
        <f t="shared" si="7"/>
        <v>5.0412360752285111E-3</v>
      </c>
      <c r="L121" s="183"/>
    </row>
    <row r="122" spans="1:12">
      <c r="A122" s="159">
        <v>84.326569000000006</v>
      </c>
      <c r="B122" s="161">
        <f t="shared" si="4"/>
        <v>4.3747642532421032E-3</v>
      </c>
      <c r="C122" s="174"/>
      <c r="D122" s="159">
        <v>57.721020000000003</v>
      </c>
      <c r="E122" s="161">
        <f t="shared" si="5"/>
        <v>-2.8423500710910853E-3</v>
      </c>
      <c r="F122" s="174"/>
      <c r="G122" s="159">
        <v>85.009322999999995</v>
      </c>
      <c r="H122" s="161">
        <f t="shared" si="6"/>
        <v>-6.7095822405752984E-4</v>
      </c>
      <c r="I122" s="174"/>
      <c r="J122" s="164">
        <v>972.09002699999996</v>
      </c>
      <c r="K122" s="180">
        <f t="shared" si="7"/>
        <v>-2.8423500710910853E-3</v>
      </c>
      <c r="L122" s="183"/>
    </row>
    <row r="123" spans="1:12">
      <c r="A123" s="159">
        <v>85.109527999999997</v>
      </c>
      <c r="B123" s="161">
        <f t="shared" si="4"/>
        <v>9.2848435467591597E-3</v>
      </c>
      <c r="C123" s="174"/>
      <c r="D123" s="159">
        <v>57.062897</v>
      </c>
      <c r="E123" s="161">
        <f t="shared" si="5"/>
        <v>-1.1401790890043234E-2</v>
      </c>
      <c r="F123" s="174"/>
      <c r="G123" s="159">
        <v>84.295829999999995</v>
      </c>
      <c r="H123" s="161">
        <f t="shared" si="6"/>
        <v>-8.3931147175469178E-3</v>
      </c>
      <c r="I123" s="174"/>
      <c r="J123" s="164">
        <v>948.09002699999996</v>
      </c>
      <c r="K123" s="180">
        <f t="shared" si="7"/>
        <v>-1.1401790890043234E-2</v>
      </c>
      <c r="L123" s="183"/>
    </row>
    <row r="124" spans="1:12">
      <c r="A124" s="159">
        <v>86.820412000000005</v>
      </c>
      <c r="B124" s="161">
        <f t="shared" si="4"/>
        <v>2.0102144145365337E-2</v>
      </c>
      <c r="C124" s="174"/>
      <c r="D124" s="159">
        <v>57.275821999999998</v>
      </c>
      <c r="E124" s="161">
        <f t="shared" si="5"/>
        <v>3.7314088697599506E-3</v>
      </c>
      <c r="F124" s="174"/>
      <c r="G124" s="159">
        <v>84.067520000000002</v>
      </c>
      <c r="H124" s="161">
        <f t="shared" si="6"/>
        <v>-2.7084376534401923E-3</v>
      </c>
      <c r="I124" s="174"/>
      <c r="J124" s="164">
        <v>961.01000999999997</v>
      </c>
      <c r="K124" s="180">
        <f t="shared" si="7"/>
        <v>3.7314088697599506E-3</v>
      </c>
      <c r="L124" s="183"/>
    </row>
    <row r="125" spans="1:12">
      <c r="A125" s="159">
        <v>88.105994999999993</v>
      </c>
      <c r="B125" s="161">
        <f t="shared" si="4"/>
        <v>1.4807381932257915E-2</v>
      </c>
      <c r="C125" s="174"/>
      <c r="D125" s="159">
        <v>56.482208</v>
      </c>
      <c r="E125" s="161">
        <f t="shared" si="5"/>
        <v>-1.3856003672893566E-2</v>
      </c>
      <c r="F125" s="174"/>
      <c r="G125" s="159">
        <v>82.7547</v>
      </c>
      <c r="H125" s="161">
        <f t="shared" si="6"/>
        <v>-1.5616257027684438E-2</v>
      </c>
      <c r="I125" s="174"/>
      <c r="J125" s="164">
        <v>937.82000700000003</v>
      </c>
      <c r="K125" s="180">
        <f t="shared" si="7"/>
        <v>-1.3856003672893566E-2</v>
      </c>
      <c r="L125" s="183"/>
    </row>
    <row r="126" spans="1:12">
      <c r="A126" s="159">
        <v>88.347656000000001</v>
      </c>
      <c r="B126" s="161">
        <f t="shared" si="4"/>
        <v>2.7428440028400758E-3</v>
      </c>
      <c r="C126" s="174"/>
      <c r="D126" s="159">
        <v>56.433810999999999</v>
      </c>
      <c r="E126" s="161">
        <f t="shared" si="5"/>
        <v>-8.568538963632823E-4</v>
      </c>
      <c r="F126" s="174"/>
      <c r="G126" s="159">
        <v>82.906920999999997</v>
      </c>
      <c r="H126" s="161">
        <f t="shared" si="6"/>
        <v>1.8394242260560097E-3</v>
      </c>
      <c r="I126" s="174"/>
      <c r="J126" s="164">
        <v>929.67999299999997</v>
      </c>
      <c r="K126" s="180">
        <f t="shared" si="7"/>
        <v>-8.568538963632823E-4</v>
      </c>
      <c r="L126" s="183"/>
    </row>
    <row r="127" spans="1:12">
      <c r="A127" s="159">
        <v>90.145706000000004</v>
      </c>
      <c r="B127" s="161">
        <f t="shared" si="4"/>
        <v>2.0351983079211558E-2</v>
      </c>
      <c r="C127" s="174"/>
      <c r="D127" s="159">
        <v>56.375743999999997</v>
      </c>
      <c r="E127" s="161">
        <f t="shared" si="5"/>
        <v>-1.0289399027118902E-3</v>
      </c>
      <c r="F127" s="174"/>
      <c r="G127" s="159">
        <v>83.468192999999999</v>
      </c>
      <c r="H127" s="161">
        <f t="shared" si="6"/>
        <v>6.7699052531453004E-3</v>
      </c>
      <c r="I127" s="174"/>
      <c r="J127" s="164">
        <v>919.46002199999998</v>
      </c>
      <c r="K127" s="180">
        <f t="shared" si="7"/>
        <v>-1.0289399027118902E-3</v>
      </c>
      <c r="L127" s="183"/>
    </row>
    <row r="128" spans="1:12">
      <c r="A128" s="159">
        <v>91.049582999999998</v>
      </c>
      <c r="B128" s="161">
        <f t="shared" si="4"/>
        <v>1.0026844761745993E-2</v>
      </c>
      <c r="C128" s="174"/>
      <c r="D128" s="159">
        <v>56.075718000000002</v>
      </c>
      <c r="E128" s="161">
        <f t="shared" si="5"/>
        <v>-5.3218987229684362E-3</v>
      </c>
      <c r="F128" s="174"/>
      <c r="G128" s="159">
        <v>83.401595999999998</v>
      </c>
      <c r="H128" s="161">
        <f t="shared" si="6"/>
        <v>-7.9787278969848513E-4</v>
      </c>
      <c r="I128" s="174"/>
      <c r="J128" s="164">
        <v>932.26000999999997</v>
      </c>
      <c r="K128" s="180">
        <f t="shared" si="7"/>
        <v>-5.3218987229684362E-3</v>
      </c>
      <c r="L128" s="183"/>
    </row>
    <row r="129" spans="1:12">
      <c r="A129" s="159">
        <v>90.758010999999996</v>
      </c>
      <c r="B129" s="161">
        <f t="shared" si="4"/>
        <v>-3.202343057408645E-3</v>
      </c>
      <c r="C129" s="174"/>
      <c r="D129" s="159">
        <v>55.746657999999996</v>
      </c>
      <c r="E129" s="161">
        <f t="shared" si="5"/>
        <v>-5.8681370785124047E-3</v>
      </c>
      <c r="F129" s="174"/>
      <c r="G129" s="159">
        <v>83.116196000000002</v>
      </c>
      <c r="H129" s="161">
        <f t="shared" si="6"/>
        <v>-3.4219968644244609E-3</v>
      </c>
      <c r="I129" s="174"/>
      <c r="J129" s="164">
        <v>927.69000200000005</v>
      </c>
      <c r="K129" s="180">
        <f t="shared" si="7"/>
        <v>-5.8681370785124047E-3</v>
      </c>
      <c r="L129" s="183"/>
    </row>
    <row r="130" spans="1:12">
      <c r="A130" s="159">
        <v>91.214821000000001</v>
      </c>
      <c r="B130" s="161">
        <f t="shared" si="4"/>
        <v>5.0332746935144316E-3</v>
      </c>
      <c r="C130" s="174"/>
      <c r="D130" s="159">
        <v>56.172508000000001</v>
      </c>
      <c r="E130" s="161">
        <f t="shared" si="5"/>
        <v>7.6390229527302624E-3</v>
      </c>
      <c r="F130" s="174"/>
      <c r="G130" s="159">
        <v>83.382576</v>
      </c>
      <c r="H130" s="161">
        <f t="shared" si="6"/>
        <v>3.2049108695975216E-3</v>
      </c>
      <c r="I130" s="174"/>
      <c r="J130" s="164">
        <v>940.80999799999995</v>
      </c>
      <c r="K130" s="180">
        <f t="shared" si="7"/>
        <v>7.6390229527302624E-3</v>
      </c>
      <c r="L130" s="183"/>
    </row>
    <row r="131" spans="1:12">
      <c r="A131" s="159">
        <v>90.573357000000001</v>
      </c>
      <c r="B131" s="161">
        <f t="shared" si="4"/>
        <v>-7.0324536404012582E-3</v>
      </c>
      <c r="C131" s="174"/>
      <c r="D131" s="159">
        <v>55.949905000000001</v>
      </c>
      <c r="E131" s="161">
        <f t="shared" si="5"/>
        <v>-3.9628460242508564E-3</v>
      </c>
      <c r="F131" s="174"/>
      <c r="G131" s="159">
        <v>82.849838000000005</v>
      </c>
      <c r="H131" s="161">
        <f t="shared" si="6"/>
        <v>-6.3890806155952155E-3</v>
      </c>
      <c r="I131" s="174"/>
      <c r="J131" s="164">
        <v>951</v>
      </c>
      <c r="K131" s="180">
        <f t="shared" si="7"/>
        <v>-3.9628460242508564E-3</v>
      </c>
      <c r="L131" s="183"/>
    </row>
    <row r="132" spans="1:12">
      <c r="A132" s="159">
        <v>90.223456999999996</v>
      </c>
      <c r="B132" s="161">
        <f t="shared" ref="B132:B195" si="8">(A132-A131)/A131</f>
        <v>-3.8631669575856088E-3</v>
      </c>
      <c r="C132" s="174"/>
      <c r="D132" s="159">
        <v>56.037005999999998</v>
      </c>
      <c r="E132" s="161">
        <f t="shared" ref="E132:E195" si="9">(D132-D131)/D131</f>
        <v>1.5567676120271693E-3</v>
      </c>
      <c r="F132" s="174"/>
      <c r="G132" s="159">
        <v>82.545417999999998</v>
      </c>
      <c r="H132" s="161">
        <f t="shared" ref="H132:H195" si="10">(G132-G131)/G131</f>
        <v>-3.6743584217992973E-3</v>
      </c>
      <c r="I132" s="174"/>
      <c r="J132" s="164">
        <v>953.53002900000001</v>
      </c>
      <c r="K132" s="180">
        <f t="shared" ref="K132:K195" si="11">(D132-D131)/D131</f>
        <v>1.5567676120271693E-3</v>
      </c>
      <c r="L132" s="183"/>
    </row>
    <row r="133" spans="1:12">
      <c r="A133" s="159">
        <v>89.912445000000005</v>
      </c>
      <c r="B133" s="161">
        <f t="shared" si="8"/>
        <v>-3.4471301626138196E-3</v>
      </c>
      <c r="C133" s="174"/>
      <c r="D133" s="159">
        <v>56.656410000000001</v>
      </c>
      <c r="E133" s="161">
        <f t="shared" si="9"/>
        <v>1.1053481336957991E-2</v>
      </c>
      <c r="F133" s="174"/>
      <c r="G133" s="159">
        <v>82.726166000000006</v>
      </c>
      <c r="H133" s="161">
        <f t="shared" si="10"/>
        <v>2.1896793835365683E-3</v>
      </c>
      <c r="I133" s="174"/>
      <c r="J133" s="164">
        <v>967.65997300000004</v>
      </c>
      <c r="K133" s="180">
        <f t="shared" si="11"/>
        <v>1.1053481336957991E-2</v>
      </c>
      <c r="L133" s="183"/>
    </row>
    <row r="134" spans="1:12">
      <c r="A134" s="159">
        <v>90.485870000000006</v>
      </c>
      <c r="B134" s="161">
        <f t="shared" si="8"/>
        <v>6.3775932241637995E-3</v>
      </c>
      <c r="C134" s="174"/>
      <c r="D134" s="159">
        <v>56.501564000000002</v>
      </c>
      <c r="E134" s="161">
        <f t="shared" si="9"/>
        <v>-2.7330711564675409E-3</v>
      </c>
      <c r="F134" s="174"/>
      <c r="G134" s="159">
        <v>82.478820999999996</v>
      </c>
      <c r="H134" s="161">
        <f t="shared" si="10"/>
        <v>-2.9899246146619426E-3</v>
      </c>
      <c r="I134" s="174"/>
      <c r="J134" s="164">
        <v>968.84997599999997</v>
      </c>
      <c r="K134" s="180">
        <f t="shared" si="11"/>
        <v>-2.7330711564675409E-3</v>
      </c>
      <c r="L134" s="183"/>
    </row>
    <row r="135" spans="1:12">
      <c r="A135" s="159">
        <v>89.659744000000003</v>
      </c>
      <c r="B135" s="161">
        <f t="shared" si="8"/>
        <v>-9.1298895617625397E-3</v>
      </c>
      <c r="C135" s="174"/>
      <c r="D135" s="159">
        <v>56.869331000000003</v>
      </c>
      <c r="E135" s="161">
        <f t="shared" si="9"/>
        <v>6.5089702649647118E-3</v>
      </c>
      <c r="F135" s="174"/>
      <c r="G135" s="159">
        <v>82.859352000000001</v>
      </c>
      <c r="H135" s="161">
        <f t="shared" si="10"/>
        <v>4.6136813716093836E-3</v>
      </c>
      <c r="I135" s="174"/>
      <c r="J135" s="164">
        <v>976.90997300000004</v>
      </c>
      <c r="K135" s="180">
        <f t="shared" si="11"/>
        <v>6.5089702649647118E-3</v>
      </c>
      <c r="L135" s="183"/>
    </row>
    <row r="136" spans="1:12">
      <c r="A136" s="159">
        <v>88.823891000000003</v>
      </c>
      <c r="B136" s="161">
        <f t="shared" si="8"/>
        <v>-9.3225004077638254E-3</v>
      </c>
      <c r="C136" s="174"/>
      <c r="D136" s="159">
        <v>56.453170999999998</v>
      </c>
      <c r="E136" s="161">
        <f t="shared" si="9"/>
        <v>-7.3178283036247592E-3</v>
      </c>
      <c r="F136" s="174"/>
      <c r="G136" s="159">
        <v>83.287445000000005</v>
      </c>
      <c r="H136" s="161">
        <f t="shared" si="10"/>
        <v>5.1665019055423464E-3</v>
      </c>
      <c r="I136" s="174"/>
      <c r="J136" s="164">
        <v>975.96002199999998</v>
      </c>
      <c r="K136" s="180">
        <f t="shared" si="11"/>
        <v>-7.3178283036247592E-3</v>
      </c>
      <c r="L136" s="183"/>
    </row>
    <row r="137" spans="1:12">
      <c r="A137" s="159">
        <v>88.512871000000004</v>
      </c>
      <c r="B137" s="161">
        <f t="shared" si="8"/>
        <v>-3.5015354146104584E-3</v>
      </c>
      <c r="C137" s="174"/>
      <c r="D137" s="159">
        <v>56.337029000000001</v>
      </c>
      <c r="E137" s="161">
        <f t="shared" si="9"/>
        <v>-2.0573157883371409E-3</v>
      </c>
      <c r="F137" s="174"/>
      <c r="G137" s="159">
        <v>84.324370999999999</v>
      </c>
      <c r="H137" s="161">
        <f t="shared" si="10"/>
        <v>1.2449967699213176E-2</v>
      </c>
      <c r="I137" s="174"/>
      <c r="J137" s="164">
        <v>986.95001200000002</v>
      </c>
      <c r="K137" s="180">
        <f t="shared" si="11"/>
        <v>-2.0573157883371409E-3</v>
      </c>
      <c r="L137" s="183"/>
    </row>
    <row r="138" spans="1:12">
      <c r="A138" s="159">
        <v>88.639221000000006</v>
      </c>
      <c r="B138" s="161">
        <f t="shared" si="8"/>
        <v>1.4274760108052779E-3</v>
      </c>
      <c r="C138" s="174"/>
      <c r="D138" s="159">
        <v>56.240250000000003</v>
      </c>
      <c r="E138" s="161">
        <f t="shared" si="9"/>
        <v>-1.7178577166360326E-3</v>
      </c>
      <c r="F138" s="174"/>
      <c r="G138" s="159">
        <v>84.707488999999995</v>
      </c>
      <c r="H138" s="161">
        <f t="shared" si="10"/>
        <v>4.5433840235819378E-3</v>
      </c>
      <c r="I138" s="174"/>
      <c r="J138" s="164">
        <v>992.77002000000005</v>
      </c>
      <c r="K138" s="180">
        <f t="shared" si="11"/>
        <v>-1.7178577166360326E-3</v>
      </c>
      <c r="L138" s="183"/>
    </row>
    <row r="139" spans="1:12">
      <c r="A139" s="159">
        <v>88.639221000000006</v>
      </c>
      <c r="B139" s="161">
        <f t="shared" si="8"/>
        <v>0</v>
      </c>
      <c r="C139" s="174"/>
      <c r="D139" s="159">
        <v>56.162823000000003</v>
      </c>
      <c r="E139" s="161">
        <f t="shared" si="9"/>
        <v>-1.3767186312294154E-3</v>
      </c>
      <c r="F139" s="174"/>
      <c r="G139" s="159">
        <v>84.947188999999995</v>
      </c>
      <c r="H139" s="161">
        <f t="shared" si="10"/>
        <v>2.8297379940042744E-3</v>
      </c>
      <c r="I139" s="174"/>
      <c r="J139" s="164">
        <v>992.19000200000005</v>
      </c>
      <c r="K139" s="180">
        <f t="shared" si="11"/>
        <v>-1.3767186312294154E-3</v>
      </c>
      <c r="L139" s="183"/>
    </row>
    <row r="140" spans="1:12">
      <c r="A140" s="159">
        <v>88.337929000000003</v>
      </c>
      <c r="B140" s="161">
        <f t="shared" si="8"/>
        <v>-3.3990822189198127E-3</v>
      </c>
      <c r="C140" s="174"/>
      <c r="D140" s="159">
        <v>56.114429000000001</v>
      </c>
      <c r="E140" s="161">
        <f t="shared" si="9"/>
        <v>-8.6167321040827704E-4</v>
      </c>
      <c r="F140" s="174"/>
      <c r="G140" s="159">
        <v>84.956778999999997</v>
      </c>
      <c r="H140" s="161">
        <f t="shared" si="10"/>
        <v>1.1289367091361757E-4</v>
      </c>
      <c r="I140" s="174"/>
      <c r="J140" s="164">
        <v>993.84002699999996</v>
      </c>
      <c r="K140" s="180">
        <f t="shared" si="11"/>
        <v>-8.6167321040827704E-4</v>
      </c>
      <c r="L140" s="183"/>
    </row>
    <row r="141" spans="1:12">
      <c r="A141" s="159">
        <v>88.716988000000001</v>
      </c>
      <c r="B141" s="161">
        <f t="shared" si="8"/>
        <v>4.2910107163594254E-3</v>
      </c>
      <c r="C141" s="174"/>
      <c r="D141" s="159">
        <v>56.153148999999999</v>
      </c>
      <c r="E141" s="161">
        <f t="shared" si="9"/>
        <v>6.9001860466223167E-4</v>
      </c>
      <c r="F141" s="174"/>
      <c r="G141" s="159">
        <v>84.544501999999994</v>
      </c>
      <c r="H141" s="161">
        <f t="shared" si="10"/>
        <v>-4.8527852026970459E-3</v>
      </c>
      <c r="I141" s="174"/>
      <c r="J141" s="164">
        <v>998.30999799999995</v>
      </c>
      <c r="K141" s="180">
        <f t="shared" si="11"/>
        <v>6.9001860466223167E-4</v>
      </c>
      <c r="L141" s="183"/>
    </row>
    <row r="142" spans="1:12">
      <c r="A142" s="159">
        <v>90.194305</v>
      </c>
      <c r="B142" s="161">
        <f t="shared" si="8"/>
        <v>1.6652019340422146E-2</v>
      </c>
      <c r="C142" s="174"/>
      <c r="D142" s="159">
        <v>56.666088000000002</v>
      </c>
      <c r="E142" s="161">
        <f t="shared" si="9"/>
        <v>9.1346435442116146E-3</v>
      </c>
      <c r="F142" s="174"/>
      <c r="G142" s="159">
        <v>85.464920000000006</v>
      </c>
      <c r="H142" s="161">
        <f t="shared" si="10"/>
        <v>1.0886787173931337E-2</v>
      </c>
      <c r="I142" s="174"/>
      <c r="J142" s="164">
        <v>969.03002900000001</v>
      </c>
      <c r="K142" s="180">
        <f t="shared" si="11"/>
        <v>9.1346435442116146E-3</v>
      </c>
      <c r="L142" s="183"/>
    </row>
    <row r="143" spans="1:12">
      <c r="A143" s="159">
        <v>89.348724000000004</v>
      </c>
      <c r="B143" s="161">
        <f t="shared" si="8"/>
        <v>-9.3751041154981531E-3</v>
      </c>
      <c r="C143" s="174"/>
      <c r="D143" s="159">
        <v>56.075718000000002</v>
      </c>
      <c r="E143" s="161">
        <f t="shared" si="9"/>
        <v>-1.0418400507901658E-2</v>
      </c>
      <c r="F143" s="174"/>
      <c r="G143" s="159">
        <v>85.618331999999995</v>
      </c>
      <c r="H143" s="161">
        <f t="shared" si="10"/>
        <v>1.7950288843655241E-3</v>
      </c>
      <c r="I143" s="174"/>
      <c r="J143" s="164">
        <v>965.30999799999995</v>
      </c>
      <c r="K143" s="180">
        <f t="shared" si="11"/>
        <v>-1.0418400507901658E-2</v>
      </c>
      <c r="L143" s="183"/>
    </row>
    <row r="144" spans="1:12">
      <c r="A144" s="159">
        <v>88.979393000000002</v>
      </c>
      <c r="B144" s="161">
        <f t="shared" si="8"/>
        <v>-4.1335900890985587E-3</v>
      </c>
      <c r="C144" s="174"/>
      <c r="D144" s="159">
        <v>57.585526000000002</v>
      </c>
      <c r="E144" s="161">
        <f t="shared" si="9"/>
        <v>2.6924452398451672E-2</v>
      </c>
      <c r="F144" s="174"/>
      <c r="G144" s="159">
        <v>86.941436999999993</v>
      </c>
      <c r="H144" s="161">
        <f t="shared" si="10"/>
        <v>1.5453524602651664E-2</v>
      </c>
      <c r="I144" s="174"/>
      <c r="J144" s="164">
        <v>952.51000999999997</v>
      </c>
      <c r="K144" s="180">
        <f t="shared" si="11"/>
        <v>2.6924452398451672E-2</v>
      </c>
      <c r="L144" s="183"/>
    </row>
    <row r="145" spans="1:12">
      <c r="A145" s="159">
        <v>88.716988000000001</v>
      </c>
      <c r="B145" s="161">
        <f t="shared" si="8"/>
        <v>-2.9490536084012297E-3</v>
      </c>
      <c r="C145" s="174"/>
      <c r="D145" s="159">
        <v>52.262492999999999</v>
      </c>
      <c r="E145" s="161">
        <f t="shared" si="9"/>
        <v>-9.2436995365814706E-2</v>
      </c>
      <c r="F145" s="174"/>
      <c r="G145" s="159">
        <v>86.490807000000004</v>
      </c>
      <c r="H145" s="161">
        <f t="shared" si="10"/>
        <v>-5.1831441433385752E-3</v>
      </c>
      <c r="I145" s="174"/>
      <c r="J145" s="164">
        <v>958.330017</v>
      </c>
      <c r="K145" s="180">
        <f t="shared" si="11"/>
        <v>-9.2436995365814706E-2</v>
      </c>
      <c r="L145" s="183"/>
    </row>
    <row r="146" spans="1:12">
      <c r="A146" s="159">
        <v>89.222381999999996</v>
      </c>
      <c r="B146" s="161">
        <f t="shared" si="8"/>
        <v>5.6966992612507931E-3</v>
      </c>
      <c r="C146" s="174"/>
      <c r="D146" s="159">
        <v>52.243136999999997</v>
      </c>
      <c r="E146" s="161">
        <f t="shared" si="9"/>
        <v>-3.703612072237336E-4</v>
      </c>
      <c r="F146" s="174"/>
      <c r="G146" s="159">
        <v>87.075667999999993</v>
      </c>
      <c r="H146" s="161">
        <f t="shared" si="10"/>
        <v>6.762117504580451E-3</v>
      </c>
      <c r="I146" s="174"/>
      <c r="J146" s="164">
        <v>945.5</v>
      </c>
      <c r="K146" s="180">
        <f t="shared" si="11"/>
        <v>-3.703612072237336E-4</v>
      </c>
      <c r="L146" s="183"/>
    </row>
    <row r="147" spans="1:12">
      <c r="A147" s="159">
        <v>90.417839000000001</v>
      </c>
      <c r="B147" s="161">
        <f t="shared" si="8"/>
        <v>1.3398622332230546E-2</v>
      </c>
      <c r="C147" s="174"/>
      <c r="D147" s="159">
        <v>52.969006</v>
      </c>
      <c r="E147" s="161">
        <f t="shared" si="9"/>
        <v>1.3894054639176874E-2</v>
      </c>
      <c r="F147" s="174"/>
      <c r="G147" s="159">
        <v>87.344123999999994</v>
      </c>
      <c r="H147" s="161">
        <f t="shared" si="10"/>
        <v>3.0830197018988184E-3</v>
      </c>
      <c r="I147" s="174"/>
      <c r="J147" s="164">
        <v>946.55999799999995</v>
      </c>
      <c r="K147" s="180">
        <f t="shared" si="11"/>
        <v>1.3894054639176874E-2</v>
      </c>
      <c r="L147" s="183"/>
    </row>
    <row r="148" spans="1:12">
      <c r="A148" s="159">
        <v>90.495598000000001</v>
      </c>
      <c r="B148" s="161">
        <f t="shared" si="8"/>
        <v>8.5999622264805898E-4</v>
      </c>
      <c r="C148" s="174"/>
      <c r="D148" s="159">
        <v>53.646481000000001</v>
      </c>
      <c r="E148" s="161">
        <f t="shared" si="9"/>
        <v>1.2790026680885821E-2</v>
      </c>
      <c r="F148" s="174"/>
      <c r="G148" s="159">
        <v>87.286606000000006</v>
      </c>
      <c r="H148" s="161">
        <f t="shared" si="10"/>
        <v>-6.5852168830484272E-4</v>
      </c>
      <c r="I148" s="174"/>
      <c r="J148" s="164">
        <v>947.64001499999995</v>
      </c>
      <c r="K148" s="180">
        <f t="shared" si="11"/>
        <v>1.2790026680885821E-2</v>
      </c>
      <c r="L148" s="183"/>
    </row>
    <row r="149" spans="1:12">
      <c r="A149" s="159">
        <v>89.902725000000004</v>
      </c>
      <c r="B149" s="161">
        <f t="shared" si="8"/>
        <v>-6.5514015388902927E-3</v>
      </c>
      <c r="C149" s="174"/>
      <c r="D149" s="159">
        <v>53.888438999999998</v>
      </c>
      <c r="E149" s="161">
        <f t="shared" si="9"/>
        <v>4.5102305964858491E-3</v>
      </c>
      <c r="F149" s="174"/>
      <c r="G149" s="159">
        <v>87.114013999999997</v>
      </c>
      <c r="H149" s="161">
        <f t="shared" si="10"/>
        <v>-1.9773022220615239E-3</v>
      </c>
      <c r="I149" s="174"/>
      <c r="J149" s="164">
        <v>940.29998799999998</v>
      </c>
      <c r="K149" s="180">
        <f t="shared" si="11"/>
        <v>4.5102305964858491E-3</v>
      </c>
      <c r="L149" s="183"/>
    </row>
    <row r="150" spans="1:12">
      <c r="A150" s="159">
        <v>91.030151000000004</v>
      </c>
      <c r="B150" s="161">
        <f t="shared" si="8"/>
        <v>1.2540509756517389E-2</v>
      </c>
      <c r="C150" s="174"/>
      <c r="D150" s="159">
        <v>53.656157999999998</v>
      </c>
      <c r="E150" s="161">
        <f t="shared" si="9"/>
        <v>-4.3104050573816105E-3</v>
      </c>
      <c r="F150" s="174"/>
      <c r="G150" s="159">
        <v>86.931847000000005</v>
      </c>
      <c r="H150" s="161">
        <f t="shared" si="10"/>
        <v>-2.0911331212449084E-3</v>
      </c>
      <c r="I150" s="174"/>
      <c r="J150" s="164">
        <v>945.78997800000002</v>
      </c>
      <c r="K150" s="180">
        <f t="shared" si="11"/>
        <v>-4.3104050573816105E-3</v>
      </c>
      <c r="L150" s="183"/>
    </row>
    <row r="151" spans="1:12">
      <c r="A151" s="159">
        <v>91.380035000000007</v>
      </c>
      <c r="B151" s="161">
        <f t="shared" si="8"/>
        <v>3.8436056202961035E-3</v>
      </c>
      <c r="C151" s="174"/>
      <c r="D151" s="159">
        <v>53.840046000000001</v>
      </c>
      <c r="E151" s="161">
        <f t="shared" si="9"/>
        <v>3.4271555559382983E-3</v>
      </c>
      <c r="F151" s="174"/>
      <c r="G151" s="159">
        <v>87.670105000000007</v>
      </c>
      <c r="H151" s="161">
        <f t="shared" si="10"/>
        <v>8.492376792592498E-3</v>
      </c>
      <c r="I151" s="174"/>
      <c r="J151" s="164">
        <v>945.75</v>
      </c>
      <c r="K151" s="180">
        <f t="shared" si="11"/>
        <v>3.4271555559382983E-3</v>
      </c>
      <c r="L151" s="183"/>
    </row>
    <row r="152" spans="1:12">
      <c r="A152" s="159">
        <v>91.049582999999998</v>
      </c>
      <c r="B152" s="161">
        <f t="shared" si="8"/>
        <v>-3.6162384923578567E-3</v>
      </c>
      <c r="C152" s="174"/>
      <c r="D152" s="159">
        <v>53.003956000000002</v>
      </c>
      <c r="E152" s="161">
        <f t="shared" si="9"/>
        <v>-1.5529147207637947E-2</v>
      </c>
      <c r="F152" s="174"/>
      <c r="G152" s="159">
        <v>87.804328999999996</v>
      </c>
      <c r="H152" s="161">
        <f t="shared" si="10"/>
        <v>1.5310121962325584E-3</v>
      </c>
      <c r="I152" s="174"/>
      <c r="J152" s="164">
        <v>944.19000200000005</v>
      </c>
      <c r="K152" s="180">
        <f t="shared" si="11"/>
        <v>-1.5529147207637947E-2</v>
      </c>
      <c r="L152" s="183"/>
    </row>
    <row r="153" spans="1:12">
      <c r="A153" s="159">
        <v>90.903801000000001</v>
      </c>
      <c r="B153" s="161">
        <f t="shared" si="8"/>
        <v>-1.6011275965975261E-3</v>
      </c>
      <c r="C153" s="174"/>
      <c r="D153" s="159">
        <v>52.245651000000002</v>
      </c>
      <c r="E153" s="161">
        <f t="shared" si="9"/>
        <v>-1.4306573645182258E-2</v>
      </c>
      <c r="F153" s="174"/>
      <c r="G153" s="159">
        <v>88.130309999999994</v>
      </c>
      <c r="H153" s="161">
        <f t="shared" si="10"/>
        <v>3.7125846038866574E-3</v>
      </c>
      <c r="I153" s="174"/>
      <c r="J153" s="164">
        <v>940.080017</v>
      </c>
      <c r="K153" s="180">
        <f t="shared" si="11"/>
        <v>-1.4306573645182258E-2</v>
      </c>
      <c r="L153" s="183"/>
    </row>
    <row r="154" spans="1:12">
      <c r="A154" s="159">
        <v>89.601433</v>
      </c>
      <c r="B154" s="161">
        <f t="shared" si="8"/>
        <v>-1.432688166691733E-2</v>
      </c>
      <c r="C154" s="174"/>
      <c r="D154" s="159">
        <v>51.594276000000001</v>
      </c>
      <c r="E154" s="161">
        <f t="shared" si="9"/>
        <v>-1.2467544906273664E-2</v>
      </c>
      <c r="F154" s="174"/>
      <c r="G154" s="159">
        <v>87.957725999999994</v>
      </c>
      <c r="H154" s="161">
        <f t="shared" si="10"/>
        <v>-1.9582820030929261E-3</v>
      </c>
      <c r="I154" s="174"/>
      <c r="J154" s="164">
        <v>923.59002699999996</v>
      </c>
      <c r="K154" s="180">
        <f t="shared" si="11"/>
        <v>-1.2467544906273664E-2</v>
      </c>
      <c r="L154" s="183"/>
    </row>
    <row r="155" spans="1:12">
      <c r="A155" s="159">
        <v>88.853049999999996</v>
      </c>
      <c r="B155" s="161">
        <f t="shared" si="8"/>
        <v>-8.3523552575325895E-3</v>
      </c>
      <c r="C155" s="174"/>
      <c r="D155" s="159">
        <v>51.701220999999997</v>
      </c>
      <c r="E155" s="161">
        <f t="shared" si="9"/>
        <v>2.0728074563929545E-3</v>
      </c>
      <c r="F155" s="174"/>
      <c r="G155" s="159">
        <v>87.574218999999999</v>
      </c>
      <c r="H155" s="161">
        <f t="shared" si="10"/>
        <v>-4.3601286372500639E-3</v>
      </c>
      <c r="I155" s="174"/>
      <c r="J155" s="164">
        <v>930.09002699999996</v>
      </c>
      <c r="K155" s="180">
        <f t="shared" si="11"/>
        <v>2.0728074563929545E-3</v>
      </c>
      <c r="L155" s="183"/>
    </row>
    <row r="156" spans="1:12">
      <c r="A156" s="159">
        <v>89.892998000000006</v>
      </c>
      <c r="B156" s="161">
        <f t="shared" si="8"/>
        <v>1.1704133960511313E-2</v>
      </c>
      <c r="C156" s="174"/>
      <c r="D156" s="159">
        <v>51.740112000000003</v>
      </c>
      <c r="E156" s="161">
        <f t="shared" si="9"/>
        <v>7.5222594839697643E-4</v>
      </c>
      <c r="F156" s="174"/>
      <c r="G156" s="159">
        <v>87.871444999999994</v>
      </c>
      <c r="H156" s="161">
        <f t="shared" si="10"/>
        <v>3.3939897311558655E-3</v>
      </c>
      <c r="I156" s="174"/>
      <c r="J156" s="164">
        <v>938.92999299999997</v>
      </c>
      <c r="K156" s="180">
        <f t="shared" si="11"/>
        <v>7.5222594839697643E-4</v>
      </c>
      <c r="L156" s="183"/>
    </row>
    <row r="157" spans="1:12">
      <c r="A157" s="159">
        <v>90.126266000000001</v>
      </c>
      <c r="B157" s="161">
        <f t="shared" si="8"/>
        <v>2.59495183373454E-3</v>
      </c>
      <c r="C157" s="174"/>
      <c r="D157" s="159">
        <v>51.672058</v>
      </c>
      <c r="E157" s="161">
        <f t="shared" si="9"/>
        <v>-1.3153044585601902E-3</v>
      </c>
      <c r="F157" s="174"/>
      <c r="G157" s="159">
        <v>88.398773000000006</v>
      </c>
      <c r="H157" s="161">
        <f t="shared" si="10"/>
        <v>6.0011304013495095E-3</v>
      </c>
      <c r="I157" s="174"/>
      <c r="J157" s="164">
        <v>938.080017</v>
      </c>
      <c r="K157" s="180">
        <f t="shared" si="11"/>
        <v>-1.3153044585601902E-3</v>
      </c>
      <c r="L157" s="183"/>
    </row>
    <row r="158" spans="1:12">
      <c r="A158" s="159">
        <v>89.504227</v>
      </c>
      <c r="B158" s="161">
        <f t="shared" si="8"/>
        <v>-6.9018614395941012E-3</v>
      </c>
      <c r="C158" s="174"/>
      <c r="D158" s="159">
        <v>52.012321</v>
      </c>
      <c r="E158" s="161">
        <f t="shared" si="9"/>
        <v>6.5850483446972486E-3</v>
      </c>
      <c r="F158" s="174"/>
      <c r="G158" s="159">
        <v>88.628883000000002</v>
      </c>
      <c r="H158" s="161">
        <f t="shared" si="10"/>
        <v>2.6030904297732306E-3</v>
      </c>
      <c r="I158" s="174"/>
      <c r="J158" s="164">
        <v>944.27002000000005</v>
      </c>
      <c r="K158" s="180">
        <f t="shared" si="11"/>
        <v>6.5850483446972486E-3</v>
      </c>
      <c r="L158" s="183"/>
    </row>
    <row r="159" spans="1:12">
      <c r="A159" s="159">
        <v>88.104668000000004</v>
      </c>
      <c r="B159" s="161">
        <f t="shared" si="8"/>
        <v>-1.5636792215411196E-2</v>
      </c>
      <c r="C159" s="174"/>
      <c r="D159" s="159">
        <v>51.565112999999997</v>
      </c>
      <c r="E159" s="161">
        <f t="shared" si="9"/>
        <v>-8.598116588567609E-3</v>
      </c>
      <c r="F159" s="174"/>
      <c r="G159" s="159">
        <v>88.274124</v>
      </c>
      <c r="H159" s="161">
        <f t="shared" si="10"/>
        <v>-4.0027470503041472E-3</v>
      </c>
      <c r="I159" s="174"/>
      <c r="J159" s="164">
        <v>927.65997300000004</v>
      </c>
      <c r="K159" s="180">
        <f t="shared" si="11"/>
        <v>-8.598116588567609E-3</v>
      </c>
      <c r="L159" s="183"/>
    </row>
    <row r="160" spans="1:12">
      <c r="A160" s="159">
        <v>88.192138999999997</v>
      </c>
      <c r="B160" s="161">
        <f t="shared" si="8"/>
        <v>9.9280778176241051E-4</v>
      </c>
      <c r="C160" s="174"/>
      <c r="D160" s="159">
        <v>51.234569999999998</v>
      </c>
      <c r="E160" s="161">
        <f t="shared" si="9"/>
        <v>-6.4102060631574436E-3</v>
      </c>
      <c r="F160" s="174"/>
      <c r="G160" s="159">
        <v>88.657646</v>
      </c>
      <c r="H160" s="161">
        <f t="shared" si="10"/>
        <v>4.3446706987429213E-3</v>
      </c>
      <c r="I160" s="174"/>
      <c r="J160" s="164">
        <v>926.17999299999997</v>
      </c>
      <c r="K160" s="180">
        <f t="shared" si="11"/>
        <v>-6.4102060631574436E-3</v>
      </c>
      <c r="L160" s="183"/>
    </row>
    <row r="161" spans="1:12">
      <c r="A161" s="159">
        <v>88.085220000000007</v>
      </c>
      <c r="B161" s="161">
        <f t="shared" si="8"/>
        <v>-1.2123416124422458E-3</v>
      </c>
      <c r="C161" s="174"/>
      <c r="D161" s="159">
        <v>51.672058</v>
      </c>
      <c r="E161" s="161">
        <f t="shared" si="9"/>
        <v>8.5389220598514233E-3</v>
      </c>
      <c r="F161" s="174"/>
      <c r="G161" s="159">
        <v>89.031570000000002</v>
      </c>
      <c r="H161" s="161">
        <f t="shared" si="10"/>
        <v>4.2176170569654236E-3</v>
      </c>
      <c r="I161" s="174"/>
      <c r="J161" s="164">
        <v>920.86999500000002</v>
      </c>
      <c r="K161" s="180">
        <f t="shared" si="11"/>
        <v>8.5389220598514233E-3</v>
      </c>
      <c r="L161" s="183"/>
    </row>
    <row r="162" spans="1:12">
      <c r="A162" s="159">
        <v>88.989113000000003</v>
      </c>
      <c r="B162" s="161">
        <f t="shared" si="8"/>
        <v>1.0261573962124366E-2</v>
      </c>
      <c r="C162" s="174"/>
      <c r="D162" s="159">
        <v>52.935904999999998</v>
      </c>
      <c r="E162" s="161">
        <f t="shared" si="9"/>
        <v>2.4459002581240299E-2</v>
      </c>
      <c r="F162" s="174"/>
      <c r="G162" s="159">
        <v>88.964438999999999</v>
      </c>
      <c r="H162" s="161">
        <f t="shared" si="10"/>
        <v>-7.5401343590822205E-4</v>
      </c>
      <c r="I162" s="174"/>
      <c r="J162" s="164">
        <v>940.40002400000003</v>
      </c>
      <c r="K162" s="180">
        <f t="shared" si="11"/>
        <v>2.4459002581240299E-2</v>
      </c>
      <c r="L162" s="183"/>
    </row>
    <row r="163" spans="1:12">
      <c r="A163" s="159">
        <v>89.096016000000006</v>
      </c>
      <c r="B163" s="161">
        <f t="shared" si="8"/>
        <v>1.2013042539260126E-3</v>
      </c>
      <c r="C163" s="174"/>
      <c r="D163" s="159">
        <v>52.576194999999998</v>
      </c>
      <c r="E163" s="161">
        <f t="shared" si="9"/>
        <v>-6.7951988352706874E-3</v>
      </c>
      <c r="F163" s="174"/>
      <c r="G163" s="159">
        <v>88.628883000000002</v>
      </c>
      <c r="H163" s="161">
        <f t="shared" si="10"/>
        <v>-3.7717992017012197E-3</v>
      </c>
      <c r="I163" s="174"/>
      <c r="J163" s="164">
        <v>942.580017</v>
      </c>
      <c r="K163" s="180">
        <f t="shared" si="11"/>
        <v>-6.7951988352706874E-3</v>
      </c>
      <c r="L163" s="183"/>
    </row>
    <row r="164" spans="1:12">
      <c r="A164" s="159">
        <v>88.950232999999997</v>
      </c>
      <c r="B164" s="161">
        <f t="shared" si="8"/>
        <v>-1.6362460022904801E-3</v>
      </c>
      <c r="C164" s="174"/>
      <c r="D164" s="159">
        <v>52.440086000000001</v>
      </c>
      <c r="E164" s="161">
        <f t="shared" si="9"/>
        <v>-2.5887951762199146E-3</v>
      </c>
      <c r="F164" s="174"/>
      <c r="G164" s="159">
        <v>88.465873999999999</v>
      </c>
      <c r="H164" s="161">
        <f t="shared" si="10"/>
        <v>-1.8392311228835232E-3</v>
      </c>
      <c r="I164" s="174"/>
      <c r="J164" s="164">
        <v>936.89001499999995</v>
      </c>
      <c r="K164" s="180">
        <f t="shared" si="11"/>
        <v>-2.5887951762199146E-3</v>
      </c>
      <c r="L164" s="183"/>
    </row>
    <row r="165" spans="1:12">
      <c r="A165" s="159">
        <v>89.309844999999996</v>
      </c>
      <c r="B165" s="161">
        <f t="shared" si="8"/>
        <v>4.0428449467917469E-3</v>
      </c>
      <c r="C165" s="174"/>
      <c r="D165" s="159">
        <v>52.848407999999999</v>
      </c>
      <c r="E165" s="161">
        <f t="shared" si="9"/>
        <v>7.7864479474728226E-3</v>
      </c>
      <c r="F165" s="174"/>
      <c r="G165" s="159">
        <v>88.695992000000004</v>
      </c>
      <c r="H165" s="161">
        <f t="shared" si="10"/>
        <v>2.601206426785593E-3</v>
      </c>
      <c r="I165" s="174"/>
      <c r="J165" s="164">
        <v>930.5</v>
      </c>
      <c r="K165" s="180">
        <f t="shared" si="11"/>
        <v>7.7864479474728226E-3</v>
      </c>
      <c r="L165" s="183"/>
    </row>
    <row r="166" spans="1:12">
      <c r="A166" s="159">
        <v>89.027991999999998</v>
      </c>
      <c r="B166" s="161">
        <f t="shared" si="8"/>
        <v>-3.155900673660313E-3</v>
      </c>
      <c r="C166" s="174"/>
      <c r="D166" s="159">
        <v>52.887298999999999</v>
      </c>
      <c r="E166" s="161">
        <f t="shared" si="9"/>
        <v>7.3589728568549436E-4</v>
      </c>
      <c r="F166" s="174"/>
      <c r="G166" s="159">
        <v>88.657646</v>
      </c>
      <c r="H166" s="161">
        <f t="shared" si="10"/>
        <v>-4.3233069652126116E-4</v>
      </c>
      <c r="I166" s="174"/>
      <c r="J166" s="164">
        <v>928.13000499999998</v>
      </c>
      <c r="K166" s="180">
        <f t="shared" si="11"/>
        <v>7.3589728568549436E-4</v>
      </c>
      <c r="L166" s="183"/>
    </row>
    <row r="167" spans="1:12">
      <c r="A167" s="159">
        <v>88.542029999999997</v>
      </c>
      <c r="B167" s="161">
        <f t="shared" si="8"/>
        <v>-5.458530391205506E-3</v>
      </c>
      <c r="C167" s="174"/>
      <c r="D167" s="159">
        <v>52.595633999999997</v>
      </c>
      <c r="E167" s="161">
        <f t="shared" si="9"/>
        <v>-5.5148401509406229E-3</v>
      </c>
      <c r="F167" s="174"/>
      <c r="G167" s="159">
        <v>88.513817000000003</v>
      </c>
      <c r="H167" s="161">
        <f t="shared" si="10"/>
        <v>-1.6222966262830468E-3</v>
      </c>
      <c r="I167" s="174"/>
      <c r="J167" s="164">
        <v>935.75</v>
      </c>
      <c r="K167" s="180">
        <f t="shared" si="11"/>
        <v>-5.5148401509406229E-3</v>
      </c>
      <c r="L167" s="183"/>
    </row>
    <row r="168" spans="1:12">
      <c r="A168" s="159">
        <v>88.746123999999995</v>
      </c>
      <c r="B168" s="161">
        <f t="shared" si="8"/>
        <v>2.3050521882093484E-3</v>
      </c>
      <c r="C168" s="174"/>
      <c r="D168" s="159">
        <v>53.003956000000002</v>
      </c>
      <c r="E168" s="161">
        <f t="shared" si="9"/>
        <v>7.7634200587829291E-3</v>
      </c>
      <c r="F168" s="174"/>
      <c r="G168" s="159">
        <v>88.082381999999996</v>
      </c>
      <c r="H168" s="161">
        <f t="shared" si="10"/>
        <v>-4.8742107686984906E-3</v>
      </c>
      <c r="I168" s="174"/>
      <c r="J168" s="164">
        <v>943.63000499999998</v>
      </c>
      <c r="K168" s="180">
        <f t="shared" si="11"/>
        <v>7.7634200587829291E-3</v>
      </c>
      <c r="L168" s="183"/>
    </row>
    <row r="169" spans="1:12">
      <c r="A169" s="159">
        <v>88.337929000000003</v>
      </c>
      <c r="B169" s="161">
        <f t="shared" si="8"/>
        <v>-4.5995811602993738E-3</v>
      </c>
      <c r="C169" s="174"/>
      <c r="D169" s="159">
        <v>53.334507000000002</v>
      </c>
      <c r="E169" s="161">
        <f t="shared" si="9"/>
        <v>6.2363458304885737E-3</v>
      </c>
      <c r="F169" s="174"/>
      <c r="G169" s="159">
        <v>88.465873999999999</v>
      </c>
      <c r="H169" s="161">
        <f t="shared" si="10"/>
        <v>4.3537877983363801E-3</v>
      </c>
      <c r="I169" s="174"/>
      <c r="J169" s="164">
        <v>955.23999000000003</v>
      </c>
      <c r="K169" s="180">
        <f t="shared" si="11"/>
        <v>6.2363458304885737E-3</v>
      </c>
      <c r="L169" s="183"/>
    </row>
    <row r="170" spans="1:12">
      <c r="A170" s="159">
        <v>89.125183000000007</v>
      </c>
      <c r="B170" s="161">
        <f t="shared" si="8"/>
        <v>8.9118457825743715E-3</v>
      </c>
      <c r="C170" s="174"/>
      <c r="D170" s="159">
        <v>53.402560999999999</v>
      </c>
      <c r="E170" s="161">
        <f t="shared" si="9"/>
        <v>1.2759844203677837E-3</v>
      </c>
      <c r="F170" s="174"/>
      <c r="G170" s="159">
        <v>88.715157000000005</v>
      </c>
      <c r="H170" s="161">
        <f t="shared" si="10"/>
        <v>2.8178436353887767E-3</v>
      </c>
      <c r="I170" s="174"/>
      <c r="J170" s="164">
        <v>951.98999000000003</v>
      </c>
      <c r="K170" s="180">
        <f t="shared" si="11"/>
        <v>1.2759844203677837E-3</v>
      </c>
      <c r="L170" s="183"/>
    </row>
    <row r="171" spans="1:12">
      <c r="A171" s="159">
        <v>86.996673999999999</v>
      </c>
      <c r="B171" s="161">
        <f t="shared" si="8"/>
        <v>-2.3882239882750178E-2</v>
      </c>
      <c r="C171" s="174"/>
      <c r="D171" s="159">
        <v>53.596995999999997</v>
      </c>
      <c r="E171" s="161">
        <f t="shared" si="9"/>
        <v>3.6409302542624983E-3</v>
      </c>
      <c r="F171" s="174"/>
      <c r="G171" s="159">
        <v>88.897339000000002</v>
      </c>
      <c r="H171" s="161">
        <f t="shared" si="10"/>
        <v>2.0535611519009924E-3</v>
      </c>
      <c r="I171" s="174"/>
      <c r="J171" s="164">
        <v>941.47997999999995</v>
      </c>
      <c r="K171" s="180">
        <f t="shared" si="11"/>
        <v>3.6409302542624983E-3</v>
      </c>
      <c r="L171" s="183"/>
    </row>
    <row r="172" spans="1:12">
      <c r="A172" s="159">
        <v>87.579825999999997</v>
      </c>
      <c r="B172" s="161">
        <f t="shared" si="8"/>
        <v>6.7031528124856625E-3</v>
      </c>
      <c r="C172" s="174"/>
      <c r="D172" s="159">
        <v>52.799801000000002</v>
      </c>
      <c r="E172" s="161">
        <f t="shared" si="9"/>
        <v>-1.4873874647750689E-2</v>
      </c>
      <c r="F172" s="174"/>
      <c r="G172" s="159">
        <v>88.897339000000002</v>
      </c>
      <c r="H172" s="161">
        <f t="shared" si="10"/>
        <v>0</v>
      </c>
      <c r="I172" s="174"/>
      <c r="J172" s="164">
        <v>942.02002000000005</v>
      </c>
      <c r="K172" s="180">
        <f t="shared" si="11"/>
        <v>-1.4873874647750689E-2</v>
      </c>
      <c r="L172" s="183"/>
    </row>
    <row r="173" spans="1:12">
      <c r="A173" s="159">
        <v>86.044196999999997</v>
      </c>
      <c r="B173" s="161">
        <f t="shared" si="8"/>
        <v>-1.7534049451068789E-2</v>
      </c>
      <c r="C173" s="174"/>
      <c r="D173" s="159">
        <v>51.983153999999999</v>
      </c>
      <c r="E173" s="161">
        <f t="shared" si="9"/>
        <v>-1.5466857536072971E-2</v>
      </c>
      <c r="F173" s="174"/>
      <c r="G173" s="159">
        <v>89.137032000000005</v>
      </c>
      <c r="H173" s="161">
        <f t="shared" si="10"/>
        <v>2.6962899305681422E-3</v>
      </c>
      <c r="I173" s="174"/>
      <c r="J173" s="164">
        <v>949.89001499999995</v>
      </c>
      <c r="K173" s="180">
        <f t="shared" si="11"/>
        <v>-1.5466857536072971E-2</v>
      </c>
      <c r="L173" s="183"/>
    </row>
    <row r="174" spans="1:12">
      <c r="A174" s="159">
        <v>85.937286</v>
      </c>
      <c r="B174" s="161">
        <f t="shared" si="8"/>
        <v>-1.2425126124426108E-3</v>
      </c>
      <c r="C174" s="174"/>
      <c r="D174" s="159">
        <v>52.002602000000003</v>
      </c>
      <c r="E174" s="161">
        <f t="shared" si="9"/>
        <v>3.7412120087988753E-4</v>
      </c>
      <c r="F174" s="174"/>
      <c r="G174" s="159">
        <v>89.012375000000006</v>
      </c>
      <c r="H174" s="161">
        <f t="shared" si="10"/>
        <v>-1.3984872190942943E-3</v>
      </c>
      <c r="I174" s="174"/>
      <c r="J174" s="164">
        <v>941.40997300000004</v>
      </c>
      <c r="K174" s="180">
        <f t="shared" si="11"/>
        <v>3.7412120087988753E-4</v>
      </c>
      <c r="L174" s="183"/>
    </row>
    <row r="175" spans="1:12">
      <c r="A175" s="159">
        <v>87.268814000000006</v>
      </c>
      <c r="B175" s="161">
        <f t="shared" si="8"/>
        <v>1.5494182583331824E-2</v>
      </c>
      <c r="C175" s="174"/>
      <c r="D175" s="159">
        <v>52.517864000000003</v>
      </c>
      <c r="E175" s="161">
        <f t="shared" si="9"/>
        <v>9.908388814851992E-3</v>
      </c>
      <c r="F175" s="174"/>
      <c r="G175" s="159">
        <v>90.114966999999993</v>
      </c>
      <c r="H175" s="161">
        <f t="shared" si="10"/>
        <v>1.2386951814284104E-2</v>
      </c>
      <c r="I175" s="174"/>
      <c r="J175" s="164">
        <v>943.28997800000002</v>
      </c>
      <c r="K175" s="180">
        <f t="shared" si="11"/>
        <v>9.908388814851992E-3</v>
      </c>
      <c r="L175" s="183"/>
    </row>
    <row r="176" spans="1:12">
      <c r="A176" s="159">
        <v>88.337929000000003</v>
      </c>
      <c r="B176" s="161">
        <f t="shared" si="8"/>
        <v>1.2250825363571418E-2</v>
      </c>
      <c r="C176" s="174"/>
      <c r="D176" s="159">
        <v>52.051208000000003</v>
      </c>
      <c r="E176" s="161">
        <f t="shared" si="9"/>
        <v>-8.8856622196211259E-3</v>
      </c>
      <c r="F176" s="174"/>
      <c r="G176" s="159">
        <v>89.654762000000005</v>
      </c>
      <c r="H176" s="161">
        <f t="shared" si="10"/>
        <v>-5.1068653223829931E-3</v>
      </c>
      <c r="I176" s="174"/>
      <c r="J176" s="164">
        <v>946.65002400000003</v>
      </c>
      <c r="K176" s="180">
        <f t="shared" si="11"/>
        <v>-8.8856622196211259E-3</v>
      </c>
      <c r="L176" s="183"/>
    </row>
    <row r="177" spans="1:12">
      <c r="A177" s="159">
        <v>88.590630000000004</v>
      </c>
      <c r="B177" s="161">
        <f t="shared" si="8"/>
        <v>2.8606172100774721E-3</v>
      </c>
      <c r="C177" s="174"/>
      <c r="D177" s="159">
        <v>52.780357000000002</v>
      </c>
      <c r="E177" s="161">
        <f t="shared" si="9"/>
        <v>1.4008301209839348E-2</v>
      </c>
      <c r="F177" s="174"/>
      <c r="G177" s="159">
        <v>89.693107999999995</v>
      </c>
      <c r="H177" s="161">
        <f t="shared" si="10"/>
        <v>4.277073425278849E-4</v>
      </c>
      <c r="I177" s="174"/>
      <c r="J177" s="164">
        <v>950.44000200000005</v>
      </c>
      <c r="K177" s="180">
        <f t="shared" si="11"/>
        <v>1.4008301209839348E-2</v>
      </c>
      <c r="L177" s="183"/>
    </row>
    <row r="178" spans="1:12">
      <c r="A178" s="159">
        <v>88.415679999999995</v>
      </c>
      <c r="B178" s="161">
        <f t="shared" si="8"/>
        <v>-1.9748138149599985E-3</v>
      </c>
      <c r="C178" s="174"/>
      <c r="D178" s="159">
        <v>53.013683</v>
      </c>
      <c r="E178" s="161">
        <f t="shared" si="9"/>
        <v>4.4206976470431633E-3</v>
      </c>
      <c r="F178" s="174"/>
      <c r="G178" s="159">
        <v>89.693107999999995</v>
      </c>
      <c r="H178" s="161">
        <f t="shared" si="10"/>
        <v>0</v>
      </c>
      <c r="I178" s="174"/>
      <c r="J178" s="164">
        <v>940.13000499999998</v>
      </c>
      <c r="K178" s="180">
        <f t="shared" si="11"/>
        <v>4.4206976470431633E-3</v>
      </c>
      <c r="L178" s="183"/>
    </row>
    <row r="179" spans="1:12">
      <c r="A179" s="159">
        <v>89.047432000000001</v>
      </c>
      <c r="B179" s="161">
        <f t="shared" si="8"/>
        <v>7.1452484446198443E-3</v>
      </c>
      <c r="C179" s="174"/>
      <c r="D179" s="159">
        <v>53.149788000000001</v>
      </c>
      <c r="E179" s="161">
        <f t="shared" si="9"/>
        <v>2.5673560540964602E-3</v>
      </c>
      <c r="F179" s="174"/>
      <c r="G179" s="159">
        <v>89.424644000000001</v>
      </c>
      <c r="H179" s="161">
        <f t="shared" si="10"/>
        <v>-2.993139673563263E-3</v>
      </c>
      <c r="I179" s="174"/>
      <c r="J179" s="164">
        <v>935.28997800000002</v>
      </c>
      <c r="K179" s="180">
        <f t="shared" si="11"/>
        <v>2.5673560540964602E-3</v>
      </c>
      <c r="L179" s="183"/>
    </row>
    <row r="180" spans="1:12">
      <c r="A180" s="159">
        <v>90.310928000000004</v>
      </c>
      <c r="B180" s="161">
        <f t="shared" si="8"/>
        <v>1.4189022317903604E-2</v>
      </c>
      <c r="C180" s="174"/>
      <c r="D180" s="159">
        <v>53.169227999999997</v>
      </c>
      <c r="E180" s="161">
        <f t="shared" si="9"/>
        <v>3.6575874959267769E-4</v>
      </c>
      <c r="F180" s="174"/>
      <c r="G180" s="159">
        <v>89.309607999999997</v>
      </c>
      <c r="H180" s="161">
        <f t="shared" si="10"/>
        <v>-1.2864015427336056E-3</v>
      </c>
      <c r="I180" s="174"/>
      <c r="J180" s="164">
        <v>929.75</v>
      </c>
      <c r="K180" s="180">
        <f t="shared" si="11"/>
        <v>3.6575874959267769E-4</v>
      </c>
      <c r="L180" s="183"/>
    </row>
    <row r="181" spans="1:12">
      <c r="A181" s="159">
        <v>91.302291999999994</v>
      </c>
      <c r="B181" s="161">
        <f t="shared" si="8"/>
        <v>1.0977231902655126E-2</v>
      </c>
      <c r="C181" s="174"/>
      <c r="D181" s="159">
        <v>53.101177</v>
      </c>
      <c r="E181" s="161">
        <f t="shared" si="9"/>
        <v>-1.2798944532351867E-3</v>
      </c>
      <c r="F181" s="174"/>
      <c r="G181" s="159">
        <v>90.287552000000005</v>
      </c>
      <c r="H181" s="161">
        <f t="shared" si="10"/>
        <v>1.0950042463516444E-2</v>
      </c>
      <c r="I181" s="174"/>
      <c r="J181" s="164">
        <v>936.85998500000005</v>
      </c>
      <c r="K181" s="180">
        <f t="shared" si="11"/>
        <v>-1.2798944532351867E-3</v>
      </c>
      <c r="L181" s="183"/>
    </row>
    <row r="182" spans="1:12">
      <c r="A182" s="159">
        <v>91.943755999999993</v>
      </c>
      <c r="B182" s="161">
        <f t="shared" si="8"/>
        <v>7.0257162876042499E-3</v>
      </c>
      <c r="C182" s="174"/>
      <c r="D182" s="159">
        <v>53.616439999999997</v>
      </c>
      <c r="E182" s="161">
        <f t="shared" si="9"/>
        <v>9.7034195682705361E-3</v>
      </c>
      <c r="F182" s="174"/>
      <c r="G182" s="159">
        <v>90.508064000000005</v>
      </c>
      <c r="H182" s="161">
        <f t="shared" si="10"/>
        <v>2.4423300345987825E-3</v>
      </c>
      <c r="I182" s="174"/>
      <c r="J182" s="164">
        <v>947.53997800000002</v>
      </c>
      <c r="K182" s="180">
        <f t="shared" si="11"/>
        <v>9.7034195682705361E-3</v>
      </c>
      <c r="L182" s="183"/>
    </row>
    <row r="183" spans="1:12">
      <c r="A183" s="159">
        <v>92.361678999999995</v>
      </c>
      <c r="B183" s="161">
        <f t="shared" si="8"/>
        <v>4.5454201370672938E-3</v>
      </c>
      <c r="C183" s="174"/>
      <c r="D183" s="159">
        <v>53.480331</v>
      </c>
      <c r="E183" s="161">
        <f t="shared" si="9"/>
        <v>-2.5385683943208014E-3</v>
      </c>
      <c r="F183" s="174"/>
      <c r="G183" s="159">
        <v>88.820625000000007</v>
      </c>
      <c r="H183" s="161">
        <f t="shared" si="10"/>
        <v>-1.8644073526973216E-2</v>
      </c>
      <c r="I183" s="174"/>
      <c r="J183" s="164">
        <v>947.54998799999998</v>
      </c>
      <c r="K183" s="180">
        <f t="shared" si="11"/>
        <v>-2.5385683943208014E-3</v>
      </c>
      <c r="L183" s="183"/>
    </row>
    <row r="184" spans="1:12">
      <c r="A184" s="159">
        <v>92.167304999999999</v>
      </c>
      <c r="B184" s="161">
        <f t="shared" si="8"/>
        <v>-2.1044875115359941E-3</v>
      </c>
      <c r="C184" s="174"/>
      <c r="D184" s="159">
        <v>53.558109000000002</v>
      </c>
      <c r="E184" s="161">
        <f t="shared" si="9"/>
        <v>1.4543290691301466E-3</v>
      </c>
      <c r="F184" s="174"/>
      <c r="G184" s="159">
        <v>88.437118999999996</v>
      </c>
      <c r="H184" s="161">
        <f t="shared" si="10"/>
        <v>-4.3177584035240827E-3</v>
      </c>
      <c r="I184" s="174"/>
      <c r="J184" s="164">
        <v>943.26000999999997</v>
      </c>
      <c r="K184" s="180">
        <f t="shared" si="11"/>
        <v>1.4543290691301466E-3</v>
      </c>
      <c r="L184" s="183"/>
    </row>
    <row r="185" spans="1:12">
      <c r="A185" s="159">
        <v>91.477242000000004</v>
      </c>
      <c r="B185" s="161">
        <f t="shared" si="8"/>
        <v>-7.4870693029376852E-3</v>
      </c>
      <c r="C185" s="174"/>
      <c r="D185" s="159">
        <v>53.422004999999999</v>
      </c>
      <c r="E185" s="161">
        <f t="shared" si="9"/>
        <v>-2.5412398335423513E-3</v>
      </c>
      <c r="F185" s="174"/>
      <c r="G185" s="159">
        <v>88.897339000000002</v>
      </c>
      <c r="H185" s="161">
        <f t="shared" si="10"/>
        <v>5.2039234792350796E-3</v>
      </c>
      <c r="I185" s="174"/>
      <c r="J185" s="164">
        <v>934.28002900000001</v>
      </c>
      <c r="K185" s="180">
        <f t="shared" si="11"/>
        <v>-2.5412398335423513E-3</v>
      </c>
      <c r="L185" s="183"/>
    </row>
    <row r="186" spans="1:12">
      <c r="A186" s="159">
        <v>91.069023000000001</v>
      </c>
      <c r="B186" s="161">
        <f t="shared" si="8"/>
        <v>-4.4625197598327521E-3</v>
      </c>
      <c r="C186" s="174"/>
      <c r="D186" s="159">
        <v>53.596995999999997</v>
      </c>
      <c r="E186" s="161">
        <f t="shared" si="9"/>
        <v>3.2756351993901869E-3</v>
      </c>
      <c r="F186" s="174"/>
      <c r="G186" s="159">
        <v>88.830223000000004</v>
      </c>
      <c r="H186" s="161">
        <f t="shared" si="10"/>
        <v>-7.5498322846309965E-4</v>
      </c>
      <c r="I186" s="174"/>
      <c r="J186" s="164">
        <v>937.42999299999997</v>
      </c>
      <c r="K186" s="180">
        <f t="shared" si="11"/>
        <v>3.2756351993901869E-3</v>
      </c>
      <c r="L186" s="183"/>
    </row>
    <row r="187" spans="1:12">
      <c r="A187" s="159">
        <v>92.507469</v>
      </c>
      <c r="B187" s="161">
        <f t="shared" si="8"/>
        <v>1.5795118390585994E-2</v>
      </c>
      <c r="C187" s="174"/>
      <c r="D187" s="159">
        <v>53.460892000000001</v>
      </c>
      <c r="E187" s="161">
        <f t="shared" si="9"/>
        <v>-2.5393960512263788E-3</v>
      </c>
      <c r="F187" s="174"/>
      <c r="G187" s="159">
        <v>87.123604</v>
      </c>
      <c r="H187" s="161">
        <f t="shared" si="10"/>
        <v>-1.9212143596667581E-2</v>
      </c>
      <c r="I187" s="174"/>
      <c r="J187" s="164">
        <v>959.90002400000003</v>
      </c>
      <c r="K187" s="180">
        <f t="shared" si="11"/>
        <v>-2.5393960512263788E-3</v>
      </c>
      <c r="L187" s="183"/>
    </row>
    <row r="188" spans="1:12">
      <c r="A188" s="159">
        <v>92.701851000000005</v>
      </c>
      <c r="B188" s="161">
        <f t="shared" si="8"/>
        <v>2.1012573590139462E-3</v>
      </c>
      <c r="C188" s="174"/>
      <c r="D188" s="159">
        <v>52.984512000000002</v>
      </c>
      <c r="E188" s="161">
        <f t="shared" si="9"/>
        <v>-8.9108127862886927E-3</v>
      </c>
      <c r="F188" s="174"/>
      <c r="G188" s="159">
        <v>87.142784000000006</v>
      </c>
      <c r="H188" s="161">
        <f t="shared" si="10"/>
        <v>2.20146999428602E-4</v>
      </c>
      <c r="I188" s="174"/>
      <c r="J188" s="164">
        <v>964.80999799999995</v>
      </c>
      <c r="K188" s="180">
        <f t="shared" si="11"/>
        <v>-8.9108127862886927E-3</v>
      </c>
      <c r="L188" s="183"/>
    </row>
    <row r="189" spans="1:12">
      <c r="A189" s="159">
        <v>92.828209000000001</v>
      </c>
      <c r="B189" s="161">
        <f t="shared" si="8"/>
        <v>1.36305800409526E-3</v>
      </c>
      <c r="C189" s="174"/>
      <c r="D189" s="159">
        <v>52.216484000000001</v>
      </c>
      <c r="E189" s="161">
        <f t="shared" si="9"/>
        <v>-1.449533025801957E-2</v>
      </c>
      <c r="F189" s="174"/>
      <c r="G189" s="159">
        <v>87.229073</v>
      </c>
      <c r="H189" s="161">
        <f t="shared" si="10"/>
        <v>9.9020247046495121E-4</v>
      </c>
      <c r="I189" s="174"/>
      <c r="J189" s="164">
        <v>973.71997099999999</v>
      </c>
      <c r="K189" s="180">
        <f t="shared" si="11"/>
        <v>-1.449533025801957E-2</v>
      </c>
      <c r="L189" s="183"/>
    </row>
    <row r="190" spans="1:12">
      <c r="A190" s="159">
        <v>94.120864999999995</v>
      </c>
      <c r="B190" s="161">
        <f t="shared" si="8"/>
        <v>1.3925249812801988E-2</v>
      </c>
      <c r="C190" s="174"/>
      <c r="D190" s="159">
        <v>52.313701999999999</v>
      </c>
      <c r="E190" s="161">
        <f t="shared" si="9"/>
        <v>1.8618258556052534E-3</v>
      </c>
      <c r="F190" s="174"/>
      <c r="G190" s="159">
        <v>87.986496000000002</v>
      </c>
      <c r="H190" s="161">
        <f t="shared" si="10"/>
        <v>8.6831485644700453E-3</v>
      </c>
      <c r="I190" s="174"/>
      <c r="J190" s="164">
        <v>967.46997099999999</v>
      </c>
      <c r="K190" s="180">
        <f t="shared" si="11"/>
        <v>1.8618258556052534E-3</v>
      </c>
      <c r="L190" s="183"/>
    </row>
    <row r="191" spans="1:12">
      <c r="A191" s="159">
        <v>94.616530999999995</v>
      </c>
      <c r="B191" s="161">
        <f t="shared" si="8"/>
        <v>5.2662711928964951E-3</v>
      </c>
      <c r="C191" s="174"/>
      <c r="D191" s="159">
        <v>52.488697000000002</v>
      </c>
      <c r="E191" s="161">
        <f t="shared" si="9"/>
        <v>3.3451083236281515E-3</v>
      </c>
      <c r="F191" s="174"/>
      <c r="G191" s="159">
        <v>88.322067000000004</v>
      </c>
      <c r="H191" s="161">
        <f t="shared" si="10"/>
        <v>3.8138920772569644E-3</v>
      </c>
      <c r="I191" s="174"/>
      <c r="J191" s="164">
        <v>972.080017</v>
      </c>
      <c r="K191" s="180">
        <f t="shared" si="11"/>
        <v>3.3451083236281515E-3</v>
      </c>
      <c r="L191" s="183"/>
    </row>
    <row r="192" spans="1:12">
      <c r="A192" s="159">
        <v>93.654342999999997</v>
      </c>
      <c r="B192" s="161">
        <f t="shared" si="8"/>
        <v>-1.0169343452255692E-2</v>
      </c>
      <c r="C192" s="174"/>
      <c r="D192" s="159">
        <v>52.430366999999997</v>
      </c>
      <c r="E192" s="161">
        <f t="shared" si="9"/>
        <v>-1.1112868738198073E-3</v>
      </c>
      <c r="F192" s="174"/>
      <c r="G192" s="159">
        <v>88.609688000000006</v>
      </c>
      <c r="H192" s="161">
        <f t="shared" si="10"/>
        <v>3.2565021377953195E-3</v>
      </c>
      <c r="I192" s="174"/>
      <c r="J192" s="164">
        <v>966.78002900000001</v>
      </c>
      <c r="K192" s="180">
        <f t="shared" si="11"/>
        <v>-1.1112868738198073E-3</v>
      </c>
      <c r="L192" s="183"/>
    </row>
    <row r="193" spans="1:12">
      <c r="A193" s="159">
        <v>94.915436</v>
      </c>
      <c r="B193" s="161">
        <f t="shared" si="8"/>
        <v>1.3465397968784026E-2</v>
      </c>
      <c r="C193" s="174"/>
      <c r="D193" s="159">
        <v>53.081733999999997</v>
      </c>
      <c r="E193" s="161">
        <f t="shared" si="9"/>
        <v>1.2423468254570877E-2</v>
      </c>
      <c r="F193" s="174"/>
      <c r="G193" s="159">
        <v>88.235778999999994</v>
      </c>
      <c r="H193" s="161">
        <f t="shared" si="10"/>
        <v>-4.2197304655898554E-3</v>
      </c>
      <c r="I193" s="174"/>
      <c r="J193" s="164">
        <v>985.19000200000005</v>
      </c>
      <c r="K193" s="180">
        <f t="shared" si="11"/>
        <v>1.2423468254570877E-2</v>
      </c>
      <c r="L193" s="183"/>
    </row>
    <row r="194" spans="1:12">
      <c r="A194" s="159">
        <v>94.749251999999998</v>
      </c>
      <c r="B194" s="161">
        <f t="shared" si="8"/>
        <v>-1.7508637899529981E-3</v>
      </c>
      <c r="C194" s="174"/>
      <c r="D194" s="159">
        <v>53.635883</v>
      </c>
      <c r="E194" s="161">
        <f t="shared" si="9"/>
        <v>1.043954215964389E-2</v>
      </c>
      <c r="F194" s="174"/>
      <c r="G194" s="159">
        <v>88.523415</v>
      </c>
      <c r="H194" s="161">
        <f t="shared" si="10"/>
        <v>3.2598567526672625E-3</v>
      </c>
      <c r="I194" s="174"/>
      <c r="J194" s="164">
        <v>993.64001499999995</v>
      </c>
      <c r="K194" s="180">
        <f t="shared" si="11"/>
        <v>1.043954215964389E-2</v>
      </c>
      <c r="L194" s="183"/>
    </row>
    <row r="195" spans="1:12">
      <c r="A195" s="159">
        <v>94.250670999999997</v>
      </c>
      <c r="B195" s="161">
        <f t="shared" si="8"/>
        <v>-5.2621101430964492E-3</v>
      </c>
      <c r="C195" s="174"/>
      <c r="D195" s="159">
        <v>53.490059000000002</v>
      </c>
      <c r="E195" s="161">
        <f t="shared" si="9"/>
        <v>-2.718776905378765E-3</v>
      </c>
      <c r="F195" s="174"/>
      <c r="G195" s="159">
        <v>88.322067000000004</v>
      </c>
      <c r="H195" s="161">
        <f t="shared" si="10"/>
        <v>-2.2745168608779482E-3</v>
      </c>
      <c r="I195" s="174"/>
      <c r="J195" s="164">
        <v>987.79998799999998</v>
      </c>
      <c r="K195" s="180">
        <f t="shared" si="11"/>
        <v>-2.718776905378765E-3</v>
      </c>
      <c r="L195" s="183"/>
    </row>
    <row r="196" spans="1:12">
      <c r="A196" s="159">
        <v>94.954536000000004</v>
      </c>
      <c r="B196" s="161">
        <f t="shared" ref="B196:B252" si="12">(A196-A195)/A195</f>
        <v>7.4680104929969945E-3</v>
      </c>
      <c r="C196" s="174"/>
      <c r="D196" s="159">
        <v>53.878933000000004</v>
      </c>
      <c r="E196" s="161">
        <f t="shared" ref="E196:E252" si="13">(D196-D195)/D195</f>
        <v>7.2700237627332069E-3</v>
      </c>
      <c r="F196" s="174"/>
      <c r="G196" s="159">
        <v>87.842690000000005</v>
      </c>
      <c r="H196" s="161">
        <f t="shared" ref="H196:H252" si="14">(G196-G195)/G195</f>
        <v>-5.4276016887150015E-3</v>
      </c>
      <c r="I196" s="174"/>
      <c r="J196" s="164">
        <v>1005.650024</v>
      </c>
      <c r="K196" s="180">
        <f t="shared" ref="K196:K251" si="15">(D196-D195)/D195</f>
        <v>7.2700237627332069E-3</v>
      </c>
      <c r="L196" s="183"/>
    </row>
    <row r="197" spans="1:12">
      <c r="A197" s="159">
        <v>94.671042999999997</v>
      </c>
      <c r="B197" s="161">
        <f t="shared" si="12"/>
        <v>-2.985565639539401E-3</v>
      </c>
      <c r="C197" s="174"/>
      <c r="D197" s="159">
        <v>54.092812000000002</v>
      </c>
      <c r="E197" s="161">
        <f t="shared" si="13"/>
        <v>3.969622041327333E-3</v>
      </c>
      <c r="F197" s="174"/>
      <c r="G197" s="159">
        <v>87.689278000000002</v>
      </c>
      <c r="H197" s="161">
        <f t="shared" si="14"/>
        <v>-1.7464401420312036E-3</v>
      </c>
      <c r="I197" s="174"/>
      <c r="J197" s="164">
        <v>1005.650024</v>
      </c>
      <c r="K197" s="180">
        <f t="shared" si="15"/>
        <v>3.969622041327333E-3</v>
      </c>
      <c r="L197" s="183"/>
    </row>
    <row r="198" spans="1:12">
      <c r="A198" s="159">
        <v>93.84008</v>
      </c>
      <c r="B198" s="161">
        <f t="shared" si="12"/>
        <v>-8.7773724009779525E-3</v>
      </c>
      <c r="C198" s="174"/>
      <c r="D198" s="159">
        <v>54.413639000000003</v>
      </c>
      <c r="E198" s="161">
        <f t="shared" si="13"/>
        <v>5.931046808954973E-3</v>
      </c>
      <c r="F198" s="174"/>
      <c r="G198" s="159">
        <v>88.350837999999996</v>
      </c>
      <c r="H198" s="161">
        <f t="shared" si="14"/>
        <v>7.5443659143823076E-3</v>
      </c>
      <c r="I198" s="174"/>
      <c r="J198" s="164">
        <v>1007.869995</v>
      </c>
      <c r="K198" s="180">
        <f t="shared" si="15"/>
        <v>5.931046808954973E-3</v>
      </c>
      <c r="L198" s="183"/>
    </row>
    <row r="199" spans="1:12">
      <c r="A199" s="159">
        <v>93.712990000000005</v>
      </c>
      <c r="B199" s="161">
        <f t="shared" si="12"/>
        <v>-1.3543253586313596E-3</v>
      </c>
      <c r="C199" s="174"/>
      <c r="D199" s="159">
        <v>54.170592999999997</v>
      </c>
      <c r="E199" s="161">
        <f t="shared" si="13"/>
        <v>-4.4666374913834885E-3</v>
      </c>
      <c r="F199" s="174"/>
      <c r="G199" s="159">
        <v>89.204132000000001</v>
      </c>
      <c r="H199" s="161">
        <f t="shared" si="14"/>
        <v>9.6580181842758003E-3</v>
      </c>
      <c r="I199" s="174"/>
      <c r="J199" s="164">
        <v>1009.349976</v>
      </c>
      <c r="K199" s="180">
        <f t="shared" si="15"/>
        <v>-4.4666374913834885E-3</v>
      </c>
      <c r="L199" s="183"/>
    </row>
    <row r="200" spans="1:12">
      <c r="A200" s="159">
        <v>95.648635999999996</v>
      </c>
      <c r="B200" s="161">
        <f t="shared" si="12"/>
        <v>2.0655044727523806E-2</v>
      </c>
      <c r="C200" s="174"/>
      <c r="D200" s="159">
        <v>53.383113999999999</v>
      </c>
      <c r="E200" s="161">
        <f t="shared" si="13"/>
        <v>-1.4537020113477392E-2</v>
      </c>
      <c r="F200" s="174"/>
      <c r="G200" s="159">
        <v>89.300010999999998</v>
      </c>
      <c r="H200" s="161">
        <f t="shared" si="14"/>
        <v>1.0748268925479428E-3</v>
      </c>
      <c r="I200" s="174"/>
      <c r="J200" s="164">
        <v>1011</v>
      </c>
      <c r="K200" s="180">
        <f t="shared" si="15"/>
        <v>-1.4537020113477392E-2</v>
      </c>
      <c r="L200" s="183"/>
    </row>
    <row r="201" spans="1:12">
      <c r="A201" s="159">
        <v>95.433577999999997</v>
      </c>
      <c r="B201" s="161">
        <f t="shared" si="12"/>
        <v>-2.2484167991689823E-3</v>
      </c>
      <c r="C201" s="174"/>
      <c r="D201" s="159">
        <v>52.994231999999997</v>
      </c>
      <c r="E201" s="161">
        <f t="shared" si="13"/>
        <v>-7.2847380165945805E-3</v>
      </c>
      <c r="F201" s="174"/>
      <c r="G201" s="159">
        <v>88.974029999999999</v>
      </c>
      <c r="H201" s="161">
        <f t="shared" si="14"/>
        <v>-3.6504026858406404E-3</v>
      </c>
      <c r="I201" s="174"/>
      <c r="J201" s="164">
        <v>1012.73999</v>
      </c>
      <c r="K201" s="180">
        <f t="shared" si="15"/>
        <v>-7.2847380165945805E-3</v>
      </c>
      <c r="L201" s="183"/>
    </row>
    <row r="202" spans="1:12">
      <c r="A202" s="159">
        <v>95.795280000000005</v>
      </c>
      <c r="B202" s="161">
        <f t="shared" si="12"/>
        <v>3.7900915755250024E-3</v>
      </c>
      <c r="C202" s="174"/>
      <c r="D202" s="159">
        <v>53.674770000000002</v>
      </c>
      <c r="E202" s="161">
        <f t="shared" si="13"/>
        <v>1.2841737191323118E-2</v>
      </c>
      <c r="F202" s="174"/>
      <c r="G202" s="159">
        <v>88.945273999999998</v>
      </c>
      <c r="H202" s="161">
        <f t="shared" si="14"/>
        <v>-3.2319543129609099E-4</v>
      </c>
      <c r="I202" s="174"/>
      <c r="J202" s="164">
        <v>1001.840027</v>
      </c>
      <c r="K202" s="180">
        <f t="shared" si="15"/>
        <v>1.2841737191323118E-2</v>
      </c>
      <c r="L202" s="183"/>
    </row>
    <row r="203" spans="1:12">
      <c r="A203" s="159">
        <v>95.912604999999999</v>
      </c>
      <c r="B203" s="161">
        <f t="shared" si="12"/>
        <v>1.2247471900493833E-3</v>
      </c>
      <c r="C203" s="174"/>
      <c r="D203" s="159">
        <v>53.859489000000004</v>
      </c>
      <c r="E203" s="161">
        <f t="shared" si="13"/>
        <v>3.4414493066295612E-3</v>
      </c>
      <c r="F203" s="174"/>
      <c r="G203" s="159">
        <v>88.471558000000002</v>
      </c>
      <c r="H203" s="161">
        <f t="shared" si="14"/>
        <v>-5.3259265916702448E-3</v>
      </c>
      <c r="I203" s="174"/>
      <c r="J203" s="164">
        <v>1005.070007</v>
      </c>
      <c r="K203" s="180">
        <f t="shared" si="15"/>
        <v>3.4414493066295612E-3</v>
      </c>
      <c r="L203" s="183"/>
    </row>
    <row r="204" spans="1:12">
      <c r="A204" s="159">
        <v>97.28125</v>
      </c>
      <c r="B204" s="161">
        <f t="shared" si="12"/>
        <v>1.4269709388041341E-2</v>
      </c>
      <c r="C204" s="174"/>
      <c r="D204" s="159">
        <v>53.052567000000003</v>
      </c>
      <c r="E204" s="161">
        <f t="shared" si="13"/>
        <v>-1.4981983954582266E-2</v>
      </c>
      <c r="F204" s="174"/>
      <c r="G204" s="159">
        <v>85.245284999999996</v>
      </c>
      <c r="H204" s="161">
        <f t="shared" si="14"/>
        <v>-3.6466781787656617E-2</v>
      </c>
      <c r="I204" s="174"/>
      <c r="J204" s="164">
        <v>985.53997800000002</v>
      </c>
      <c r="K204" s="180">
        <f t="shared" si="15"/>
        <v>-1.4981983954582266E-2</v>
      </c>
      <c r="L204" s="183"/>
    </row>
    <row r="205" spans="1:12">
      <c r="A205" s="159">
        <v>97.115050999999994</v>
      </c>
      <c r="B205" s="161">
        <f t="shared" si="12"/>
        <v>-1.7084381625442312E-3</v>
      </c>
      <c r="C205" s="174"/>
      <c r="D205" s="159">
        <v>52.760910000000003</v>
      </c>
      <c r="E205" s="161">
        <f t="shared" si="13"/>
        <v>-5.4975096680995794E-3</v>
      </c>
      <c r="F205" s="174"/>
      <c r="G205" s="159">
        <v>84.327629000000002</v>
      </c>
      <c r="H205" s="161">
        <f t="shared" si="14"/>
        <v>-1.0764888638708801E-2</v>
      </c>
      <c r="I205" s="174"/>
      <c r="J205" s="164">
        <v>988.48999000000003</v>
      </c>
      <c r="K205" s="180">
        <f t="shared" si="15"/>
        <v>-5.4975096680995794E-3</v>
      </c>
      <c r="L205" s="183"/>
    </row>
    <row r="206" spans="1:12">
      <c r="A206" s="159">
        <v>98.659660000000002</v>
      </c>
      <c r="B206" s="161">
        <f t="shared" si="12"/>
        <v>1.5904939389879004E-2</v>
      </c>
      <c r="C206" s="174"/>
      <c r="D206" s="159">
        <v>52.770634000000001</v>
      </c>
      <c r="E206" s="161">
        <f t="shared" si="13"/>
        <v>1.8430311380145852E-4</v>
      </c>
      <c r="F206" s="174"/>
      <c r="G206" s="159">
        <v>84.018523999999999</v>
      </c>
      <c r="H206" s="161">
        <f t="shared" si="14"/>
        <v>-3.6655246170860844E-3</v>
      </c>
      <c r="I206" s="174"/>
      <c r="J206" s="164">
        <v>991.46002199999998</v>
      </c>
      <c r="K206" s="180">
        <f t="shared" si="15"/>
        <v>1.8430311380145852E-4</v>
      </c>
      <c r="L206" s="183"/>
    </row>
    <row r="207" spans="1:12">
      <c r="A207" s="159">
        <v>98.757423000000003</v>
      </c>
      <c r="B207" s="161">
        <f t="shared" si="12"/>
        <v>9.9091158432940553E-4</v>
      </c>
      <c r="C207" s="174"/>
      <c r="D207" s="159">
        <v>52.653968999999996</v>
      </c>
      <c r="E207" s="161">
        <f t="shared" si="13"/>
        <v>-2.2107939806068027E-3</v>
      </c>
      <c r="F207" s="174"/>
      <c r="G207" s="159">
        <v>83.902618000000004</v>
      </c>
      <c r="H207" s="161">
        <f t="shared" si="14"/>
        <v>-1.3795291143176402E-3</v>
      </c>
      <c r="I207" s="174"/>
      <c r="J207" s="164">
        <v>991.419983</v>
      </c>
      <c r="K207" s="180">
        <f t="shared" si="15"/>
        <v>-2.2107939806068027E-3</v>
      </c>
      <c r="L207" s="183"/>
    </row>
    <row r="208" spans="1:12">
      <c r="A208" s="159">
        <v>99.461296000000004</v>
      </c>
      <c r="B208" s="161">
        <f t="shared" si="12"/>
        <v>7.1272920922612728E-3</v>
      </c>
      <c r="C208" s="174"/>
      <c r="D208" s="159">
        <v>53.383113999999999</v>
      </c>
      <c r="E208" s="161">
        <f t="shared" si="13"/>
        <v>1.3847863966342265E-2</v>
      </c>
      <c r="F208" s="174"/>
      <c r="G208" s="159">
        <v>84.520820999999998</v>
      </c>
      <c r="H208" s="161">
        <f t="shared" si="14"/>
        <v>7.3681014339742534E-3</v>
      </c>
      <c r="I208" s="174"/>
      <c r="J208" s="164">
        <v>1033.670044</v>
      </c>
      <c r="K208" s="180">
        <f t="shared" si="15"/>
        <v>1.3847863966342265E-2</v>
      </c>
      <c r="L208" s="183"/>
    </row>
    <row r="209" spans="1:12">
      <c r="A209" s="159">
        <v>99.490616000000003</v>
      </c>
      <c r="B209" s="161">
        <f t="shared" si="12"/>
        <v>2.9478803493570459E-4</v>
      </c>
      <c r="C209" s="174"/>
      <c r="D209" s="159">
        <v>53.353951000000002</v>
      </c>
      <c r="E209" s="161">
        <f t="shared" si="13"/>
        <v>-5.462963438213241E-4</v>
      </c>
      <c r="F209" s="174"/>
      <c r="G209" s="159">
        <v>84.076485000000005</v>
      </c>
      <c r="H209" s="161">
        <f t="shared" si="14"/>
        <v>-5.2571188346596008E-3</v>
      </c>
      <c r="I209" s="174"/>
      <c r="J209" s="164">
        <v>1033.130005</v>
      </c>
      <c r="K209" s="180">
        <f t="shared" si="15"/>
        <v>-5.462963438213241E-4</v>
      </c>
      <c r="L209" s="183"/>
    </row>
    <row r="210" spans="1:12">
      <c r="A210" s="159">
        <v>99.138687000000004</v>
      </c>
      <c r="B210" s="161">
        <f t="shared" si="12"/>
        <v>-3.5373084834452967E-3</v>
      </c>
      <c r="C210" s="174"/>
      <c r="D210" s="159">
        <v>53.635883</v>
      </c>
      <c r="E210" s="161">
        <f t="shared" si="13"/>
        <v>5.28418223422662E-3</v>
      </c>
      <c r="F210" s="174"/>
      <c r="G210" s="159">
        <v>83.332687000000007</v>
      </c>
      <c r="H210" s="161">
        <f t="shared" si="14"/>
        <v>-8.8466828745278562E-3</v>
      </c>
      <c r="I210" s="174"/>
      <c r="J210" s="164">
        <v>1033.040039</v>
      </c>
      <c r="K210" s="180">
        <f t="shared" si="15"/>
        <v>5.28418223422662E-3</v>
      </c>
      <c r="L210" s="183"/>
    </row>
    <row r="211" spans="1:12">
      <c r="A211" s="159">
        <v>98.356605999999999</v>
      </c>
      <c r="B211" s="161">
        <f t="shared" si="12"/>
        <v>-7.8887568886201308E-3</v>
      </c>
      <c r="C211" s="174"/>
      <c r="D211" s="159">
        <v>53.315060000000003</v>
      </c>
      <c r="E211" s="161">
        <f t="shared" si="13"/>
        <v>-5.9814993630289857E-3</v>
      </c>
      <c r="F211" s="174"/>
      <c r="G211" s="159">
        <v>83.400313999999995</v>
      </c>
      <c r="H211" s="161">
        <f t="shared" si="14"/>
        <v>8.1153029422881132E-4</v>
      </c>
      <c r="I211" s="174"/>
      <c r="J211" s="164">
        <v>1042.599976</v>
      </c>
      <c r="K211" s="180">
        <f t="shared" si="15"/>
        <v>-5.9814993630289857E-3</v>
      </c>
      <c r="L211" s="183"/>
    </row>
    <row r="212" spans="1:12">
      <c r="A212" s="159">
        <v>98.659660000000002</v>
      </c>
      <c r="B212" s="161">
        <f t="shared" si="12"/>
        <v>3.0811758591995646E-3</v>
      </c>
      <c r="C212" s="174"/>
      <c r="D212" s="159">
        <v>53.596995999999997</v>
      </c>
      <c r="E212" s="161">
        <f t="shared" si="13"/>
        <v>5.288111839318846E-3</v>
      </c>
      <c r="F212" s="174"/>
      <c r="G212" s="159">
        <v>83.931586999999993</v>
      </c>
      <c r="H212" s="161">
        <f t="shared" si="14"/>
        <v>6.3701558725546142E-3</v>
      </c>
      <c r="I212" s="174"/>
      <c r="J212" s="164">
        <v>1042.969971</v>
      </c>
      <c r="K212" s="180">
        <f t="shared" si="15"/>
        <v>5.288111839318846E-3</v>
      </c>
      <c r="L212" s="183"/>
    </row>
    <row r="213" spans="1:12">
      <c r="A213" s="159">
        <v>99.314650999999998</v>
      </c>
      <c r="B213" s="161">
        <f t="shared" si="12"/>
        <v>6.6388937484681727E-3</v>
      </c>
      <c r="C213" s="174"/>
      <c r="D213" s="159">
        <v>53.344226999999997</v>
      </c>
      <c r="E213" s="161">
        <f t="shared" si="13"/>
        <v>-4.7161038652241017E-3</v>
      </c>
      <c r="F213" s="174"/>
      <c r="G213" s="159">
        <v>83.564521999999997</v>
      </c>
      <c r="H213" s="161">
        <f t="shared" si="14"/>
        <v>-4.3733832889397964E-3</v>
      </c>
      <c r="I213" s="174"/>
      <c r="J213" s="164">
        <v>1049.98999</v>
      </c>
      <c r="K213" s="180">
        <f t="shared" si="15"/>
        <v>-4.7161038652241017E-3</v>
      </c>
      <c r="L213" s="183"/>
    </row>
    <row r="214" spans="1:12">
      <c r="A214" s="159">
        <v>99.138687000000004</v>
      </c>
      <c r="B214" s="161">
        <f t="shared" si="12"/>
        <v>-1.7717828963623237E-3</v>
      </c>
      <c r="C214" s="174"/>
      <c r="D214" s="159">
        <v>54.471969999999999</v>
      </c>
      <c r="E214" s="161">
        <f t="shared" si="13"/>
        <v>2.1140863096582176E-2</v>
      </c>
      <c r="F214" s="174"/>
      <c r="G214" s="159">
        <v>83.632148999999998</v>
      </c>
      <c r="H214" s="161">
        <f t="shared" si="14"/>
        <v>8.0927884682929991E-4</v>
      </c>
      <c r="I214" s="174"/>
      <c r="J214" s="164">
        <v>1042.6800539999999</v>
      </c>
      <c r="K214" s="180">
        <f t="shared" si="15"/>
        <v>2.1140863096582176E-2</v>
      </c>
      <c r="L214" s="183"/>
    </row>
    <row r="215" spans="1:12">
      <c r="A215" s="159">
        <v>98.522789000000003</v>
      </c>
      <c r="B215" s="161">
        <f t="shared" si="12"/>
        <v>-6.2124889751666908E-3</v>
      </c>
      <c r="C215" s="174"/>
      <c r="D215" s="159">
        <v>54.996955999999997</v>
      </c>
      <c r="E215" s="161">
        <f t="shared" si="13"/>
        <v>9.6377274403697602E-3</v>
      </c>
      <c r="F215" s="174"/>
      <c r="G215" s="159">
        <v>83.120193</v>
      </c>
      <c r="H215" s="161">
        <f t="shared" si="14"/>
        <v>-6.1215215215861289E-3</v>
      </c>
      <c r="I215" s="174"/>
      <c r="J215" s="164">
        <v>1052.3900149999999</v>
      </c>
      <c r="K215" s="180">
        <f t="shared" si="15"/>
        <v>9.6377274403697602E-3</v>
      </c>
      <c r="L215" s="183"/>
    </row>
    <row r="216" spans="1:12">
      <c r="A216" s="159">
        <v>96.538269</v>
      </c>
      <c r="B216" s="161">
        <f t="shared" si="12"/>
        <v>-2.014275093247719E-2</v>
      </c>
      <c r="C216" s="174"/>
      <c r="D216" s="159">
        <v>55.628883000000002</v>
      </c>
      <c r="E216" s="161">
        <f t="shared" si="13"/>
        <v>1.1490217749506074E-2</v>
      </c>
      <c r="F216" s="174"/>
      <c r="G216" s="159">
        <v>84.018523999999999</v>
      </c>
      <c r="H216" s="161">
        <f t="shared" si="14"/>
        <v>1.080761446258912E-2</v>
      </c>
      <c r="I216" s="174"/>
      <c r="J216" s="164">
        <v>1058.290039</v>
      </c>
      <c r="K216" s="180">
        <f t="shared" si="15"/>
        <v>1.1490217749506074E-2</v>
      </c>
      <c r="L216" s="183"/>
    </row>
    <row r="217" spans="1:12">
      <c r="A217" s="159">
        <v>95.453132999999994</v>
      </c>
      <c r="B217" s="161">
        <f t="shared" si="12"/>
        <v>-1.1240475007895632E-2</v>
      </c>
      <c r="C217" s="174"/>
      <c r="D217" s="159">
        <v>56.299689999999998</v>
      </c>
      <c r="E217" s="161">
        <f t="shared" si="13"/>
        <v>1.2058609913127257E-2</v>
      </c>
      <c r="F217" s="174"/>
      <c r="G217" s="159">
        <v>84.598099000000005</v>
      </c>
      <c r="H217" s="161">
        <f t="shared" si="14"/>
        <v>6.8981811677625458E-3</v>
      </c>
      <c r="I217" s="174"/>
      <c r="J217" s="164">
        <v>1047.719971</v>
      </c>
      <c r="K217" s="180">
        <f t="shared" si="15"/>
        <v>1.2058609913127257E-2</v>
      </c>
      <c r="L217" s="183"/>
    </row>
    <row r="218" spans="1:12">
      <c r="A218" s="159">
        <v>95.443343999999996</v>
      </c>
      <c r="B218" s="161">
        <f t="shared" si="12"/>
        <v>-1.0255294606199912E-4</v>
      </c>
      <c r="C218" s="174"/>
      <c r="D218" s="159">
        <v>55.764988000000002</v>
      </c>
      <c r="E218" s="161">
        <f t="shared" si="13"/>
        <v>-9.4974235204491504E-3</v>
      </c>
      <c r="F218" s="174"/>
      <c r="G218" s="159">
        <v>84.791283000000007</v>
      </c>
      <c r="H218" s="161">
        <f t="shared" si="14"/>
        <v>2.2835501303640668E-3</v>
      </c>
      <c r="I218" s="174"/>
      <c r="J218" s="164">
        <v>1044.150024</v>
      </c>
      <c r="K218" s="180">
        <f t="shared" si="15"/>
        <v>-9.4974235204491504E-3</v>
      </c>
      <c r="L218" s="183"/>
    </row>
    <row r="219" spans="1:12">
      <c r="A219" s="159">
        <v>95.326035000000005</v>
      </c>
      <c r="B219" s="161">
        <f t="shared" si="12"/>
        <v>-1.2290956611913312E-3</v>
      </c>
      <c r="C219" s="174"/>
      <c r="D219" s="159">
        <v>55.453884000000002</v>
      </c>
      <c r="E219" s="161">
        <f t="shared" si="13"/>
        <v>-5.5788409745555802E-3</v>
      </c>
      <c r="F219" s="174"/>
      <c r="G219" s="159">
        <v>85.158355999999998</v>
      </c>
      <c r="H219" s="161">
        <f t="shared" si="14"/>
        <v>4.329136050459227E-3</v>
      </c>
      <c r="I219" s="174"/>
      <c r="J219" s="164">
        <v>1041.1999510000001</v>
      </c>
      <c r="K219" s="180">
        <f t="shared" si="15"/>
        <v>-5.5788409745555802E-3</v>
      </c>
      <c r="L219" s="183"/>
    </row>
    <row r="220" spans="1:12">
      <c r="A220" s="159">
        <v>95.668198000000004</v>
      </c>
      <c r="B220" s="161">
        <f t="shared" si="12"/>
        <v>3.5893971673111058E-3</v>
      </c>
      <c r="C220" s="174"/>
      <c r="D220" s="159">
        <v>55.065010000000001</v>
      </c>
      <c r="E220" s="161">
        <f t="shared" si="13"/>
        <v>-7.012565612176079E-3</v>
      </c>
      <c r="F220" s="174"/>
      <c r="G220" s="159">
        <v>85.969741999999997</v>
      </c>
      <c r="H220" s="161">
        <f t="shared" si="14"/>
        <v>9.5279669325697043E-3</v>
      </c>
      <c r="I220" s="174"/>
      <c r="J220" s="164">
        <v>1041.6400149999999</v>
      </c>
      <c r="K220" s="180">
        <f t="shared" si="15"/>
        <v>-7.012565612176079E-3</v>
      </c>
      <c r="L220" s="183"/>
    </row>
    <row r="221" spans="1:12">
      <c r="A221" s="159">
        <v>95.091408000000001</v>
      </c>
      <c r="B221" s="161">
        <f t="shared" si="12"/>
        <v>-6.0290672559757275E-3</v>
      </c>
      <c r="C221" s="174"/>
      <c r="D221" s="159">
        <v>55.346943000000003</v>
      </c>
      <c r="E221" s="161">
        <f t="shared" si="13"/>
        <v>5.1200027022605139E-3</v>
      </c>
      <c r="F221" s="174"/>
      <c r="G221" s="159">
        <v>85.844177000000002</v>
      </c>
      <c r="H221" s="161">
        <f t="shared" si="14"/>
        <v>-1.4605720231194203E-3</v>
      </c>
      <c r="I221" s="174"/>
      <c r="J221" s="164">
        <v>1036.410034</v>
      </c>
      <c r="K221" s="180">
        <f t="shared" si="15"/>
        <v>5.1200027022605139E-3</v>
      </c>
      <c r="L221" s="183"/>
    </row>
    <row r="222" spans="1:12">
      <c r="A222" s="159">
        <v>95.990807000000004</v>
      </c>
      <c r="B222" s="161">
        <f t="shared" si="12"/>
        <v>9.4582572591627046E-3</v>
      </c>
      <c r="C222" s="174"/>
      <c r="D222" s="159">
        <v>55.415356000000003</v>
      </c>
      <c r="E222" s="161">
        <f t="shared" si="13"/>
        <v>1.2360754956240241E-3</v>
      </c>
      <c r="F222" s="174"/>
      <c r="G222" s="159">
        <v>85.225966999999997</v>
      </c>
      <c r="H222" s="161">
        <f t="shared" si="14"/>
        <v>-7.2015368031311524E-3</v>
      </c>
      <c r="I222" s="174"/>
      <c r="J222" s="164">
        <v>1048.469971</v>
      </c>
      <c r="K222" s="180">
        <f t="shared" si="15"/>
        <v>1.2360754956240241E-3</v>
      </c>
      <c r="L222" s="183"/>
    </row>
    <row r="223" spans="1:12">
      <c r="A223" s="159">
        <v>96.264542000000006</v>
      </c>
      <c r="B223" s="161">
        <f t="shared" si="12"/>
        <v>2.8516793280006702E-3</v>
      </c>
      <c r="C223" s="174"/>
      <c r="D223" s="159">
        <v>55.943126999999997</v>
      </c>
      <c r="E223" s="161">
        <f t="shared" si="13"/>
        <v>9.5239124693161613E-3</v>
      </c>
      <c r="F223" s="174"/>
      <c r="G223" s="159">
        <v>86.211235000000002</v>
      </c>
      <c r="H223" s="161">
        <f t="shared" si="14"/>
        <v>1.1560654982066732E-2</v>
      </c>
      <c r="I223" s="174"/>
      <c r="J223" s="164">
        <v>1035.8900149999999</v>
      </c>
      <c r="K223" s="180">
        <f t="shared" si="15"/>
        <v>9.5239124693161613E-3</v>
      </c>
      <c r="L223" s="183"/>
    </row>
    <row r="224" spans="1:12">
      <c r="A224" s="159">
        <v>95.941924999999998</v>
      </c>
      <c r="B224" s="161">
        <f t="shared" si="12"/>
        <v>-3.3513585926582203E-3</v>
      </c>
      <c r="C224" s="174"/>
      <c r="D224" s="159">
        <v>55.640148000000003</v>
      </c>
      <c r="E224" s="161">
        <f t="shared" si="13"/>
        <v>-5.415839554338703E-3</v>
      </c>
      <c r="F224" s="174"/>
      <c r="G224" s="159">
        <v>85.419150999999999</v>
      </c>
      <c r="H224" s="161">
        <f t="shared" si="14"/>
        <v>-9.1877120192049525E-3</v>
      </c>
      <c r="I224" s="174"/>
      <c r="J224" s="164">
        <v>1034.660034</v>
      </c>
      <c r="K224" s="180">
        <f t="shared" si="15"/>
        <v>-5.415839554338703E-3</v>
      </c>
      <c r="L224" s="183"/>
    </row>
    <row r="225" spans="1:12">
      <c r="A225" s="159">
        <v>96.792441999999994</v>
      </c>
      <c r="B225" s="161">
        <f t="shared" si="12"/>
        <v>8.864914895130532E-3</v>
      </c>
      <c r="C225" s="174"/>
      <c r="D225" s="159">
        <v>55.522869</v>
      </c>
      <c r="E225" s="161">
        <f t="shared" si="13"/>
        <v>-2.1078125097726817E-3</v>
      </c>
      <c r="F225" s="174"/>
      <c r="G225" s="159">
        <v>85.264602999999994</v>
      </c>
      <c r="H225" s="161">
        <f t="shared" si="14"/>
        <v>-1.8092898160507994E-3</v>
      </c>
      <c r="I225" s="174"/>
      <c r="J225" s="164">
        <v>1050.3000489999999</v>
      </c>
      <c r="K225" s="180">
        <f t="shared" si="15"/>
        <v>-2.1078125097726817E-3</v>
      </c>
      <c r="L225" s="183"/>
    </row>
    <row r="226" spans="1:12">
      <c r="A226" s="159">
        <v>96.714225999999996</v>
      </c>
      <c r="B226" s="161">
        <f t="shared" si="12"/>
        <v>-8.0807962258042446E-4</v>
      </c>
      <c r="C226" s="174"/>
      <c r="D226" s="159">
        <v>55.962668999999998</v>
      </c>
      <c r="E226" s="161">
        <f t="shared" si="13"/>
        <v>7.9210604192661259E-3</v>
      </c>
      <c r="F226" s="174"/>
      <c r="G226" s="159">
        <v>85.699280000000002</v>
      </c>
      <c r="H226" s="161">
        <f t="shared" si="14"/>
        <v>5.0979771758276737E-3</v>
      </c>
      <c r="I226" s="174"/>
      <c r="J226" s="164">
        <v>1051.920044</v>
      </c>
      <c r="K226" s="180">
        <f t="shared" si="15"/>
        <v>7.9210604192661259E-3</v>
      </c>
      <c r="L226" s="183"/>
    </row>
    <row r="227" spans="1:12">
      <c r="A227" s="159">
        <v>96.430717000000001</v>
      </c>
      <c r="B227" s="161">
        <f t="shared" si="12"/>
        <v>-2.9314094908849827E-3</v>
      </c>
      <c r="C227" s="174"/>
      <c r="D227" s="159">
        <v>55.845390000000002</v>
      </c>
      <c r="E227" s="161">
        <f t="shared" si="13"/>
        <v>-2.095664879743251E-3</v>
      </c>
      <c r="F227" s="174"/>
      <c r="G227" s="159">
        <v>85.322563000000002</v>
      </c>
      <c r="H227" s="161">
        <f t="shared" si="14"/>
        <v>-4.3958012249344369E-3</v>
      </c>
      <c r="I227" s="174"/>
      <c r="J227" s="164">
        <v>1056.5200199999999</v>
      </c>
      <c r="K227" s="180">
        <f t="shared" si="15"/>
        <v>-2.095664879743251E-3</v>
      </c>
      <c r="L227" s="183"/>
    </row>
    <row r="228" spans="1:12">
      <c r="A228" s="159">
        <v>96.117889000000005</v>
      </c>
      <c r="B228" s="161">
        <f t="shared" si="12"/>
        <v>-3.2440700404622741E-3</v>
      </c>
      <c r="C228" s="174"/>
      <c r="D228" s="159">
        <v>55.513092</v>
      </c>
      <c r="E228" s="161">
        <f t="shared" si="13"/>
        <v>-5.9503210560442237E-3</v>
      </c>
      <c r="F228" s="174"/>
      <c r="G228" s="159">
        <v>85.438468999999998</v>
      </c>
      <c r="H228" s="161">
        <f t="shared" si="14"/>
        <v>1.3584448934099108E-3</v>
      </c>
      <c r="I228" s="174"/>
      <c r="J228" s="164">
        <v>1072.01001</v>
      </c>
      <c r="K228" s="180">
        <f t="shared" si="15"/>
        <v>-5.9503210560442237E-3</v>
      </c>
      <c r="L228" s="183"/>
    </row>
    <row r="229" spans="1:12">
      <c r="A229" s="159">
        <v>95.736626000000001</v>
      </c>
      <c r="B229" s="161">
        <f t="shared" si="12"/>
        <v>-3.9666185344541232E-3</v>
      </c>
      <c r="C229" s="174"/>
      <c r="D229" s="159">
        <v>54.643261000000003</v>
      </c>
      <c r="E229" s="161">
        <f t="shared" si="13"/>
        <v>-1.5668934456037825E-2</v>
      </c>
      <c r="F229" s="174"/>
      <c r="G229" s="159">
        <v>85.931106999999997</v>
      </c>
      <c r="H229" s="161">
        <f t="shared" si="14"/>
        <v>5.7659975157092229E-3</v>
      </c>
      <c r="I229" s="174"/>
      <c r="J229" s="164">
        <v>1063.290039</v>
      </c>
      <c r="K229" s="180">
        <f t="shared" si="15"/>
        <v>-1.5668934456037825E-2</v>
      </c>
      <c r="L229" s="183"/>
    </row>
    <row r="230" spans="1:12">
      <c r="A230" s="159">
        <v>99.089813000000007</v>
      </c>
      <c r="B230" s="161">
        <f t="shared" si="12"/>
        <v>3.5025121942358878E-2</v>
      </c>
      <c r="C230" s="174"/>
      <c r="D230" s="159">
        <v>55.376263000000002</v>
      </c>
      <c r="E230" s="161">
        <f t="shared" si="13"/>
        <v>1.3414316543077454E-2</v>
      </c>
      <c r="F230" s="174"/>
      <c r="G230" s="159">
        <v>86.356133</v>
      </c>
      <c r="H230" s="161">
        <f t="shared" si="14"/>
        <v>4.9461250394458737E-3</v>
      </c>
      <c r="I230" s="174"/>
      <c r="J230" s="164">
        <v>1037.380005</v>
      </c>
      <c r="K230" s="180">
        <f t="shared" si="15"/>
        <v>1.3414316543077454E-2</v>
      </c>
      <c r="L230" s="183"/>
    </row>
    <row r="231" spans="1:12">
      <c r="A231" s="159">
        <v>101.40673099999999</v>
      </c>
      <c r="B231" s="161">
        <f t="shared" si="12"/>
        <v>2.3381999923644894E-2</v>
      </c>
      <c r="C231" s="174"/>
      <c r="D231" s="159">
        <v>56.207005000000002</v>
      </c>
      <c r="E231" s="161">
        <f t="shared" si="13"/>
        <v>1.5001770704534553E-2</v>
      </c>
      <c r="F231" s="174"/>
      <c r="G231" s="159">
        <v>86.336806999999993</v>
      </c>
      <c r="H231" s="161">
        <f t="shared" si="14"/>
        <v>-2.2379418031614055E-4</v>
      </c>
      <c r="I231" s="174"/>
      <c r="J231" s="164">
        <v>1036.170044</v>
      </c>
      <c r="K231" s="180">
        <f t="shared" si="15"/>
        <v>1.5001770704534553E-2</v>
      </c>
      <c r="L231" s="183"/>
    </row>
    <row r="232" spans="1:12">
      <c r="A232" s="159">
        <v>102.179024</v>
      </c>
      <c r="B232" s="161">
        <f t="shared" si="12"/>
        <v>7.6157962334867579E-3</v>
      </c>
      <c r="C232" s="174"/>
      <c r="D232" s="159">
        <v>56.509982999999998</v>
      </c>
      <c r="E232" s="161">
        <f t="shared" si="13"/>
        <v>5.3903957344817776E-3</v>
      </c>
      <c r="F232" s="174"/>
      <c r="G232" s="159">
        <v>86.926040999999998</v>
      </c>
      <c r="H232" s="161">
        <f t="shared" si="14"/>
        <v>6.8248296465261305E-3</v>
      </c>
      <c r="I232" s="174"/>
      <c r="J232" s="164">
        <v>1025.0699460000001</v>
      </c>
      <c r="K232" s="180">
        <f t="shared" si="15"/>
        <v>5.3903957344817776E-3</v>
      </c>
      <c r="L232" s="183"/>
    </row>
    <row r="233" spans="1:12">
      <c r="A233" s="159">
        <v>102.442986</v>
      </c>
      <c r="B233" s="161">
        <f t="shared" si="12"/>
        <v>2.5833286487450349E-3</v>
      </c>
      <c r="C233" s="174"/>
      <c r="D233" s="159">
        <v>56.021312999999999</v>
      </c>
      <c r="E233" s="161">
        <f t="shared" si="13"/>
        <v>-8.6474986198456123E-3</v>
      </c>
      <c r="F233" s="174"/>
      <c r="G233" s="159">
        <v>87.283455000000004</v>
      </c>
      <c r="H233" s="161">
        <f t="shared" si="14"/>
        <v>4.1117022688288048E-3</v>
      </c>
      <c r="I233" s="174"/>
      <c r="J233" s="164">
        <v>1011.869995</v>
      </c>
      <c r="K233" s="180">
        <f t="shared" si="15"/>
        <v>-8.6474986198456123E-3</v>
      </c>
      <c r="L233" s="183"/>
    </row>
    <row r="234" spans="1:12">
      <c r="A234" s="159">
        <v>104.554604</v>
      </c>
      <c r="B234" s="161">
        <f t="shared" si="12"/>
        <v>2.0612616660744279E-2</v>
      </c>
      <c r="C234" s="174"/>
      <c r="D234" s="159">
        <v>57.428688000000001</v>
      </c>
      <c r="E234" s="161">
        <f t="shared" si="13"/>
        <v>2.51221352130751E-2</v>
      </c>
      <c r="F234" s="174"/>
      <c r="G234" s="159">
        <v>88.297698999999994</v>
      </c>
      <c r="H234" s="161">
        <f t="shared" si="14"/>
        <v>1.1620117466706499E-2</v>
      </c>
      <c r="I234" s="174"/>
      <c r="J234" s="164">
        <v>1019.599976</v>
      </c>
      <c r="K234" s="180">
        <f t="shared" si="15"/>
        <v>2.51221352130751E-2</v>
      </c>
      <c r="L234" s="183"/>
    </row>
    <row r="235" spans="1:12">
      <c r="A235" s="159">
        <v>103.35214999999999</v>
      </c>
      <c r="B235" s="161">
        <f t="shared" si="12"/>
        <v>-1.1500727409383169E-2</v>
      </c>
      <c r="C235" s="174"/>
      <c r="D235" s="159">
        <v>57.995544000000002</v>
      </c>
      <c r="E235" s="161">
        <f t="shared" si="13"/>
        <v>9.8706068298130261E-3</v>
      </c>
      <c r="F235" s="174"/>
      <c r="G235" s="159">
        <v>88.288032999999999</v>
      </c>
      <c r="H235" s="161">
        <f t="shared" si="14"/>
        <v>-1.0947057635098435E-4</v>
      </c>
      <c r="I235" s="174"/>
      <c r="J235" s="164">
        <v>1032.719971</v>
      </c>
      <c r="K235" s="180">
        <f t="shared" si="15"/>
        <v>9.8706068298130261E-3</v>
      </c>
      <c r="L235" s="183"/>
    </row>
    <row r="236" spans="1:12">
      <c r="A236" s="159">
        <v>102.579842</v>
      </c>
      <c r="B236" s="161">
        <f t="shared" si="12"/>
        <v>-7.472587652990241E-3</v>
      </c>
      <c r="C236" s="174"/>
      <c r="D236" s="159">
        <v>57.936900999999999</v>
      </c>
      <c r="E236" s="161">
        <f t="shared" si="13"/>
        <v>-1.0111638921777085E-3</v>
      </c>
      <c r="F236" s="174"/>
      <c r="G236" s="159">
        <v>88.143142999999995</v>
      </c>
      <c r="H236" s="161">
        <f t="shared" si="14"/>
        <v>-1.6411057657157652E-3</v>
      </c>
      <c r="I236" s="174"/>
      <c r="J236" s="164">
        <v>1044.5699460000001</v>
      </c>
      <c r="K236" s="180">
        <f t="shared" si="15"/>
        <v>-1.0111638921777085E-3</v>
      </c>
      <c r="L236" s="183"/>
    </row>
    <row r="237" spans="1:12">
      <c r="A237" s="159">
        <v>102.276794</v>
      </c>
      <c r="B237" s="161">
        <f t="shared" si="12"/>
        <v>-2.9542646400255129E-3</v>
      </c>
      <c r="C237" s="174"/>
      <c r="D237" s="159">
        <v>57.800075999999997</v>
      </c>
      <c r="E237" s="161">
        <f t="shared" si="13"/>
        <v>-2.3616209641589519E-3</v>
      </c>
      <c r="F237" s="174"/>
      <c r="G237" s="159">
        <v>87.032295000000005</v>
      </c>
      <c r="H237" s="161">
        <f t="shared" si="14"/>
        <v>-1.260277274206106E-2</v>
      </c>
      <c r="I237" s="174"/>
      <c r="J237" s="164">
        <v>1049.380005</v>
      </c>
      <c r="K237" s="180">
        <f t="shared" si="15"/>
        <v>-2.3616209641589519E-3</v>
      </c>
      <c r="L237" s="183"/>
    </row>
    <row r="238" spans="1:12">
      <c r="A238" s="159">
        <v>103.55744900000001</v>
      </c>
      <c r="B238" s="161">
        <f t="shared" si="12"/>
        <v>1.2521462102146164E-2</v>
      </c>
      <c r="C238" s="174"/>
      <c r="D238" s="159">
        <v>57.282085000000002</v>
      </c>
      <c r="E238" s="161">
        <f t="shared" si="13"/>
        <v>-8.9617702232778207E-3</v>
      </c>
      <c r="F238" s="174"/>
      <c r="G238" s="159">
        <v>87.293105999999995</v>
      </c>
      <c r="H238" s="161">
        <f t="shared" si="14"/>
        <v>2.9967151848631552E-3</v>
      </c>
      <c r="I238" s="174"/>
      <c r="J238" s="164">
        <v>1051.969971</v>
      </c>
      <c r="K238" s="180">
        <f t="shared" si="15"/>
        <v>-8.9617702232778207E-3</v>
      </c>
      <c r="L238" s="183"/>
    </row>
    <row r="239" spans="1:12">
      <c r="A239" s="159">
        <v>103.254402</v>
      </c>
      <c r="B239" s="161">
        <f t="shared" si="12"/>
        <v>-2.9263660212410841E-3</v>
      </c>
      <c r="C239" s="174"/>
      <c r="D239" s="159">
        <v>57.731662999999998</v>
      </c>
      <c r="E239" s="161">
        <f t="shared" si="13"/>
        <v>7.8484922467468732E-3</v>
      </c>
      <c r="F239" s="174"/>
      <c r="G239" s="159">
        <v>87.157875000000004</v>
      </c>
      <c r="H239" s="161">
        <f t="shared" si="14"/>
        <v>-1.5491601364257829E-3</v>
      </c>
      <c r="I239" s="174"/>
      <c r="J239" s="164">
        <v>1048.7700199999999</v>
      </c>
      <c r="K239" s="180">
        <f t="shared" si="15"/>
        <v>7.8484922467468732E-3</v>
      </c>
      <c r="L239" s="183"/>
    </row>
    <row r="240" spans="1:12">
      <c r="A240" s="159">
        <v>104.456841</v>
      </c>
      <c r="B240" s="161">
        <f t="shared" si="12"/>
        <v>1.1645401810568796E-2</v>
      </c>
      <c r="C240" s="174"/>
      <c r="D240" s="159">
        <v>57.927128000000003</v>
      </c>
      <c r="E240" s="161">
        <f t="shared" si="13"/>
        <v>3.3857503810345076E-3</v>
      </c>
      <c r="F240" s="174"/>
      <c r="G240" s="159">
        <v>86.790801999999999</v>
      </c>
      <c r="H240" s="161">
        <f t="shared" si="14"/>
        <v>-4.2115873063679537E-3</v>
      </c>
      <c r="I240" s="174"/>
      <c r="J240" s="164">
        <v>1051.3900149999999</v>
      </c>
      <c r="K240" s="180">
        <f t="shared" si="15"/>
        <v>3.3857503810345076E-3</v>
      </c>
      <c r="L240" s="183"/>
    </row>
    <row r="241" spans="1:12">
      <c r="A241" s="159">
        <v>103.146866</v>
      </c>
      <c r="B241" s="161">
        <f t="shared" si="12"/>
        <v>-1.2540825353889406E-2</v>
      </c>
      <c r="C241" s="174"/>
      <c r="D241" s="159">
        <v>58.142150999999998</v>
      </c>
      <c r="E241" s="161">
        <f t="shared" si="13"/>
        <v>3.7119568572430359E-3</v>
      </c>
      <c r="F241" s="174"/>
      <c r="G241" s="159">
        <v>87.785736</v>
      </c>
      <c r="H241" s="161">
        <f t="shared" si="14"/>
        <v>1.1463588042428743E-2</v>
      </c>
      <c r="I241" s="174"/>
      <c r="J241" s="164">
        <v>1057.469971</v>
      </c>
      <c r="K241" s="180">
        <f t="shared" si="15"/>
        <v>3.7119568572430359E-3</v>
      </c>
      <c r="L241" s="183"/>
    </row>
    <row r="242" spans="1:12">
      <c r="A242" s="159">
        <v>102.31590300000001</v>
      </c>
      <c r="B242" s="161">
        <f t="shared" si="12"/>
        <v>-8.0561148605329119E-3</v>
      </c>
      <c r="C242" s="174"/>
      <c r="D242" s="159">
        <v>58.347385000000003</v>
      </c>
      <c r="E242" s="161">
        <f t="shared" si="13"/>
        <v>3.5298659659152337E-3</v>
      </c>
      <c r="F242" s="174"/>
      <c r="G242" s="159">
        <v>87.901649000000006</v>
      </c>
      <c r="H242" s="161">
        <f t="shared" si="14"/>
        <v>1.3204081355541195E-3</v>
      </c>
      <c r="I242" s="174"/>
      <c r="J242" s="164">
        <v>1072</v>
      </c>
      <c r="K242" s="180">
        <f t="shared" si="15"/>
        <v>3.5298659659152337E-3</v>
      </c>
      <c r="L242" s="183"/>
    </row>
    <row r="243" spans="1:12">
      <c r="A243" s="159">
        <v>103.762749</v>
      </c>
      <c r="B243" s="161">
        <f t="shared" si="12"/>
        <v>1.4140968877536013E-2</v>
      </c>
      <c r="C243" s="174"/>
      <c r="D243" s="159">
        <v>56.969334000000003</v>
      </c>
      <c r="E243" s="161">
        <f t="shared" si="13"/>
        <v>-2.361804217961095E-2</v>
      </c>
      <c r="F243" s="174"/>
      <c r="G243" s="159">
        <v>88.761353</v>
      </c>
      <c r="H243" s="161">
        <f t="shared" si="14"/>
        <v>9.7802943378228722E-3</v>
      </c>
      <c r="I243" s="174"/>
      <c r="J243" s="164">
        <v>1085.089966</v>
      </c>
      <c r="K243" s="180">
        <f t="shared" si="15"/>
        <v>-2.361804217961095E-2</v>
      </c>
      <c r="L243" s="183"/>
    </row>
    <row r="244" spans="1:12">
      <c r="A244" s="159">
        <v>104.56437699999999</v>
      </c>
      <c r="B244" s="161">
        <f t="shared" si="12"/>
        <v>7.7255856049071505E-3</v>
      </c>
      <c r="C244" s="174"/>
      <c r="D244" s="159">
        <v>56.715224999999997</v>
      </c>
      <c r="E244" s="161">
        <f t="shared" si="13"/>
        <v>-4.4604523549460276E-3</v>
      </c>
      <c r="F244" s="174"/>
      <c r="G244" s="159">
        <v>88.751686000000007</v>
      </c>
      <c r="H244" s="161">
        <f t="shared" si="14"/>
        <v>-1.0891001177047412E-4</v>
      </c>
      <c r="I244" s="174"/>
      <c r="J244" s="164">
        <v>1079.780029</v>
      </c>
      <c r="K244" s="180">
        <f t="shared" si="15"/>
        <v>-4.4604523549460276E-3</v>
      </c>
      <c r="L244" s="183"/>
    </row>
    <row r="245" spans="1:12">
      <c r="A245" s="159">
        <v>104.124458</v>
      </c>
      <c r="B245" s="161">
        <f t="shared" si="12"/>
        <v>-4.2071593846916824E-3</v>
      </c>
      <c r="C245" s="174"/>
      <c r="D245" s="159">
        <v>56.695675000000001</v>
      </c>
      <c r="E245" s="161">
        <f t="shared" si="13"/>
        <v>-3.4470461855692707E-4</v>
      </c>
      <c r="F245" s="174"/>
      <c r="G245" s="159">
        <v>88.558502000000004</v>
      </c>
      <c r="H245" s="161">
        <f t="shared" si="14"/>
        <v>-2.1766797759763374E-3</v>
      </c>
      <c r="I245" s="174"/>
      <c r="J245" s="164">
        <v>1073.5600589999999</v>
      </c>
      <c r="K245" s="180">
        <f t="shared" si="15"/>
        <v>-3.4470461855692707E-4</v>
      </c>
      <c r="L245" s="183"/>
    </row>
    <row r="246" spans="1:12">
      <c r="A246" s="159">
        <v>103.762749</v>
      </c>
      <c r="B246" s="161">
        <f t="shared" si="12"/>
        <v>-3.4738140005492724E-3</v>
      </c>
      <c r="C246" s="174"/>
      <c r="D246" s="159">
        <v>56.422024</v>
      </c>
      <c r="E246" s="161">
        <f t="shared" si="13"/>
        <v>-4.8266644677923132E-3</v>
      </c>
      <c r="F246" s="174"/>
      <c r="G246" s="159">
        <v>88.413605000000004</v>
      </c>
      <c r="H246" s="161">
        <f t="shared" si="14"/>
        <v>-1.6361726624508652E-3</v>
      </c>
      <c r="I246" s="174"/>
      <c r="J246" s="164">
        <v>1070.849976</v>
      </c>
      <c r="K246" s="180">
        <f t="shared" si="15"/>
        <v>-4.8266644677923132E-3</v>
      </c>
      <c r="L246" s="183"/>
    </row>
    <row r="247" spans="1:12">
      <c r="A247" s="159">
        <v>105.414894</v>
      </c>
      <c r="B247" s="161">
        <f t="shared" si="12"/>
        <v>1.5922332589704272E-2</v>
      </c>
      <c r="C247" s="174"/>
      <c r="D247" s="159">
        <v>56.275421000000001</v>
      </c>
      <c r="E247" s="161">
        <f t="shared" si="13"/>
        <v>-2.5983293332404902E-3</v>
      </c>
      <c r="F247" s="174"/>
      <c r="G247" s="159">
        <v>88.548843000000005</v>
      </c>
      <c r="H247" s="161">
        <f t="shared" si="14"/>
        <v>1.5296062184094979E-3</v>
      </c>
      <c r="I247" s="174"/>
      <c r="J247" s="164">
        <v>1068.8599850000001</v>
      </c>
      <c r="K247" s="180">
        <f t="shared" si="15"/>
        <v>-2.5983293332404902E-3</v>
      </c>
      <c r="L247" s="183"/>
    </row>
    <row r="248" spans="1:12">
      <c r="A248" s="159">
        <v>105.043396</v>
      </c>
      <c r="B248" s="161">
        <f t="shared" si="12"/>
        <v>-3.5241509610587146E-3</v>
      </c>
      <c r="C248" s="174"/>
      <c r="D248" s="159">
        <v>56.001766000000003</v>
      </c>
      <c r="E248" s="161">
        <f t="shared" si="13"/>
        <v>-4.8627801469490204E-3</v>
      </c>
      <c r="F248" s="174"/>
      <c r="G248" s="159">
        <v>88.993172000000001</v>
      </c>
      <c r="H248" s="161">
        <f t="shared" si="14"/>
        <v>5.017897297652959E-3</v>
      </c>
      <c r="I248" s="174"/>
      <c r="J248" s="164">
        <v>1065.849976</v>
      </c>
      <c r="K248" s="180">
        <f t="shared" si="15"/>
        <v>-4.8627801469490204E-3</v>
      </c>
      <c r="L248" s="183"/>
    </row>
    <row r="249" spans="1:12">
      <c r="A249" s="159">
        <v>104.62303900000001</v>
      </c>
      <c r="B249" s="161">
        <f t="shared" si="12"/>
        <v>-4.0017460973938391E-3</v>
      </c>
      <c r="C249" s="174"/>
      <c r="D249" s="159">
        <v>55.845390000000002</v>
      </c>
      <c r="E249" s="161">
        <f t="shared" si="13"/>
        <v>-2.7923405129759945E-3</v>
      </c>
      <c r="F249" s="174"/>
      <c r="G249" s="159">
        <v>89.331260999999998</v>
      </c>
      <c r="H249" s="161">
        <f t="shared" si="14"/>
        <v>3.7990442682501141E-3</v>
      </c>
      <c r="I249" s="174"/>
      <c r="J249" s="164">
        <v>1060.1999510000001</v>
      </c>
      <c r="K249" s="180">
        <f t="shared" si="15"/>
        <v>-2.7923405129759945E-3</v>
      </c>
      <c r="L249" s="183"/>
    </row>
    <row r="250" spans="1:12">
      <c r="A250" s="159">
        <v>104.81855</v>
      </c>
      <c r="B250" s="161">
        <f t="shared" si="12"/>
        <v>1.8687184187031328E-3</v>
      </c>
      <c r="C250" s="174"/>
      <c r="D250" s="159">
        <v>55.972445999999998</v>
      </c>
      <c r="E250" s="161">
        <f t="shared" si="13"/>
        <v>2.2751385566471298E-3</v>
      </c>
      <c r="F250" s="174"/>
      <c r="G250" s="159">
        <v>88.964202999999998</v>
      </c>
      <c r="H250" s="161">
        <f t="shared" si="14"/>
        <v>-4.1089535274779132E-3</v>
      </c>
      <c r="I250" s="174"/>
      <c r="J250" s="164">
        <v>1055.9499510000001</v>
      </c>
      <c r="K250" s="180">
        <f t="shared" si="15"/>
        <v>2.2751385566471298E-3</v>
      </c>
      <c r="L250" s="183"/>
    </row>
    <row r="251" spans="1:12">
      <c r="A251" s="159">
        <v>105.375793</v>
      </c>
      <c r="B251" s="161">
        <f t="shared" si="12"/>
        <v>5.3162631995958701E-3</v>
      </c>
      <c r="C251" s="174"/>
      <c r="D251" s="159">
        <v>56.500210000000003</v>
      </c>
      <c r="E251" s="161">
        <f t="shared" si="13"/>
        <v>9.4289965459076926E-3</v>
      </c>
      <c r="F251" s="174"/>
      <c r="G251" s="159">
        <v>88.935219000000004</v>
      </c>
      <c r="H251" s="161">
        <f t="shared" si="14"/>
        <v>-3.2579396007171701E-4</v>
      </c>
      <c r="I251" s="174"/>
      <c r="J251" s="164">
        <v>1053.400024</v>
      </c>
      <c r="K251" s="180">
        <f t="shared" si="15"/>
        <v>9.4289965459076926E-3</v>
      </c>
      <c r="L251" s="183"/>
    </row>
    <row r="252" spans="1:12" ht="17" thickBot="1">
      <c r="A252" s="162">
        <v>104.544838</v>
      </c>
      <c r="B252" s="163">
        <f t="shared" si="12"/>
        <v>-7.8856346068019913E-3</v>
      </c>
      <c r="C252" s="175"/>
      <c r="D252" s="162">
        <v>56.128815000000003</v>
      </c>
      <c r="E252" s="163">
        <f t="shared" si="13"/>
        <v>-6.5733383999811625E-3</v>
      </c>
      <c r="F252" s="175"/>
      <c r="G252" s="162">
        <v>88.751686000000007</v>
      </c>
      <c r="H252" s="163">
        <f t="shared" si="14"/>
        <v>-2.0636706364887576E-3</v>
      </c>
      <c r="I252" s="175"/>
      <c r="J252" s="165"/>
      <c r="K252" s="182"/>
      <c r="L252" s="185"/>
    </row>
  </sheetData>
  <pageMargins left="0.7" right="0.7" top="0.75" bottom="0.75" header="0.3" footer="0.3"/>
  <drawing r:id="rId1"/>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A69"/>
  <sheetViews>
    <sheetView zoomScale="80" zoomScaleNormal="80" workbookViewId="0">
      <selection activeCell="Q56" sqref="Q56"/>
    </sheetView>
  </sheetViews>
  <sheetFormatPr baseColWidth="10" defaultColWidth="11.5" defaultRowHeight="13"/>
  <cols>
    <col min="1" max="1" width="26" customWidth="1"/>
    <col min="2" max="5" width="13.1640625" customWidth="1"/>
    <col min="6" max="6" width="13.33203125" customWidth="1"/>
    <col min="7" max="7" width="13.1640625" customWidth="1"/>
    <col min="8" max="8" width="12.83203125" customWidth="1"/>
    <col min="9" max="9" width="13.33203125" customWidth="1"/>
    <col min="11" max="11" width="23.5" bestFit="1" customWidth="1"/>
    <col min="12" max="14" width="15.33203125" bestFit="1" customWidth="1"/>
    <col min="15" max="15" width="16.6640625" bestFit="1" customWidth="1"/>
    <col min="16" max="16" width="15.83203125" bestFit="1" customWidth="1"/>
    <col min="17" max="19" width="16.1640625" bestFit="1" customWidth="1"/>
    <col min="20" max="20" width="16.5" bestFit="1" customWidth="1"/>
    <col min="21" max="21" width="22.83203125" bestFit="1" customWidth="1"/>
    <col min="22" max="22" width="15.5" bestFit="1" customWidth="1"/>
    <col min="23" max="24" width="16.5" bestFit="1" customWidth="1"/>
    <col min="25" max="25" width="17.33203125" bestFit="1" customWidth="1"/>
  </cols>
  <sheetData>
    <row r="1" spans="1:27" ht="20">
      <c r="A1" s="313" t="s">
        <v>0</v>
      </c>
      <c r="B1" s="314"/>
      <c r="C1" s="314"/>
      <c r="D1" s="314"/>
      <c r="E1" s="314"/>
      <c r="F1" s="314"/>
      <c r="G1" s="313"/>
      <c r="H1" s="314"/>
      <c r="I1" s="315"/>
    </row>
    <row r="2" spans="1:27" ht="21" thickBot="1">
      <c r="A2" s="301" t="s">
        <v>1</v>
      </c>
      <c r="B2" s="302"/>
      <c r="C2" s="302"/>
      <c r="D2" s="302"/>
      <c r="E2" s="302"/>
      <c r="F2" s="302"/>
      <c r="G2" s="303"/>
      <c r="H2" s="304"/>
      <c r="I2" s="319"/>
    </row>
    <row r="3" spans="1:27" ht="15" thickBot="1">
      <c r="A3" s="8"/>
      <c r="B3" s="9">
        <v>2013</v>
      </c>
      <c r="C3" s="10">
        <v>2014</v>
      </c>
      <c r="D3" s="10">
        <v>2015</v>
      </c>
      <c r="E3" s="10">
        <v>2016</v>
      </c>
      <c r="F3" s="36">
        <v>2017</v>
      </c>
      <c r="G3" s="36" t="str">
        <f>'Pro-Forma IS'!H3</f>
        <v>2018E</v>
      </c>
      <c r="H3" s="36" t="str">
        <f>'Pro-Forma IS'!J3</f>
        <v>2019E</v>
      </c>
      <c r="I3" s="11" t="str">
        <f>'Pro-Forma IS'!L3</f>
        <v>2020E</v>
      </c>
      <c r="K3" s="114"/>
      <c r="L3" s="216">
        <v>2013</v>
      </c>
      <c r="M3" s="10">
        <v>2014</v>
      </c>
      <c r="N3" s="10">
        <v>2015</v>
      </c>
      <c r="O3" s="10">
        <v>2016</v>
      </c>
      <c r="P3" s="36">
        <v>2017</v>
      </c>
      <c r="Q3" s="214" t="s">
        <v>99</v>
      </c>
      <c r="R3" s="214" t="s">
        <v>100</v>
      </c>
      <c r="S3" s="215" t="s">
        <v>101</v>
      </c>
      <c r="V3" s="216">
        <v>2013</v>
      </c>
      <c r="W3" s="10">
        <v>2014</v>
      </c>
      <c r="X3" s="10">
        <v>2015</v>
      </c>
      <c r="Y3" s="10">
        <v>2016</v>
      </c>
    </row>
    <row r="4" spans="1:27" ht="14">
      <c r="A4" s="196" t="str">
        <f>'Pro-Forma IS'!A4</f>
        <v>Total Revenue</v>
      </c>
      <c r="B4" s="197">
        <f>'Pro-Forma IS'!B4</f>
        <v>59825000</v>
      </c>
      <c r="C4" s="197">
        <f>'Pro-Forma IS'!C4</f>
        <v>66001000</v>
      </c>
      <c r="D4" s="197">
        <f>'Pro-Forma IS'!D4</f>
        <v>74989000</v>
      </c>
      <c r="E4" s="197">
        <f>'Pro-Forma IS'!E4</f>
        <v>90272000</v>
      </c>
      <c r="F4" s="197">
        <f>'Pro-Forma IS'!F4</f>
        <v>110855000</v>
      </c>
      <c r="G4" s="197">
        <f>'Pro-Forma IS'!H4</f>
        <v>129457253.67271197</v>
      </c>
      <c r="H4" s="197">
        <f>'Pro-Forma IS'!J4</f>
        <v>151181097.18534029</v>
      </c>
      <c r="I4" s="197">
        <f>'Pro-Forma IS'!L4</f>
        <v>176550355.40879095</v>
      </c>
      <c r="K4" s="225" t="s">
        <v>218</v>
      </c>
      <c r="L4" s="226">
        <f t="shared" ref="L4:S4" si="0">B17</f>
        <v>14496000</v>
      </c>
      <c r="M4" s="226">
        <f t="shared" si="0"/>
        <v>17259000</v>
      </c>
      <c r="N4" s="226">
        <f t="shared" si="0"/>
        <v>19651000</v>
      </c>
      <c r="O4" s="226">
        <f t="shared" si="0"/>
        <v>24150000</v>
      </c>
      <c r="P4" s="226">
        <f t="shared" si="0"/>
        <v>27193000</v>
      </c>
      <c r="Q4" s="226">
        <f t="shared" si="0"/>
        <v>33106926.039302543</v>
      </c>
      <c r="R4" s="226">
        <f t="shared" si="0"/>
        <v>38662502.571771257</v>
      </c>
      <c r="S4" s="227">
        <f t="shared" si="0"/>
        <v>45150344.170814767</v>
      </c>
      <c r="U4" s="17" t="s">
        <v>239</v>
      </c>
      <c r="V4" s="23">
        <v>1</v>
      </c>
      <c r="W4" s="17"/>
      <c r="X4" s="17"/>
      <c r="Y4" s="17"/>
    </row>
    <row r="5" spans="1:27" ht="14">
      <c r="A5" s="196" t="str">
        <f>'Pro-Forma IS'!A5</f>
        <v>Direct Costs</v>
      </c>
      <c r="B5" s="197">
        <f>'Pro-Forma IS'!B5</f>
        <v>25858000</v>
      </c>
      <c r="C5" s="197">
        <f>'Pro-Forma IS'!C5</f>
        <v>25691000</v>
      </c>
      <c r="D5" s="197">
        <f>'Pro-Forma IS'!D5</f>
        <v>28164000</v>
      </c>
      <c r="E5" s="197">
        <f>'Pro-Forma IS'!E5</f>
        <v>35138000</v>
      </c>
      <c r="F5" s="197">
        <f>'Pro-Forma IS'!F5</f>
        <v>45583000</v>
      </c>
      <c r="G5" s="197">
        <f>'Pro-Forma IS'!H5</f>
        <v>51718036.417498298</v>
      </c>
      <c r="H5" s="197">
        <f>'Pro-Forma IS'!J5</f>
        <v>60396689.007754572</v>
      </c>
      <c r="I5" s="197">
        <f>'Pro-Forma IS'!L5</f>
        <v>70531680.933370426</v>
      </c>
      <c r="K5" s="217" t="s">
        <v>219</v>
      </c>
      <c r="L5" s="222">
        <f>B45-5843000</f>
        <v>1470000</v>
      </c>
      <c r="M5" s="222">
        <f t="shared" ref="M5:S5" si="1">C45-B45</f>
        <v>1550000</v>
      </c>
      <c r="N5" s="222">
        <f t="shared" si="1"/>
        <v>2267000</v>
      </c>
      <c r="O5" s="222">
        <f t="shared" si="1"/>
        <v>2163000</v>
      </c>
      <c r="P5" s="222">
        <f t="shared" si="1"/>
        <v>3971000</v>
      </c>
      <c r="Q5" s="228">
        <f t="shared" si="1"/>
        <v>1065526.5958906114</v>
      </c>
      <c r="R5" s="228">
        <f t="shared" si="1"/>
        <v>3075824.3059625477</v>
      </c>
      <c r="S5" s="230">
        <f t="shared" si="1"/>
        <v>3591969.3963257074</v>
      </c>
      <c r="U5" s="17" t="s">
        <v>240</v>
      </c>
      <c r="V5" s="191">
        <f>'Ratio Analysis '!B26*'Cash Flow Analysis &amp; WACC'!V4</f>
        <v>0.1541017319325492</v>
      </c>
      <c r="W5" s="17"/>
      <c r="X5" s="17"/>
      <c r="Y5" s="17"/>
      <c r="Z5" s="31"/>
    </row>
    <row r="6" spans="1:27" ht="14">
      <c r="A6" s="198" t="str">
        <f>'Pro-Forma IS'!A6</f>
        <v>Gross Profit</v>
      </c>
      <c r="B6" s="199">
        <f>'Pro-Forma IS'!B6</f>
        <v>33967000</v>
      </c>
      <c r="C6" s="199">
        <f>'Pro-Forma IS'!C6</f>
        <v>40310000</v>
      </c>
      <c r="D6" s="199">
        <f>'Pro-Forma IS'!D6</f>
        <v>46825000</v>
      </c>
      <c r="E6" s="199">
        <f>'Pro-Forma IS'!E6</f>
        <v>55134000</v>
      </c>
      <c r="F6" s="199">
        <f>'Pro-Forma IS'!F6</f>
        <v>65272000</v>
      </c>
      <c r="G6" s="199">
        <f>'Pro-Forma IS'!H6</f>
        <v>77739217.255213678</v>
      </c>
      <c r="H6" s="199">
        <f>'Pro-Forma IS'!J6</f>
        <v>90784408.177585721</v>
      </c>
      <c r="I6" s="199">
        <f>'Pro-Forma IS'!L6</f>
        <v>106018674.47542052</v>
      </c>
      <c r="K6" s="217" t="s">
        <v>220</v>
      </c>
      <c r="L6" s="221">
        <f>B18</f>
        <v>2282000</v>
      </c>
      <c r="M6" s="221">
        <f t="shared" ref="M6:S6" si="2">C18</f>
        <v>3331000</v>
      </c>
      <c r="N6" s="221">
        <f t="shared" si="2"/>
        <v>3303000</v>
      </c>
      <c r="O6" s="221">
        <f t="shared" si="2"/>
        <v>4672000</v>
      </c>
      <c r="P6" s="221">
        <f t="shared" si="2"/>
        <v>14531000</v>
      </c>
      <c r="Q6" s="221">
        <f t="shared" si="2"/>
        <v>8168644.474465536</v>
      </c>
      <c r="R6" s="221">
        <f t="shared" si="2"/>
        <v>9539400.8379692566</v>
      </c>
      <c r="S6" s="224">
        <f t="shared" si="2"/>
        <v>11140179.821989691</v>
      </c>
      <c r="U6" s="17" t="s">
        <v>241</v>
      </c>
      <c r="V6" s="222">
        <f>M$11/($M$30-$V$5)</f>
        <v>19812572.662720051</v>
      </c>
      <c r="W6" s="222">
        <f>N$11/($M$30-$V$5)</f>
        <v>106763230.50297296</v>
      </c>
      <c r="X6" s="222">
        <f t="shared" ref="X6:Y6" si="3">O$11/($M$30-$V$5)</f>
        <v>-23198780.644516084</v>
      </c>
      <c r="Y6" s="222">
        <f t="shared" si="3"/>
        <v>-48660459.892251633</v>
      </c>
      <c r="Z6" s="262"/>
    </row>
    <row r="7" spans="1:27" ht="14">
      <c r="A7" s="196" t="str">
        <f>'Pro-Forma IS'!A7</f>
        <v>Selling General &amp; Admin</v>
      </c>
      <c r="B7" s="197">
        <f>'Pro-Forma IS'!B7</f>
        <v>12049000</v>
      </c>
      <c r="C7" s="197">
        <f>'Pro-Forma IS'!C7</f>
        <v>13982000</v>
      </c>
      <c r="D7" s="197">
        <f>'Pro-Forma IS'!D7</f>
        <v>15183000</v>
      </c>
      <c r="E7" s="197">
        <f>'Pro-Forma IS'!E7</f>
        <v>17470000</v>
      </c>
      <c r="F7" s="197">
        <f>'Pro-Forma IS'!F7</f>
        <v>19765000</v>
      </c>
      <c r="G7" s="197">
        <f>'Pro-Forma IS'!H7</f>
        <v>25568876.139327772</v>
      </c>
      <c r="H7" s="197">
        <f>'Pro-Forma IS'!J7</f>
        <v>29859514.541474067</v>
      </c>
      <c r="I7" s="197">
        <f>'Pro-Forma IS'!L7</f>
        <v>34870152.438226879</v>
      </c>
      <c r="K7" s="217" t="s">
        <v>221</v>
      </c>
      <c r="L7" s="222">
        <f>L4+L5-L6</f>
        <v>13684000</v>
      </c>
      <c r="M7" s="222">
        <f t="shared" ref="M7:S7" si="4">M4+M5-M6</f>
        <v>15478000</v>
      </c>
      <c r="N7" s="222">
        <f>N4+N5-N6</f>
        <v>18615000</v>
      </c>
      <c r="O7" s="222">
        <f>O4+O5-O6</f>
        <v>21641000</v>
      </c>
      <c r="P7" s="222">
        <f t="shared" si="4"/>
        <v>16633000</v>
      </c>
      <c r="Q7" s="222">
        <f>Q4+Q5-Q6</f>
        <v>26003808.16072762</v>
      </c>
      <c r="R7" s="222">
        <f t="shared" si="4"/>
        <v>32198926.039764546</v>
      </c>
      <c r="S7" s="229">
        <f t="shared" si="4"/>
        <v>37602133.745150782</v>
      </c>
      <c r="U7" s="17" t="s">
        <v>242</v>
      </c>
      <c r="V7" s="263">
        <f>NPV(M30,L11,M11+V6)</f>
        <v>17300780.804907948</v>
      </c>
      <c r="W7" s="263">
        <f>NPV(M30,M11,N11+W6)</f>
        <v>77698815.006784514</v>
      </c>
      <c r="X7" s="263">
        <f>NPV(M30,N11,O11+X6)</f>
        <v>-11270575.644603875</v>
      </c>
      <c r="Y7" s="263">
        <f>NPV(M30,O11,P11+Y6)</f>
        <v>-36129503.090442218</v>
      </c>
      <c r="Z7" s="17"/>
      <c r="AA7" s="86"/>
    </row>
    <row r="8" spans="1:27" ht="14">
      <c r="A8" s="196" t="str">
        <f>'Pro-Forma IS'!A8</f>
        <v>Research &amp; Development</v>
      </c>
      <c r="B8" s="197">
        <f>'Pro-Forma IS'!B8</f>
        <v>7952000</v>
      </c>
      <c r="C8" s="197">
        <f>'Pro-Forma IS'!C8</f>
        <v>9832000</v>
      </c>
      <c r="D8" s="197">
        <f>'Pro-Forma IS'!D8</f>
        <v>12282000</v>
      </c>
      <c r="E8" s="197">
        <f>'Pro-Forma IS'!E8</f>
        <v>13948000</v>
      </c>
      <c r="F8" s="197">
        <f>'Pro-Forma IS'!F8</f>
        <v>16625000</v>
      </c>
      <c r="G8" s="197">
        <f>'Pro-Forma IS'!H8</f>
        <v>19422574.69677566</v>
      </c>
      <c r="H8" s="197">
        <f>'Pro-Forma IS'!J8</f>
        <v>22681820.211065657</v>
      </c>
      <c r="I8" s="197">
        <f>'Pro-Forma IS'!L8</f>
        <v>26487990.192799356</v>
      </c>
      <c r="K8" s="217" t="s">
        <v>222</v>
      </c>
      <c r="L8" s="222">
        <f>B43-B57</f>
        <v>56978000</v>
      </c>
      <c r="M8" s="222">
        <f t="shared" ref="M8:S8" si="5">C43-C57</f>
        <v>63880000</v>
      </c>
      <c r="N8" s="222">
        <f t="shared" si="5"/>
        <v>70804000</v>
      </c>
      <c r="O8" s="222">
        <f t="shared" si="5"/>
        <v>88652000</v>
      </c>
      <c r="P8" s="222">
        <f t="shared" si="5"/>
        <v>100125000</v>
      </c>
      <c r="Q8" s="222">
        <f t="shared" si="5"/>
        <v>82386185.485897154</v>
      </c>
      <c r="R8" s="222">
        <f t="shared" si="5"/>
        <v>67341982.550524712</v>
      </c>
      <c r="S8" s="229">
        <f t="shared" si="5"/>
        <v>49773255.874161243</v>
      </c>
      <c r="U8" s="17" t="s">
        <v>243</v>
      </c>
      <c r="V8" s="86">
        <f>V7-P26</f>
        <v>12055780.804907948</v>
      </c>
      <c r="W8" s="86">
        <f>W7-Q26</f>
        <v>72461815.006784514</v>
      </c>
      <c r="X8" s="86">
        <f>X7-R26</f>
        <v>-16490575.644603875</v>
      </c>
      <c r="Y8" s="86">
        <f>Y7-S26</f>
        <v>-40064503.090442218</v>
      </c>
    </row>
    <row r="9" spans="1:27" ht="14">
      <c r="A9" s="196" t="str">
        <f>'Pro-Forma IS'!A9</f>
        <v>Other Operating Expense</v>
      </c>
      <c r="B9" s="197">
        <f>'Pro-Forma IS'!B9</f>
        <v>0</v>
      </c>
      <c r="C9" s="197">
        <f>'Pro-Forma IS'!C9</f>
        <v>0</v>
      </c>
      <c r="D9" s="197">
        <f>'Pro-Forma IS'!D9</f>
        <v>0</v>
      </c>
      <c r="E9" s="197">
        <f>'Pro-Forma IS'!E9</f>
        <v>0</v>
      </c>
      <c r="F9" s="197">
        <f>'Pro-Forma IS'!F9</f>
        <v>2736000</v>
      </c>
      <c r="G9" s="197">
        <f>'Pro-Forma IS'!H9</f>
        <v>639024.03328409174</v>
      </c>
      <c r="H9" s="197">
        <f>'Pro-Forma IS'!J9</f>
        <v>746256.78931774118</v>
      </c>
      <c r="I9" s="197">
        <f>'Pro-Forma IS'!L9</f>
        <v>871483.9608469659</v>
      </c>
      <c r="K9" s="217" t="s">
        <v>223</v>
      </c>
      <c r="L9" s="218"/>
      <c r="M9" s="222">
        <f>M8-L8</f>
        <v>6902000</v>
      </c>
      <c r="N9" s="222">
        <f>N8-M8</f>
        <v>6924000</v>
      </c>
      <c r="O9" s="222">
        <f t="shared" ref="O9" si="6">O8-N8</f>
        <v>17848000</v>
      </c>
      <c r="P9" s="222">
        <f>P8-O8</f>
        <v>11473000</v>
      </c>
      <c r="Q9" s="222">
        <f>Q8-P8</f>
        <v>-17738814.514102846</v>
      </c>
      <c r="R9" s="222">
        <f>R8-Q8</f>
        <v>-15044202.935372442</v>
      </c>
      <c r="S9" s="229">
        <f>S8-R8</f>
        <v>-17568726.676363468</v>
      </c>
      <c r="U9" s="262" t="s">
        <v>244</v>
      </c>
      <c r="V9" s="264">
        <f>V8/B31</f>
        <v>17.949108963154661</v>
      </c>
      <c r="W9" s="264">
        <f>W8/C31</f>
        <v>106.53454568371605</v>
      </c>
      <c r="X9" s="264">
        <f>X8/D31</f>
        <v>-23.991596170504423</v>
      </c>
      <c r="Y9" s="264">
        <f>Y8/E31</f>
        <v>-57.95589292881921</v>
      </c>
    </row>
    <row r="10" spans="1:27" ht="14">
      <c r="A10" s="201" t="str">
        <f>'Pro-Forma IS'!A10</f>
        <v>Total Indirect Operating Costs</v>
      </c>
      <c r="B10" s="202">
        <f>'Pro-Forma IS'!B10</f>
        <v>20001000</v>
      </c>
      <c r="C10" s="202">
        <f>'Pro-Forma IS'!C10</f>
        <v>23814000</v>
      </c>
      <c r="D10" s="202">
        <f>'Pro-Forma IS'!D10</f>
        <v>27465000</v>
      </c>
      <c r="E10" s="202">
        <f>'Pro-Forma IS'!E10</f>
        <v>31418000</v>
      </c>
      <c r="F10" s="202">
        <f>'Pro-Forma IS'!F10</f>
        <v>39126000</v>
      </c>
      <c r="G10" s="202">
        <f>'Pro-Forma IS'!H10</f>
        <v>45630474.869387522</v>
      </c>
      <c r="H10" s="202">
        <f>'Pro-Forma IS'!J10</f>
        <v>53287591.541857466</v>
      </c>
      <c r="I10" s="202">
        <f>'Pro-Forma IS'!L10</f>
        <v>62229626.591873206</v>
      </c>
      <c r="K10" s="217" t="s">
        <v>224</v>
      </c>
      <c r="L10" s="218"/>
      <c r="M10" s="222">
        <f>C46-B46</f>
        <v>7359000</v>
      </c>
      <c r="N10" s="222">
        <f t="shared" ref="N10:S10" si="7">D46-C46</f>
        <v>5133000</v>
      </c>
      <c r="O10" s="222">
        <f t="shared" si="7"/>
        <v>5218000</v>
      </c>
      <c r="P10" s="222">
        <f t="shared" si="7"/>
        <v>8149000</v>
      </c>
      <c r="Q10" s="222">
        <f t="shared" si="7"/>
        <v>3873641.2579313293</v>
      </c>
      <c r="R10" s="222">
        <f t="shared" si="7"/>
        <v>7762191.8247049972</v>
      </c>
      <c r="S10" s="229">
        <f t="shared" si="7"/>
        <v>9064742.5565566421</v>
      </c>
    </row>
    <row r="11" spans="1:27" ht="15" thickBot="1">
      <c r="A11" s="196" t="str">
        <f>'Pro-Forma IS'!A11</f>
        <v>Operating Income</v>
      </c>
      <c r="B11" s="204">
        <f>'Pro-Forma IS'!B11</f>
        <v>13966000</v>
      </c>
      <c r="C11" s="204">
        <f>'Pro-Forma IS'!C11</f>
        <v>16496000</v>
      </c>
      <c r="D11" s="204">
        <f>'Pro-Forma IS'!D11</f>
        <v>19360000</v>
      </c>
      <c r="E11" s="204">
        <f>'Pro-Forma IS'!E11</f>
        <v>23716000</v>
      </c>
      <c r="F11" s="204">
        <f>'Pro-Forma IS'!F11</f>
        <v>26146000</v>
      </c>
      <c r="G11" s="204">
        <f>'Pro-Forma IS'!H11</f>
        <v>32108742.385826107</v>
      </c>
      <c r="H11" s="204">
        <f>'Pro-Forma IS'!J11</f>
        <v>37496816.635728195</v>
      </c>
      <c r="I11" s="204">
        <f>'Pro-Forma IS'!L11</f>
        <v>43789047.883547261</v>
      </c>
      <c r="K11" s="219" t="s">
        <v>225</v>
      </c>
      <c r="L11" s="220"/>
      <c r="M11" s="231">
        <f>M7-M9-M10</f>
        <v>1217000</v>
      </c>
      <c r="N11" s="231">
        <f t="shared" ref="N11:R11" si="8">N7-N9-N10</f>
        <v>6558000</v>
      </c>
      <c r="O11" s="231">
        <f>O7-O9-O10</f>
        <v>-1425000</v>
      </c>
      <c r="P11" s="231">
        <f t="shared" si="8"/>
        <v>-2989000</v>
      </c>
      <c r="Q11" s="231">
        <f>Q7-Q9-Q10</f>
        <v>39868981.416899137</v>
      </c>
      <c r="R11" s="231">
        <f t="shared" si="8"/>
        <v>39480937.150431991</v>
      </c>
      <c r="S11" s="232">
        <f>S7-S9-S10</f>
        <v>46106117.864957608</v>
      </c>
    </row>
    <row r="12" spans="1:27" ht="14">
      <c r="A12" s="196" t="str">
        <f>'Pro-Forma IS'!A12</f>
        <v>Interest Income</v>
      </c>
      <c r="B12" s="197">
        <f>'Pro-Forma IS'!B12</f>
        <v>702000</v>
      </c>
      <c r="C12" s="197">
        <f>'Pro-Forma IS'!C12</f>
        <v>645000</v>
      </c>
      <c r="D12" s="197">
        <f>'Pro-Forma IS'!D12</f>
        <v>895000</v>
      </c>
      <c r="E12" s="197">
        <f>'Pro-Forma IS'!E12</f>
        <v>1096000</v>
      </c>
      <c r="F12" s="197">
        <f>'Pro-Forma IS'!F12</f>
        <v>1203000</v>
      </c>
      <c r="G12" s="197">
        <f>'Pro-Forma IS'!H12</f>
        <v>1461183.6714210242</v>
      </c>
      <c r="H12" s="197">
        <f>'Pro-Forma IS'!J12</f>
        <v>1706380.6342842104</v>
      </c>
      <c r="I12" s="197">
        <f>'Pro-Forma IS'!L12</f>
        <v>1992723.3831106781</v>
      </c>
    </row>
    <row r="13" spans="1:27" ht="14">
      <c r="A13" s="196" t="str">
        <f>'Pro-Forma IS'!A13</f>
        <v>Gains on Sale of Assets</v>
      </c>
      <c r="B13" s="197">
        <f>'Pro-Forma IS'!B13</f>
        <v>144000</v>
      </c>
      <c r="C13" s="197">
        <f>'Pro-Forma IS'!C13</f>
        <v>438000</v>
      </c>
      <c r="D13" s="197">
        <f>'Pro-Forma IS'!D13</f>
        <v>-334000</v>
      </c>
      <c r="E13" s="197">
        <f>'Pro-Forma IS'!E13</f>
        <v>-275000</v>
      </c>
      <c r="F13" s="197">
        <f>'Pro-Forma IS'!F13</f>
        <v>-194000</v>
      </c>
      <c r="G13" s="197">
        <f>'Pro-Forma IS'!H13</f>
        <v>-5361.7482113091783</v>
      </c>
      <c r="H13" s="197">
        <f>'Pro-Forma IS'!J13</f>
        <v>-6261.4875136048177</v>
      </c>
      <c r="I13" s="197">
        <f>'Pro-Forma IS'!L13</f>
        <v>-7312.2094395133954</v>
      </c>
    </row>
    <row r="14" spans="1:27" ht="15" thickBot="1">
      <c r="A14" s="196" t="str">
        <f>'Pro-Forma IS'!A14</f>
        <v>Foreign Exchange Gains</v>
      </c>
      <c r="B14" s="197">
        <f>'Pro-Forma IS'!B14</f>
        <v>-379000</v>
      </c>
      <c r="C14" s="197">
        <f>'Pro-Forma IS'!C14</f>
        <v>-402000</v>
      </c>
      <c r="D14" s="197">
        <f>'Pro-Forma IS'!D14</f>
        <v>-422000</v>
      </c>
      <c r="E14" s="197">
        <f>'Pro-Forma IS'!E14</f>
        <v>-475000</v>
      </c>
      <c r="F14" s="197">
        <f>'Pro-Forma IS'!F14</f>
        <v>-121000</v>
      </c>
      <c r="G14" s="197">
        <f>'Pro-Forma IS'!H14</f>
        <v>-631928.60352381947</v>
      </c>
      <c r="H14" s="197">
        <f>'Pro-Forma IS'!J14</f>
        <v>-737970.69621961785</v>
      </c>
      <c r="I14" s="197">
        <f>'Pro-Forma IS'!L14</f>
        <v>-861807.40267494414</v>
      </c>
    </row>
    <row r="15" spans="1:27" ht="15" thickBot="1">
      <c r="A15" s="196" t="str">
        <f>'Pro-Forma IS'!A15</f>
        <v>Other Non-Operating Income</v>
      </c>
      <c r="B15" s="197">
        <f>'Pro-Forma IS'!B15</f>
        <v>63000</v>
      </c>
      <c r="C15" s="197">
        <f>'Pro-Forma IS'!C15</f>
        <v>82000</v>
      </c>
      <c r="D15" s="197">
        <f>'Pro-Forma IS'!D15</f>
        <v>152000</v>
      </c>
      <c r="E15" s="197">
        <f>'Pro-Forma IS'!E15</f>
        <v>88000</v>
      </c>
      <c r="F15" s="197">
        <f>'Pro-Forma IS'!F15</f>
        <v>159000</v>
      </c>
      <c r="G15" s="197">
        <f>'Pro-Forma IS'!H15</f>
        <v>174290.33379054425</v>
      </c>
      <c r="H15" s="197">
        <f>'Pro-Forma IS'!J15</f>
        <v>203537.4854920764</v>
      </c>
      <c r="I15" s="197">
        <f>'Pro-Forma IS'!L15</f>
        <v>237692.51627128833</v>
      </c>
      <c r="N15" s="216">
        <v>2013</v>
      </c>
      <c r="O15" s="10">
        <v>2014</v>
      </c>
      <c r="P15" s="10">
        <v>2015</v>
      </c>
      <c r="Q15" s="10">
        <v>2016</v>
      </c>
      <c r="R15" s="36">
        <v>2017</v>
      </c>
      <c r="S15" s="214" t="s">
        <v>99</v>
      </c>
      <c r="T15" s="214" t="s">
        <v>100</v>
      </c>
      <c r="U15" s="215" t="s">
        <v>101</v>
      </c>
    </row>
    <row r="16" spans="1:27" ht="17" thickBot="1">
      <c r="A16" s="201" t="str">
        <f>'Pro-Forma IS'!A16</f>
        <v>Total Non-Operating Income</v>
      </c>
      <c r="B16" s="202">
        <f>'Pro-Forma IS'!B16</f>
        <v>530000</v>
      </c>
      <c r="C16" s="202">
        <f>'Pro-Forma IS'!C16</f>
        <v>763000</v>
      </c>
      <c r="D16" s="202">
        <f>'Pro-Forma IS'!D16</f>
        <v>291000</v>
      </c>
      <c r="E16" s="202">
        <f>'Pro-Forma IS'!E16</f>
        <v>434000</v>
      </c>
      <c r="F16" s="202">
        <f>'Pro-Forma IS'!F16</f>
        <v>1047000</v>
      </c>
      <c r="G16" s="203">
        <f>'Pro-Forma IS'!H16</f>
        <v>998183.65347643988</v>
      </c>
      <c r="H16" s="203">
        <f>'Pro-Forma IS'!J16</f>
        <v>1165685.9360430641</v>
      </c>
      <c r="I16" s="203">
        <f>'Pro-Forma IS'!L16</f>
        <v>1361296.2872675087</v>
      </c>
      <c r="K16" s="266" t="s">
        <v>227</v>
      </c>
      <c r="L16" s="246"/>
      <c r="M16" s="41" t="str">
        <f t="shared" ref="M16:U16" si="9">A67</f>
        <v>Total Equity</v>
      </c>
      <c r="N16" s="254">
        <f t="shared" si="9"/>
        <v>87309000</v>
      </c>
      <c r="O16" s="254">
        <f t="shared" si="9"/>
        <v>104500000</v>
      </c>
      <c r="P16" s="254">
        <f t="shared" si="9"/>
        <v>120331000</v>
      </c>
      <c r="Q16" s="254">
        <f t="shared" si="9"/>
        <v>139036000</v>
      </c>
      <c r="R16" s="254">
        <f t="shared" si="9"/>
        <v>152502000</v>
      </c>
      <c r="S16" s="254">
        <f t="shared" si="9"/>
        <v>152682230.93098229</v>
      </c>
      <c r="T16" s="254">
        <f t="shared" si="9"/>
        <v>152892705.88792464</v>
      </c>
      <c r="U16" s="254">
        <f t="shared" si="9"/>
        <v>153138500.03246155</v>
      </c>
    </row>
    <row r="17" spans="1:23" ht="17" thickTop="1">
      <c r="A17" s="196" t="str">
        <f>'Pro-Forma IS'!A17</f>
        <v>Earnings Before Tax</v>
      </c>
      <c r="B17" s="204">
        <f>'Pro-Forma IS'!B17</f>
        <v>14496000</v>
      </c>
      <c r="C17" s="204">
        <f>'Pro-Forma IS'!C17</f>
        <v>17259000</v>
      </c>
      <c r="D17" s="204">
        <f>'Pro-Forma IS'!D17</f>
        <v>19651000</v>
      </c>
      <c r="E17" s="204">
        <f>'Pro-Forma IS'!E17</f>
        <v>24150000</v>
      </c>
      <c r="F17" s="204">
        <f>'Pro-Forma IS'!F17</f>
        <v>27193000</v>
      </c>
      <c r="G17" s="204">
        <f>'Pro-Forma IS'!H17</f>
        <v>33106926.039302543</v>
      </c>
      <c r="H17" s="204">
        <f>'Pro-Forma IS'!J17</f>
        <v>38662502.571771257</v>
      </c>
      <c r="I17" s="204">
        <f>'Pro-Forma IS'!L17</f>
        <v>45150344.170814767</v>
      </c>
      <c r="K17" s="244"/>
      <c r="L17" s="257" t="s">
        <v>228</v>
      </c>
      <c r="M17" s="25"/>
      <c r="N17" s="256">
        <f t="shared" ref="N17:U17" si="10">N16/(P26+N16)</f>
        <v>0.94333038010242665</v>
      </c>
      <c r="O17" s="256">
        <f t="shared" si="10"/>
        <v>0.95227680727557706</v>
      </c>
      <c r="P17" s="256">
        <f t="shared" si="10"/>
        <v>0.95842327022484886</v>
      </c>
      <c r="Q17" s="256">
        <f t="shared" si="10"/>
        <v>0.97247693588210193</v>
      </c>
      <c r="R17" s="256">
        <f t="shared" si="10"/>
        <v>0.97463427727821772</v>
      </c>
      <c r="S17" s="256">
        <f t="shared" si="10"/>
        <v>0.9551289961919629</v>
      </c>
      <c r="T17" s="256">
        <f t="shared" si="10"/>
        <v>0.95199044168774327</v>
      </c>
      <c r="U17" s="256">
        <f t="shared" si="10"/>
        <v>0.94836202619574483</v>
      </c>
    </row>
    <row r="18" spans="1:23" ht="17" thickBot="1">
      <c r="A18" s="196" t="str">
        <f>'Pro-Forma IS'!A18</f>
        <v>Taxation</v>
      </c>
      <c r="B18" s="197">
        <f>'Pro-Forma IS'!B18</f>
        <v>2282000</v>
      </c>
      <c r="C18" s="197">
        <f>'Pro-Forma IS'!C18</f>
        <v>3331000</v>
      </c>
      <c r="D18" s="197">
        <f>'Pro-Forma IS'!D18</f>
        <v>3303000</v>
      </c>
      <c r="E18" s="197">
        <f>'Pro-Forma IS'!E18</f>
        <v>4672000</v>
      </c>
      <c r="F18" s="197">
        <f>'Pro-Forma IS'!F18</f>
        <v>14531000</v>
      </c>
      <c r="G18" s="197">
        <f>'Pro-Forma IS'!H18</f>
        <v>8168644.474465536</v>
      </c>
      <c r="H18" s="197">
        <f>'Pro-Forma IS'!J18</f>
        <v>9539400.8379692566</v>
      </c>
      <c r="I18" s="197">
        <f>'Pro-Forma IS'!L18</f>
        <v>11140179.821989691</v>
      </c>
      <c r="K18" s="245"/>
      <c r="L18" s="246" t="s">
        <v>229</v>
      </c>
      <c r="M18" s="41"/>
      <c r="N18" s="42">
        <f t="shared" ref="N18:U18" si="11">P26/(P26+N16)</f>
        <v>5.6669619897573312E-2</v>
      </c>
      <c r="O18" s="42">
        <f t="shared" si="11"/>
        <v>4.7723192724422936E-2</v>
      </c>
      <c r="P18" s="42">
        <f t="shared" si="11"/>
        <v>4.1576729775151131E-2</v>
      </c>
      <c r="Q18" s="42">
        <f t="shared" si="11"/>
        <v>2.7523064117898035E-2</v>
      </c>
      <c r="R18" s="42">
        <f t="shared" si="11"/>
        <v>2.5365722721782311E-2</v>
      </c>
      <c r="S18" s="42">
        <f t="shared" si="11"/>
        <v>4.4871003808037088E-2</v>
      </c>
      <c r="T18" s="42">
        <f t="shared" si="11"/>
        <v>4.800955831225677E-2</v>
      </c>
      <c r="U18" s="42">
        <f t="shared" si="11"/>
        <v>5.1637973804255145E-2</v>
      </c>
    </row>
    <row r="19" spans="1:23" ht="18" thickTop="1" thickBot="1">
      <c r="A19" s="196" t="str">
        <f>'Pro-Forma IS'!A19</f>
        <v>Discontinued Operations</v>
      </c>
      <c r="B19" s="197">
        <f>'Pro-Forma IS'!B19</f>
        <v>706000</v>
      </c>
      <c r="C19" s="197">
        <f>'Pro-Forma IS'!C19</f>
        <v>516000</v>
      </c>
      <c r="D19" s="197">
        <f>'Pro-Forma IS'!D19</f>
        <v>0</v>
      </c>
      <c r="E19" s="197">
        <f>'Pro-Forma IS'!E19</f>
        <v>0</v>
      </c>
      <c r="F19" s="197">
        <f>'Pro-Forma IS'!F19</f>
        <v>0</v>
      </c>
      <c r="G19" s="197">
        <f>'Pro-Forma IS'!H19</f>
        <v>507968.2521825963</v>
      </c>
      <c r="H19" s="197">
        <f>'Pro-Forma IS'!J19</f>
        <v>593208.92048609897</v>
      </c>
      <c r="I19" s="197">
        <f>'Pro-Forma IS'!L19</f>
        <v>692753.57629592298</v>
      </c>
      <c r="K19" s="245"/>
      <c r="L19" s="245" t="s">
        <v>230</v>
      </c>
      <c r="M19" s="241"/>
      <c r="N19" s="242">
        <f>SUM(N17:N18)</f>
        <v>1</v>
      </c>
      <c r="O19" s="242">
        <f t="shared" ref="O19:U19" si="12">SUM(O17:O18)</f>
        <v>1</v>
      </c>
      <c r="P19" s="242">
        <f t="shared" si="12"/>
        <v>1</v>
      </c>
      <c r="Q19" s="242">
        <f t="shared" si="12"/>
        <v>1</v>
      </c>
      <c r="R19" s="242">
        <f t="shared" si="12"/>
        <v>1</v>
      </c>
      <c r="S19" s="242">
        <f t="shared" si="12"/>
        <v>1</v>
      </c>
      <c r="T19" s="242">
        <f t="shared" si="12"/>
        <v>1</v>
      </c>
      <c r="U19" s="242">
        <f t="shared" si="12"/>
        <v>1</v>
      </c>
    </row>
    <row r="20" spans="1:23" ht="15" thickTop="1">
      <c r="A20" s="196" t="str">
        <f>'Pro-Forma IS'!A20</f>
        <v>Extraordinary Items</v>
      </c>
      <c r="B20" s="197">
        <f>'Pro-Forma IS'!B20</f>
        <v>0</v>
      </c>
      <c r="C20" s="197">
        <f>'Pro-Forma IS'!C20</f>
        <v>0</v>
      </c>
      <c r="D20" s="197">
        <f>'Pro-Forma IS'!D20</f>
        <v>0</v>
      </c>
      <c r="E20" s="197">
        <f>'Pro-Forma IS'!E20</f>
        <v>0</v>
      </c>
      <c r="F20" s="197">
        <f>'Pro-Forma IS'!F20</f>
        <v>0</v>
      </c>
      <c r="G20" s="197">
        <f>'Pro-Forma IS'!H20</f>
        <v>0</v>
      </c>
      <c r="H20" s="197">
        <f>'Pro-Forma IS'!J20</f>
        <v>0</v>
      </c>
      <c r="I20" s="197">
        <f>'Pro-Forma IS'!L20</f>
        <v>0</v>
      </c>
    </row>
    <row r="21" spans="1:23" ht="14">
      <c r="A21" s="196" t="str">
        <f>'Pro-Forma IS'!A21</f>
        <v>Accounting Changes</v>
      </c>
      <c r="B21" s="197">
        <f>'Pro-Forma IS'!B21</f>
        <v>0</v>
      </c>
      <c r="C21" s="197">
        <f>'Pro-Forma IS'!C21</f>
        <v>0</v>
      </c>
      <c r="D21" s="197">
        <f>'Pro-Forma IS'!D21</f>
        <v>0</v>
      </c>
      <c r="E21" s="197">
        <f>'Pro-Forma IS'!E21</f>
        <v>0</v>
      </c>
      <c r="F21" s="197">
        <f>'Pro-Forma IS'!F21</f>
        <v>0</v>
      </c>
      <c r="G21" s="197">
        <f>'Pro-Forma IS'!H21</f>
        <v>0</v>
      </c>
      <c r="H21" s="197">
        <f>'Pro-Forma IS'!J21</f>
        <v>0</v>
      </c>
      <c r="I21" s="197">
        <f>'Pro-Forma IS'!L21</f>
        <v>0</v>
      </c>
    </row>
    <row r="22" spans="1:23" ht="15" thickBot="1">
      <c r="A22" s="206" t="str">
        <f>'Pro-Forma IS'!A22</f>
        <v>Net Income</v>
      </c>
      <c r="B22" s="207">
        <f>'Pro-Forma IS'!B22</f>
        <v>12920000</v>
      </c>
      <c r="C22" s="207">
        <f>'Pro-Forma IS'!C22</f>
        <v>14444000</v>
      </c>
      <c r="D22" s="207">
        <f>'Pro-Forma IS'!D22</f>
        <v>16348000</v>
      </c>
      <c r="E22" s="207">
        <f>'Pro-Forma IS'!E22</f>
        <v>19478000</v>
      </c>
      <c r="F22" s="207">
        <f>'Pro-Forma IS'!F22</f>
        <v>12662000</v>
      </c>
      <c r="G22" s="208">
        <f>'Pro-Forma IS'!H22</f>
        <v>25446249.817019604</v>
      </c>
      <c r="H22" s="208">
        <f>'Pro-Forma IS'!J22</f>
        <v>29716310.654288098</v>
      </c>
      <c r="I22" s="208">
        <f>'Pro-Forma IS'!L22</f>
        <v>34702917.925120994</v>
      </c>
    </row>
    <row r="23" spans="1:23" ht="18" thickTop="1" thickBot="1">
      <c r="A23" s="209" t="str">
        <f>'Pro-Forma IS'!A23</f>
        <v>Preference Dividends &amp; Similar</v>
      </c>
      <c r="B23" s="210">
        <f>'Pro-Forma IS'!B23</f>
        <v>0</v>
      </c>
      <c r="C23" s="210">
        <f>'Pro-Forma IS'!C23</f>
        <v>0</v>
      </c>
      <c r="D23" s="210">
        <f>'Pro-Forma IS'!D23</f>
        <v>-522000</v>
      </c>
      <c r="E23" s="210">
        <f>'Pro-Forma IS'!E23</f>
        <v>0</v>
      </c>
      <c r="F23" s="210">
        <f>'Pro-Forma IS'!F23</f>
        <v>0</v>
      </c>
      <c r="G23" s="210">
        <f>'Pro-Forma IS'!H23</f>
        <v>-180230.93098229246</v>
      </c>
      <c r="H23" s="210">
        <f>'Pro-Forma IS'!J23</f>
        <v>-210474.95694234522</v>
      </c>
      <c r="I23" s="210">
        <f>'Pro-Forma IS'!L23</f>
        <v>-245794.14453690243</v>
      </c>
      <c r="K23" s="247"/>
      <c r="L23" s="243" t="s">
        <v>231</v>
      </c>
      <c r="M23" s="249">
        <f>'Equity Research &amp; Stock Risks'!I251</f>
        <v>1.37E-2</v>
      </c>
      <c r="P23" s="216">
        <v>2013</v>
      </c>
      <c r="Q23" s="10">
        <v>2014</v>
      </c>
      <c r="R23" s="10">
        <v>2015</v>
      </c>
      <c r="S23" s="10">
        <v>2016</v>
      </c>
      <c r="T23" s="36">
        <v>2017</v>
      </c>
      <c r="U23" s="214" t="s">
        <v>99</v>
      </c>
      <c r="V23" s="214" t="s">
        <v>100</v>
      </c>
      <c r="W23" s="215" t="s">
        <v>101</v>
      </c>
    </row>
    <row r="24" spans="1:23" ht="16">
      <c r="A24" s="196" t="str">
        <f>'Pro-Forma IS'!A24</f>
        <v>Net Income to Common</v>
      </c>
      <c r="B24" s="204">
        <f>'Pro-Forma IS'!B24</f>
        <v>12920000</v>
      </c>
      <c r="C24" s="204">
        <f>'Pro-Forma IS'!C24</f>
        <v>14444000</v>
      </c>
      <c r="D24" s="204">
        <f>'Pro-Forma IS'!D24</f>
        <v>15826000</v>
      </c>
      <c r="E24" s="204">
        <f>'Pro-Forma IS'!E24</f>
        <v>19478000</v>
      </c>
      <c r="F24" s="204">
        <f>'Pro-Forma IS'!F24</f>
        <v>12662000</v>
      </c>
      <c r="G24" s="204">
        <f>'Pro-Forma IS'!H24</f>
        <v>25266018.886037312</v>
      </c>
      <c r="H24" s="204">
        <f>'Pro-Forma IS'!J24</f>
        <v>29505835.697345752</v>
      </c>
      <c r="I24" s="204">
        <f>'Pro-Forma IS'!L24</f>
        <v>34457123.780584089</v>
      </c>
      <c r="K24" s="247"/>
      <c r="L24" s="243" t="s">
        <v>233</v>
      </c>
      <c r="M24" s="250">
        <f>'Regression &amp; Candlestick'!B18</f>
        <v>1.2048069859208699</v>
      </c>
      <c r="O24" s="31" t="str">
        <f t="shared" ref="O24:W24" si="13">A55</f>
        <v>Current Debt</v>
      </c>
      <c r="P24" s="204">
        <f t="shared" si="13"/>
        <v>3009000</v>
      </c>
      <c r="Q24" s="204">
        <f t="shared" si="13"/>
        <v>2009000</v>
      </c>
      <c r="R24" s="204">
        <f t="shared" si="13"/>
        <v>3225000</v>
      </c>
      <c r="S24" s="204">
        <f t="shared" si="13"/>
        <v>0</v>
      </c>
      <c r="T24" s="204" t="str">
        <f t="shared" si="13"/>
        <v>-</v>
      </c>
      <c r="U24" s="204">
        <f t="shared" si="13"/>
        <v>3203858.3184451689</v>
      </c>
      <c r="V24" s="204">
        <f t="shared" si="13"/>
        <v>3741488.4223750364</v>
      </c>
      <c r="W24" s="204">
        <f t="shared" si="13"/>
        <v>4369336.6632891614</v>
      </c>
    </row>
    <row r="25" spans="1:23" ht="16">
      <c r="A25" s="196" t="str">
        <f>'Pro-Forma IS'!A25</f>
        <v>Average Shares Basic</v>
      </c>
      <c r="B25" s="197">
        <f>'Pro-Forma IS'!B25</f>
        <v>665692</v>
      </c>
      <c r="C25" s="197">
        <f>'Pro-Forma IS'!C25</f>
        <v>675935</v>
      </c>
      <c r="D25" s="197">
        <f>'Pro-Forma IS'!D25</f>
        <v>684626</v>
      </c>
      <c r="E25" s="197">
        <f>'Pro-Forma IS'!E25</f>
        <v>687778</v>
      </c>
      <c r="F25" s="197">
        <f>'Pro-Forma IS'!F25</f>
        <v>692901</v>
      </c>
      <c r="G25" s="197">
        <f>'Pro-Forma IS'!H25</f>
        <v>0</v>
      </c>
      <c r="H25" s="197">
        <f>'Pro-Forma IS'!J25</f>
        <v>0</v>
      </c>
      <c r="I25" s="197">
        <f>'Pro-Forma IS'!L25</f>
        <v>0</v>
      </c>
      <c r="K25" s="247"/>
      <c r="L25" s="251" t="s">
        <v>232</v>
      </c>
      <c r="M25" s="252">
        <f>(('Equity Research &amp; Stock Risks'!C251-'Equity Research &amp; Stock Risks'!C2)/'Equity Research &amp; Stock Risks'!C2)-M23</f>
        <v>0.17045027466030596</v>
      </c>
      <c r="O25" s="31" t="str">
        <f t="shared" ref="O25:W25" si="14">A58</f>
        <v>LT Debt &amp; Leases</v>
      </c>
      <c r="P25" s="204">
        <f t="shared" si="14"/>
        <v>2236000</v>
      </c>
      <c r="Q25" s="204">
        <f t="shared" si="14"/>
        <v>3228000</v>
      </c>
      <c r="R25" s="204">
        <f t="shared" si="14"/>
        <v>1995000</v>
      </c>
      <c r="S25" s="204">
        <f t="shared" si="14"/>
        <v>3935000</v>
      </c>
      <c r="T25" s="204">
        <f t="shared" si="14"/>
        <v>3969000</v>
      </c>
      <c r="U25" s="204">
        <f t="shared" si="14"/>
        <v>3969000</v>
      </c>
      <c r="V25" s="204">
        <f t="shared" si="14"/>
        <v>3969000</v>
      </c>
      <c r="W25" s="204">
        <f t="shared" si="14"/>
        <v>3969000</v>
      </c>
    </row>
    <row r="26" spans="1:23" ht="17" thickBot="1">
      <c r="A26" s="196" t="str">
        <f>'Pro-Forma IS'!A26</f>
        <v>EPS Net Basic</v>
      </c>
      <c r="B26" s="197">
        <f>'Pro-Forma IS'!B26</f>
        <v>19.41</v>
      </c>
      <c r="C26" s="197">
        <f>'Pro-Forma IS'!C26</f>
        <v>21.37</v>
      </c>
      <c r="D26" s="197">
        <f>'Pro-Forma IS'!D26</f>
        <v>23.87</v>
      </c>
      <c r="E26" s="197">
        <f>'Pro-Forma IS'!E26</f>
        <v>28.32</v>
      </c>
      <c r="F26" s="197">
        <f>'Pro-Forma IS'!F26</f>
        <v>18.27</v>
      </c>
      <c r="G26" s="197">
        <f>'Pro-Forma IS'!H26</f>
        <v>0</v>
      </c>
      <c r="H26" s="197">
        <f>'Pro-Forma IS'!J26</f>
        <v>0</v>
      </c>
      <c r="I26" s="197">
        <f>'Pro-Forma IS'!L26</f>
        <v>0</v>
      </c>
      <c r="K26" s="253" t="s">
        <v>234</v>
      </c>
      <c r="L26" s="246"/>
      <c r="M26" s="248">
        <f>M23+M24*(M25)</f>
        <v>0.21905968166286763</v>
      </c>
      <c r="O26" s="28" t="s">
        <v>236</v>
      </c>
      <c r="P26" s="199">
        <f>SUM(P24:P25)</f>
        <v>5245000</v>
      </c>
      <c r="Q26" s="199">
        <f t="shared" ref="Q26:W26" si="15">SUM(Q24:Q25)</f>
        <v>5237000</v>
      </c>
      <c r="R26" s="199">
        <f t="shared" si="15"/>
        <v>5220000</v>
      </c>
      <c r="S26" s="199">
        <f t="shared" si="15"/>
        <v>3935000</v>
      </c>
      <c r="T26" s="199">
        <f t="shared" si="15"/>
        <v>3969000</v>
      </c>
      <c r="U26" s="199">
        <f t="shared" si="15"/>
        <v>7172858.3184451684</v>
      </c>
      <c r="V26" s="199">
        <f t="shared" si="15"/>
        <v>7710488.4223750364</v>
      </c>
      <c r="W26" s="199">
        <f t="shared" si="15"/>
        <v>8338336.6632891614</v>
      </c>
    </row>
    <row r="27" spans="1:23" ht="16" thickTop="1" thickBot="1">
      <c r="A27" s="196" t="str">
        <f>'Pro-Forma IS'!A27</f>
        <v>EPS Continuing Basic</v>
      </c>
      <c r="B27" s="197">
        <f>'Pro-Forma IS'!B27</f>
        <v>18.350000000000001</v>
      </c>
      <c r="C27" s="197">
        <f>'Pro-Forma IS'!C27</f>
        <v>20.61</v>
      </c>
      <c r="D27" s="197">
        <f>'Pro-Forma IS'!D27</f>
        <v>23.87</v>
      </c>
      <c r="E27" s="197">
        <f>'Pro-Forma IS'!E27</f>
        <v>28.32</v>
      </c>
      <c r="F27" s="197">
        <f>'Pro-Forma IS'!F27</f>
        <v>18.27</v>
      </c>
      <c r="G27" s="197">
        <f>'Pro-Forma IS'!H27</f>
        <v>0</v>
      </c>
      <c r="H27" s="197">
        <f>'Pro-Forma IS'!J27</f>
        <v>0</v>
      </c>
      <c r="I27" s="197">
        <f>'Pro-Forma IS'!L27</f>
        <v>0</v>
      </c>
      <c r="L27" s="223"/>
      <c r="O27" s="253" t="str">
        <f t="shared" ref="O27:W27" si="16">A12</f>
        <v>Interest Income</v>
      </c>
      <c r="P27" s="254">
        <f t="shared" si="16"/>
        <v>702000</v>
      </c>
      <c r="Q27" s="254">
        <f t="shared" si="16"/>
        <v>645000</v>
      </c>
      <c r="R27" s="254">
        <f t="shared" si="16"/>
        <v>895000</v>
      </c>
      <c r="S27" s="254">
        <f t="shared" si="16"/>
        <v>1096000</v>
      </c>
      <c r="T27" s="254">
        <f t="shared" si="16"/>
        <v>1203000</v>
      </c>
      <c r="U27" s="254">
        <f t="shared" si="16"/>
        <v>1461183.6714210242</v>
      </c>
      <c r="V27" s="254">
        <f t="shared" si="16"/>
        <v>1706380.6342842104</v>
      </c>
      <c r="W27" s="254">
        <f t="shared" si="16"/>
        <v>1992723.3831106781</v>
      </c>
    </row>
    <row r="28" spans="1:23" ht="18" thickTop="1" thickBot="1">
      <c r="A28" s="196" t="str">
        <f>'Pro-Forma IS'!A28</f>
        <v>Average Shares Diluted</v>
      </c>
      <c r="B28" s="197">
        <f>'Pro-Forma IS'!B28</f>
        <v>677618</v>
      </c>
      <c r="C28" s="197">
        <f>'Pro-Forma IS'!C28</f>
        <v>687070</v>
      </c>
      <c r="D28" s="197">
        <f>'Pro-Forma IS'!D28</f>
        <v>692930</v>
      </c>
      <c r="E28" s="197">
        <f>'Pro-Forma IS'!E28</f>
        <v>698706</v>
      </c>
      <c r="F28" s="197">
        <f>'Pro-Forma IS'!F28</f>
        <v>750730</v>
      </c>
      <c r="G28" s="197">
        <f>'Pro-Forma IS'!H28</f>
        <v>0</v>
      </c>
      <c r="H28" s="197">
        <f>'Pro-Forma IS'!J28</f>
        <v>0</v>
      </c>
      <c r="I28" s="197">
        <f>'Pro-Forma IS'!L28</f>
        <v>0</v>
      </c>
      <c r="K28" s="253" t="s">
        <v>235</v>
      </c>
      <c r="L28" s="41"/>
      <c r="M28" s="255">
        <f>AVERAGE(P29:W29)</f>
        <v>0.20926058981549681</v>
      </c>
    </row>
    <row r="29" spans="1:23" ht="16" thickTop="1" thickBot="1">
      <c r="A29" s="196" t="str">
        <f>'Pro-Forma IS'!A29</f>
        <v>EPS Net Diluted</v>
      </c>
      <c r="B29" s="197">
        <f>'Pro-Forma IS'!B29</f>
        <v>19.07</v>
      </c>
      <c r="C29" s="197">
        <f>'Pro-Forma IS'!C29</f>
        <v>21.02</v>
      </c>
      <c r="D29" s="197">
        <f>'Pro-Forma IS'!D29</f>
        <v>23.59</v>
      </c>
      <c r="E29" s="197">
        <f>'Pro-Forma IS'!E29</f>
        <v>27.85</v>
      </c>
      <c r="F29" s="197">
        <f>'Pro-Forma IS'!F29</f>
        <v>18</v>
      </c>
      <c r="G29" s="197">
        <f>'Pro-Forma IS'!H29</f>
        <v>0</v>
      </c>
      <c r="H29" s="197">
        <f>'Pro-Forma IS'!J29</f>
        <v>0</v>
      </c>
      <c r="I29" s="197">
        <f>'Pro-Forma IS'!L29</f>
        <v>0</v>
      </c>
      <c r="O29" s="253" t="s">
        <v>237</v>
      </c>
      <c r="P29" s="240">
        <f>P27/P26</f>
        <v>0.13384175405147761</v>
      </c>
      <c r="Q29" s="240">
        <f t="shared" ref="Q29:W29" si="17">Q27/Q26</f>
        <v>0.12316211571510406</v>
      </c>
      <c r="R29" s="240">
        <f t="shared" si="17"/>
        <v>0.17145593869731801</v>
      </c>
      <c r="S29" s="240">
        <f t="shared" si="17"/>
        <v>0.27852604828462518</v>
      </c>
      <c r="T29" s="240">
        <f t="shared" si="17"/>
        <v>0.30309901738473166</v>
      </c>
      <c r="U29" s="240">
        <f t="shared" si="17"/>
        <v>0.20371009806001009</v>
      </c>
      <c r="V29" s="240">
        <f t="shared" si="17"/>
        <v>0.22130642584618518</v>
      </c>
      <c r="W29" s="240">
        <f t="shared" si="17"/>
        <v>0.23898332048452256</v>
      </c>
    </row>
    <row r="30" spans="1:23" ht="16" thickTop="1" thickBot="1">
      <c r="A30" s="196" t="str">
        <f>'Pro-Forma IS'!A30</f>
        <v>EPS Continuing Diluted</v>
      </c>
      <c r="B30" s="197">
        <f>'Pro-Forma IS'!B30</f>
        <v>18.03</v>
      </c>
      <c r="C30" s="197">
        <f>'Pro-Forma IS'!C30</f>
        <v>20.27</v>
      </c>
      <c r="D30" s="197">
        <f>'Pro-Forma IS'!D30</f>
        <v>23.59</v>
      </c>
      <c r="E30" s="197">
        <f>'Pro-Forma IS'!E30</f>
        <v>27.85</v>
      </c>
      <c r="F30" s="197">
        <f>'Pro-Forma IS'!F30</f>
        <v>18</v>
      </c>
      <c r="G30" s="197">
        <f>'Pro-Forma IS'!H30</f>
        <v>0</v>
      </c>
      <c r="H30" s="197">
        <f>'Pro-Forma IS'!J30</f>
        <v>0</v>
      </c>
      <c r="I30" s="197">
        <f>'Pro-Forma IS'!L30</f>
        <v>0</v>
      </c>
      <c r="K30" s="253" t="s">
        <v>226</v>
      </c>
      <c r="L30" s="41"/>
      <c r="M30" s="261">
        <f>AVERAGE(P33:W33)</f>
        <v>0.21552737416072609</v>
      </c>
    </row>
    <row r="31" spans="1:23" ht="18" thickTop="1" thickBot="1">
      <c r="A31" s="196" t="str">
        <f>'Pro-Forma IS'!A31</f>
        <v>Shares Outstanding</v>
      </c>
      <c r="B31" s="197">
        <f>'Pro-Forma IS'!B31</f>
        <v>671664.58400000003</v>
      </c>
      <c r="C31" s="197">
        <f>'Pro-Forma IS'!C31</f>
        <v>680172</v>
      </c>
      <c r="D31" s="197">
        <f>'Pro-Forma IS'!D31</f>
        <v>687348</v>
      </c>
      <c r="E31" s="197">
        <f>'Pro-Forma IS'!E31</f>
        <v>691293</v>
      </c>
      <c r="F31" s="197">
        <f>'Pro-Forma IS'!F31</f>
        <v>694783</v>
      </c>
      <c r="G31" s="197">
        <f>'Pro-Forma IS'!H31</f>
        <v>685052.11679999996</v>
      </c>
      <c r="H31" s="197">
        <f>'Pro-Forma IS'!J31</f>
        <v>685052.11679999996</v>
      </c>
      <c r="I31" s="197">
        <f>'Pro-Forma IS'!L31</f>
        <v>685052.11679999996</v>
      </c>
      <c r="L31" s="259"/>
      <c r="O31" s="246" t="s">
        <v>238</v>
      </c>
      <c r="P31" s="41">
        <f>(1-(B18/B17))</f>
        <v>0.84257726269315669</v>
      </c>
      <c r="Q31" s="41">
        <f>(1-(C18/C17))</f>
        <v>0.80699924676980128</v>
      </c>
      <c r="R31" s="41">
        <f t="shared" ref="R31:W31" si="18">(1-(D18/D17))</f>
        <v>0.83191695079130834</v>
      </c>
      <c r="S31" s="41">
        <f>(1-(E18/E17))</f>
        <v>0.80654244306418221</v>
      </c>
      <c r="T31" s="41">
        <f>(1-(F18/F17))</f>
        <v>0.46563453830029788</v>
      </c>
      <c r="U31" s="41">
        <f>(1-(G18/G17))</f>
        <v>0.753264786203098</v>
      </c>
      <c r="V31" s="41">
        <f t="shared" si="18"/>
        <v>0.75326478620309789</v>
      </c>
      <c r="W31" s="41">
        <f t="shared" si="18"/>
        <v>0.753264786203098</v>
      </c>
    </row>
    <row r="32" spans="1:23" ht="15" thickTop="1" thickBot="1">
      <c r="L32" s="259"/>
      <c r="M32" t="s">
        <v>215</v>
      </c>
    </row>
    <row r="33" spans="1:23" ht="21" thickBot="1">
      <c r="A33" s="310" t="s">
        <v>0</v>
      </c>
      <c r="B33" s="311"/>
      <c r="C33" s="311"/>
      <c r="D33" s="311"/>
      <c r="E33" s="311"/>
      <c r="F33" s="312"/>
      <c r="G33" s="313"/>
      <c r="H33" s="314"/>
      <c r="I33" s="315"/>
      <c r="L33" s="239"/>
      <c r="O33" s="253" t="s">
        <v>226</v>
      </c>
      <c r="P33" s="240">
        <f>(N17*M26)+(N18*P29)*P31</f>
        <v>0.21303640020651626</v>
      </c>
      <c r="Q33" s="240">
        <f>(O17*M26)+(O18*Q29)*Q31</f>
        <v>0.21334874516285474</v>
      </c>
      <c r="R33" s="240">
        <f>(P17*M26)+(P18*R29)*R31</f>
        <v>0.21588228070770241</v>
      </c>
      <c r="S33" s="240">
        <f>(Q17*M26)+(Q18*M28)*S31</f>
        <v>0.21767576325610291</v>
      </c>
      <c r="T33" s="240">
        <f>(R17*M26)+(R18*M28)*T31</f>
        <v>0.21597468411233756</v>
      </c>
      <c r="U33" s="240">
        <f>(S17*M26)+(S18*M28)*U31</f>
        <v>0.21630320886449128</v>
      </c>
      <c r="V33" s="240">
        <f>(T17*M26)+(T18*M28)*V31</f>
        <v>0.21611040417141789</v>
      </c>
      <c r="W33" s="240">
        <f>(U17*M26)+(U18*M28)*W31</f>
        <v>0.21588750680438576</v>
      </c>
    </row>
    <row r="34" spans="1:23" ht="21" thickBot="1">
      <c r="A34" s="307" t="s">
        <v>31</v>
      </c>
      <c r="B34" s="308"/>
      <c r="C34" s="308"/>
      <c r="D34" s="308"/>
      <c r="E34" s="308"/>
      <c r="F34" s="309"/>
      <c r="G34" s="303"/>
      <c r="H34" s="304"/>
      <c r="I34" s="319"/>
      <c r="L34" s="258"/>
    </row>
    <row r="35" spans="1:23" ht="15" thickBot="1">
      <c r="A35" s="8"/>
      <c r="B35" s="9">
        <v>2013</v>
      </c>
      <c r="C35" s="10">
        <v>2014</v>
      </c>
      <c r="D35" s="10">
        <v>2015</v>
      </c>
      <c r="E35" s="10">
        <v>2016</v>
      </c>
      <c r="F35" s="11">
        <v>2017</v>
      </c>
      <c r="G35" s="36" t="s">
        <v>99</v>
      </c>
      <c r="H35" s="36" t="s">
        <v>100</v>
      </c>
      <c r="I35" s="11" t="s">
        <v>101</v>
      </c>
    </row>
    <row r="36" spans="1:23" ht="14">
      <c r="A36" s="205" t="str">
        <f>'Pro-Forma BS'!A4</f>
        <v>Cash &amp; Equivalents</v>
      </c>
      <c r="B36" s="211">
        <f>'Pro-Forma BS'!B4</f>
        <v>18898000</v>
      </c>
      <c r="C36" s="211">
        <f>'Pro-Forma BS'!C4</f>
        <v>18347000</v>
      </c>
      <c r="D36" s="211">
        <f>'Pro-Forma BS'!D4</f>
        <v>16549000</v>
      </c>
      <c r="E36" s="211">
        <f>'Pro-Forma BS'!E4</f>
        <v>12918000</v>
      </c>
      <c r="F36" s="211">
        <f>'Pro-Forma BS'!F4</f>
        <v>10715000</v>
      </c>
      <c r="G36" s="211">
        <f>'Pro-Forma BS'!I4</f>
        <v>27297692.862546816</v>
      </c>
      <c r="H36" s="211">
        <f>'Pro-Forma BS'!L4</f>
        <v>31878438.948053785</v>
      </c>
      <c r="I36" s="211">
        <f>'Pro-Forma BS'!O4</f>
        <v>37227866.650924727</v>
      </c>
    </row>
    <row r="37" spans="1:23" ht="14">
      <c r="A37" s="205" t="str">
        <f>'Pro-Forma BS'!A5</f>
        <v>Short Term Investments</v>
      </c>
      <c r="B37" s="211">
        <f>'Pro-Forma BS'!B5</f>
        <v>39819000</v>
      </c>
      <c r="C37" s="211">
        <f>'Pro-Forma BS'!C5</f>
        <v>46048000</v>
      </c>
      <c r="D37" s="211">
        <f>'Pro-Forma BS'!D5</f>
        <v>56517000</v>
      </c>
      <c r="E37" s="211">
        <f>'Pro-Forma BS'!E5</f>
        <v>73415000</v>
      </c>
      <c r="F37" s="211">
        <f>'Pro-Forma BS'!F5</f>
        <v>91156000</v>
      </c>
      <c r="G37" s="211">
        <f>'Pro-Forma BS'!I5</f>
        <v>97157979.624000296</v>
      </c>
      <c r="H37" s="211">
        <f>'Pro-Forma BS'!L5</f>
        <v>113461776.32504071</v>
      </c>
      <c r="I37" s="211">
        <f>'Pro-Forma BS'!O5</f>
        <v>132501465.51682198</v>
      </c>
    </row>
    <row r="38" spans="1:23" ht="14">
      <c r="A38" s="200" t="str">
        <f>'Pro-Forma BS'!A6</f>
        <v>Cash &amp; Equivs &amp; ST Investments</v>
      </c>
      <c r="B38" s="212">
        <f>'Pro-Forma BS'!B6</f>
        <v>58717000</v>
      </c>
      <c r="C38" s="212">
        <f>'Pro-Forma BS'!C6</f>
        <v>64395000</v>
      </c>
      <c r="D38" s="212">
        <f>'Pro-Forma BS'!D6</f>
        <v>73066000</v>
      </c>
      <c r="E38" s="212">
        <f>'Pro-Forma BS'!E6</f>
        <v>86333000</v>
      </c>
      <c r="F38" s="212">
        <f>'Pro-Forma BS'!F6</f>
        <v>101871000</v>
      </c>
      <c r="G38" s="212">
        <f>'Pro-Forma BS'!I6</f>
        <v>124455672.48654711</v>
      </c>
      <c r="H38" s="212">
        <f>'Pro-Forma BS'!L6</f>
        <v>145340215.27309451</v>
      </c>
      <c r="I38" s="212">
        <f>'Pro-Forma BS'!O6</f>
        <v>169729332.16774672</v>
      </c>
    </row>
    <row r="39" spans="1:23" ht="14">
      <c r="A39" s="205" t="str">
        <f>'Pro-Forma BS'!A7</f>
        <v>Receivables (ST)</v>
      </c>
      <c r="B39" s="211">
        <f>'Pro-Forma BS'!B7</f>
        <v>8982000</v>
      </c>
      <c r="C39" s="211">
        <f>'Pro-Forma BS'!C7</f>
        <v>10258000</v>
      </c>
      <c r="D39" s="211">
        <f>'Pro-Forma BS'!D7</f>
        <v>12006000</v>
      </c>
      <c r="E39" s="211">
        <f>'Pro-Forma BS'!E7</f>
        <v>14137000</v>
      </c>
      <c r="F39" s="211">
        <f>'Pro-Forma BS'!F7</f>
        <v>18336000</v>
      </c>
      <c r="G39" s="211">
        <f>'Pro-Forma BS'!I7</f>
        <v>20393997.061601792</v>
      </c>
      <c r="H39" s="211">
        <f>'Pro-Forma BS'!L7</f>
        <v>23816254.124796584</v>
      </c>
      <c r="I39" s="211">
        <f>'Pro-Forma BS'!O7</f>
        <v>27812790.147197373</v>
      </c>
    </row>
    <row r="40" spans="1:23" ht="14">
      <c r="A40" s="205" t="str">
        <f>'Pro-Forma BS'!A8</f>
        <v>Inventories</v>
      </c>
      <c r="B40" s="211">
        <f>'Pro-Forma BS'!B8</f>
        <v>426000</v>
      </c>
      <c r="C40" s="211" t="str">
        <f>'Pro-Forma BS'!C8</f>
        <v>-</v>
      </c>
      <c r="D40" s="211" t="str">
        <f>'Pro-Forma BS'!D8</f>
        <v>-</v>
      </c>
      <c r="E40" s="211">
        <f>'Pro-Forma BS'!E8</f>
        <v>268000</v>
      </c>
      <c r="F40" s="211">
        <f>'Pro-Forma BS'!F8</f>
        <v>749000</v>
      </c>
      <c r="G40" s="211">
        <f>'Pro-Forma BS'!I8</f>
        <v>436171.21619551821</v>
      </c>
      <c r="H40" s="211">
        <f>'Pro-Forma BS'!L8</f>
        <v>509363.83365439984</v>
      </c>
      <c r="I40" s="211">
        <f>'Pro-Forma BS'!O8</f>
        <v>594838.69040731329</v>
      </c>
    </row>
    <row r="41" spans="1:23" ht="14">
      <c r="A41" s="205" t="str">
        <f>'Pro-Forma BS'!A9</f>
        <v>Current Tax Assets</v>
      </c>
      <c r="B41" s="211">
        <f>'Pro-Forma BS'!B9</f>
        <v>1934000</v>
      </c>
      <c r="C41" s="211">
        <f>'Pro-Forma BS'!C9</f>
        <v>2620000</v>
      </c>
      <c r="D41" s="211">
        <f>'Pro-Forma BS'!D9</f>
        <v>1903000</v>
      </c>
      <c r="E41" s="211">
        <f>'Pro-Forma BS'!E9</f>
        <v>95000</v>
      </c>
      <c r="F41" s="211">
        <f>'Pro-Forma BS'!F9</f>
        <v>369000</v>
      </c>
      <c r="G41" s="211">
        <f>'Pro-Forma BS'!I9</f>
        <v>2635286.0570393628</v>
      </c>
      <c r="H41" s="211">
        <f>'Pro-Forma BS'!L9</f>
        <v>3077505.7109404691</v>
      </c>
      <c r="I41" s="211">
        <f>'Pro-Forma BS'!O9</f>
        <v>3593932.952960535</v>
      </c>
    </row>
    <row r="42" spans="1:23" ht="14">
      <c r="A42" s="205" t="str">
        <f>'Pro-Forma BS'!A10</f>
        <v>Other Current Assets</v>
      </c>
      <c r="B42" s="211">
        <f>'Pro-Forma BS'!B10</f>
        <v>2827000</v>
      </c>
      <c r="C42" s="211">
        <f>'Pro-Forma BS'!C10</f>
        <v>3412000</v>
      </c>
      <c r="D42" s="211">
        <f>'Pro-Forma BS'!D10</f>
        <v>3139000</v>
      </c>
      <c r="E42" s="211">
        <f>'Pro-Forma BS'!E10</f>
        <v>4575000</v>
      </c>
      <c r="F42" s="211">
        <f>'Pro-Forma BS'!F10</f>
        <v>2983000</v>
      </c>
      <c r="G42" s="211">
        <f>'Pro-Forma BS'!I10</f>
        <v>5654675.8381326618</v>
      </c>
      <c r="H42" s="211">
        <f>'Pro-Forma BS'!L10</f>
        <v>6603570.4696594216</v>
      </c>
      <c r="I42" s="211">
        <f>'Pro-Forma BS'!O10</f>
        <v>7711696.3369837133</v>
      </c>
    </row>
    <row r="43" spans="1:23" ht="14">
      <c r="A43" s="200" t="str">
        <f>'Pro-Forma BS'!A11</f>
        <v>Total Current Assets</v>
      </c>
      <c r="B43" s="212">
        <f>'Pro-Forma BS'!B11</f>
        <v>72886000</v>
      </c>
      <c r="C43" s="212">
        <f>'Pro-Forma BS'!C11</f>
        <v>80685000</v>
      </c>
      <c r="D43" s="212">
        <f>'Pro-Forma BS'!D11</f>
        <v>90114000</v>
      </c>
      <c r="E43" s="212">
        <f>'Pro-Forma BS'!E11</f>
        <v>105408000</v>
      </c>
      <c r="F43" s="212">
        <f>'Pro-Forma BS'!F11</f>
        <v>124308000</v>
      </c>
      <c r="G43" s="212">
        <f>'Pro-Forma BS'!I11</f>
        <v>153575802.65951642</v>
      </c>
      <c r="H43" s="212">
        <f>'Pro-Forma BS'!L11</f>
        <v>179346909.41214541</v>
      </c>
      <c r="I43" s="212">
        <f>'Pro-Forma BS'!O11</f>
        <v>209442590.29529563</v>
      </c>
    </row>
    <row r="44" spans="1:23" ht="14">
      <c r="A44" s="205" t="str">
        <f>'Pro-Forma BS'!A12</f>
        <v>Gross Property Plant &amp; Equip</v>
      </c>
      <c r="B44" s="211">
        <f>'Pro-Forma BS'!B12</f>
        <v>23837000</v>
      </c>
      <c r="C44" s="211">
        <f>'Pro-Forma BS'!C12</f>
        <v>32746000</v>
      </c>
      <c r="D44" s="211">
        <f>'Pro-Forma BS'!D12</f>
        <v>40146000</v>
      </c>
      <c r="E44" s="211">
        <f>'Pro-Forma BS'!E12</f>
        <v>47527000</v>
      </c>
      <c r="F44" s="211">
        <f>'Pro-Forma BS'!F12</f>
        <v>59647000</v>
      </c>
      <c r="G44" s="211">
        <f>'Pro-Forma BS'!I12</f>
        <v>64586167.853821941</v>
      </c>
      <c r="H44" s="211">
        <f>'Pro-Forma BS'!L12</f>
        <v>75424183.984489486</v>
      </c>
      <c r="I44" s="211">
        <f>'Pro-Forma BS'!O12</f>
        <v>88080895.937371835</v>
      </c>
    </row>
    <row r="45" spans="1:23" ht="14">
      <c r="A45" s="205" t="str">
        <f>'Pro-Forma BS'!A13</f>
        <v>Accumulated Depreciation</v>
      </c>
      <c r="B45" s="211">
        <f>'Pro-Forma BS'!B13</f>
        <v>7313000</v>
      </c>
      <c r="C45" s="211">
        <f>'Pro-Forma BS'!C13</f>
        <v>8863000</v>
      </c>
      <c r="D45" s="211">
        <f>'Pro-Forma BS'!D13</f>
        <v>11130000</v>
      </c>
      <c r="E45" s="211">
        <f>'Pro-Forma BS'!E13</f>
        <v>13293000</v>
      </c>
      <c r="F45" s="211">
        <f>'Pro-Forma BS'!F13</f>
        <v>17264000</v>
      </c>
      <c r="G45" s="211">
        <f>'Pro-Forma BS'!I13</f>
        <v>18329526.595890611</v>
      </c>
      <c r="H45" s="211">
        <f>'Pro-Forma BS'!L13</f>
        <v>21405350.901853159</v>
      </c>
      <c r="I45" s="211">
        <f>'Pro-Forma BS'!O13</f>
        <v>24997320.298178867</v>
      </c>
    </row>
    <row r="46" spans="1:23" ht="14">
      <c r="A46" s="200" t="str">
        <f>'Pro-Forma BS'!A14</f>
        <v>Net Property Plant &amp; Equip</v>
      </c>
      <c r="B46" s="212">
        <f>'Pro-Forma BS'!B14</f>
        <v>16524000</v>
      </c>
      <c r="C46" s="212">
        <f>'Pro-Forma BS'!C14</f>
        <v>23883000</v>
      </c>
      <c r="D46" s="212">
        <f>'Pro-Forma BS'!D14</f>
        <v>29016000</v>
      </c>
      <c r="E46" s="212">
        <f>'Pro-Forma BS'!E14</f>
        <v>34234000</v>
      </c>
      <c r="F46" s="212">
        <f>'Pro-Forma BS'!F14</f>
        <v>42383000</v>
      </c>
      <c r="G46" s="212">
        <f>'Pro-Forma BS'!I14</f>
        <v>46256641.257931329</v>
      </c>
      <c r="H46" s="212">
        <f>'Pro-Forma BS'!L14</f>
        <v>54018833.082636327</v>
      </c>
      <c r="I46" s="212">
        <f>'Pro-Forma BS'!O14</f>
        <v>63083575.639192969</v>
      </c>
    </row>
    <row r="47" spans="1:23" ht="14">
      <c r="A47" s="205" t="str">
        <f>'Pro-Forma BS'!A15</f>
        <v>Long Term Investments</v>
      </c>
      <c r="B47" s="211">
        <f>'Pro-Forma BS'!B15</f>
        <v>1976000</v>
      </c>
      <c r="C47" s="211">
        <f>'Pro-Forma BS'!C15</f>
        <v>3079000</v>
      </c>
      <c r="D47" s="211">
        <f>'Pro-Forma BS'!D15</f>
        <v>5183000</v>
      </c>
      <c r="E47" s="211">
        <f>'Pro-Forma BS'!E15</f>
        <v>5878000</v>
      </c>
      <c r="F47" s="211">
        <f>'Pro-Forma BS'!F15</f>
        <v>7813000</v>
      </c>
      <c r="G47" s="211">
        <f>'Pro-Forma BS'!I15</f>
        <v>7363297.0752216615</v>
      </c>
      <c r="H47" s="211">
        <f>'Pro-Forma BS'!L15</f>
        <v>8598910.4445853475</v>
      </c>
      <c r="I47" s="211">
        <f>'Pro-Forma BS'!O15</f>
        <v>10041868.483456928</v>
      </c>
    </row>
    <row r="48" spans="1:23" ht="14">
      <c r="A48" s="205" t="str">
        <f>'Pro-Forma BS'!A16</f>
        <v>Intangible Assets</v>
      </c>
      <c r="B48" s="211">
        <f>'Pro-Forma BS'!B16</f>
        <v>17558000</v>
      </c>
      <c r="C48" s="211">
        <f>'Pro-Forma BS'!C16</f>
        <v>20206000</v>
      </c>
      <c r="D48" s="211">
        <f>'Pro-Forma BS'!D16</f>
        <v>19716000</v>
      </c>
      <c r="E48" s="211">
        <f>'Pro-Forma BS'!E16</f>
        <v>19775000</v>
      </c>
      <c r="F48" s="211">
        <f>'Pro-Forma BS'!F16</f>
        <v>19439000</v>
      </c>
      <c r="G48" s="211">
        <f>'Pro-Forma BS'!I16</f>
        <v>32544780.695133585</v>
      </c>
      <c r="H48" s="211">
        <f>'Pro-Forma BS'!L16</f>
        <v>38006025.259777978</v>
      </c>
      <c r="I48" s="211">
        <f>'Pro-Forma BS'!O16</f>
        <v>44383705.319079675</v>
      </c>
    </row>
    <row r="49" spans="1:11" ht="14">
      <c r="A49" s="205" t="str">
        <f>'Pro-Forma BS'!A17</f>
        <v>Deferred LT Assets</v>
      </c>
      <c r="B49" s="211" t="str">
        <f>'Pro-Forma BS'!B17</f>
        <v>-</v>
      </c>
      <c r="C49" s="211" t="str">
        <f>'Pro-Forma BS'!C17</f>
        <v>-</v>
      </c>
      <c r="D49" s="211">
        <f>'Pro-Forma BS'!D17</f>
        <v>251000</v>
      </c>
      <c r="E49" s="211">
        <f>'Pro-Forma BS'!E17</f>
        <v>383000</v>
      </c>
      <c r="F49" s="211">
        <f>'Pro-Forma BS'!F17</f>
        <v>680000</v>
      </c>
      <c r="G49" s="211">
        <f>'Pro-Forma BS'!I17</f>
        <v>355335.04267141235</v>
      </c>
      <c r="H49" s="211">
        <f>'Pro-Forma BS'!L17</f>
        <v>414962.77802459936</v>
      </c>
      <c r="I49" s="211">
        <f>'Pro-Forma BS'!O17</f>
        <v>484596.46943722729</v>
      </c>
    </row>
    <row r="50" spans="1:11" ht="14">
      <c r="A50" s="205" t="str">
        <f>'Pro-Forma BS'!A18</f>
        <v>Other Assets</v>
      </c>
      <c r="B50" s="211">
        <f>'Pro-Forma BS'!B18</f>
        <v>1976000</v>
      </c>
      <c r="C50" s="211">
        <f>'Pro-Forma BS'!C18</f>
        <v>3280000</v>
      </c>
      <c r="D50" s="211">
        <f>'Pro-Forma BS'!D18</f>
        <v>3181000</v>
      </c>
      <c r="E50" s="211">
        <f>'Pro-Forma BS'!E18</f>
        <v>1819000</v>
      </c>
      <c r="F50" s="211">
        <f>'Pro-Forma BS'!F18</f>
        <v>2672000</v>
      </c>
      <c r="G50" s="211">
        <f>'Pro-Forma BS'!I18</f>
        <v>4385991.3741271663</v>
      </c>
      <c r="H50" s="211">
        <f>'Pro-Forma BS'!L18</f>
        <v>5121991.7723756908</v>
      </c>
      <c r="I50" s="211">
        <f>'Pro-Forma BS'!O18</f>
        <v>5981498.2471334934</v>
      </c>
    </row>
    <row r="51" spans="1:11" ht="15" thickBot="1">
      <c r="A51" s="208" t="str">
        <f>'Pro-Forma BS'!A19</f>
        <v>Total Assets</v>
      </c>
      <c r="B51" s="213">
        <f>'Pro-Forma BS'!B19</f>
        <v>110920000</v>
      </c>
      <c r="C51" s="213">
        <f>'Pro-Forma BS'!C19</f>
        <v>131133000</v>
      </c>
      <c r="D51" s="213">
        <f>'Pro-Forma BS'!D19</f>
        <v>147461000</v>
      </c>
      <c r="E51" s="213">
        <f>'Pro-Forma BS'!E19</f>
        <v>167497000</v>
      </c>
      <c r="F51" s="213">
        <f>'Pro-Forma BS'!F19</f>
        <v>197295000</v>
      </c>
      <c r="G51" s="213">
        <f>'Pro-Forma BS'!I19</f>
        <v>244481848.10460156</v>
      </c>
      <c r="H51" s="213">
        <f>'Pro-Forma BS'!L19</f>
        <v>285507632.74954534</v>
      </c>
      <c r="I51" s="213">
        <f>'Pro-Forma BS'!O19</f>
        <v>333417834.45359594</v>
      </c>
    </row>
    <row r="52" spans="1:11" ht="15" thickTop="1">
      <c r="A52" s="205" t="str">
        <f>'Pro-Forma BS'!A20</f>
        <v>Accounts Payable &amp; Accrued Exps</v>
      </c>
      <c r="B52" s="211">
        <f>'Pro-Forma BS'!B20</f>
        <v>6684000</v>
      </c>
      <c r="C52" s="211">
        <f>'Pro-Forma BS'!C20</f>
        <v>6736000</v>
      </c>
      <c r="D52" s="211">
        <f>'Pro-Forma BS'!D20</f>
        <v>7799000</v>
      </c>
      <c r="E52" s="211">
        <f>'Pro-Forma BS'!E20</f>
        <v>8959000</v>
      </c>
      <c r="F52" s="211">
        <f>'Pro-Forma BS'!F20</f>
        <v>11693000</v>
      </c>
      <c r="G52" s="211">
        <f>'Pro-Forma BS'!I20</f>
        <v>13528580.354072841</v>
      </c>
      <c r="H52" s="211">
        <f>'Pro-Forma BS'!L20</f>
        <v>15798771.89778427</v>
      </c>
      <c r="I52" s="211">
        <f>'Pro-Forma BS'!O20</f>
        <v>18449917.651786312</v>
      </c>
    </row>
    <row r="53" spans="1:11" ht="14">
      <c r="A53" s="205" t="str">
        <f>'Pro-Forma BS'!A21</f>
        <v>Accounts Payable</v>
      </c>
      <c r="B53" s="211">
        <f>'Pro-Forma BS'!B21</f>
        <v>2453000</v>
      </c>
      <c r="C53" s="211">
        <f>'Pro-Forma BS'!C21</f>
        <v>1715000</v>
      </c>
      <c r="D53" s="211">
        <f>'Pro-Forma BS'!D21</f>
        <v>1931000</v>
      </c>
      <c r="E53" s="211">
        <f>'Pro-Forma BS'!E21</f>
        <v>2041000</v>
      </c>
      <c r="F53" s="211">
        <f>'Pro-Forma BS'!F21</f>
        <v>3137000</v>
      </c>
      <c r="G53" s="211">
        <f>'Pro-Forma BS'!I21</f>
        <v>3719190.3294407004</v>
      </c>
      <c r="H53" s="211">
        <f>'Pro-Forma BS'!L21</f>
        <v>4343296.7925262908</v>
      </c>
      <c r="I53" s="211">
        <f>'Pro-Forma BS'!O21</f>
        <v>5072132.7377741402</v>
      </c>
    </row>
    <row r="54" spans="1:11" ht="14">
      <c r="A54" s="200" t="str">
        <f>'Pro-Forma BS'!A22</f>
        <v>Accrued Expenses</v>
      </c>
      <c r="B54" s="212">
        <f>'Pro-Forma BS'!B22</f>
        <v>4231000</v>
      </c>
      <c r="C54" s="212">
        <f>'Pro-Forma BS'!C22</f>
        <v>5021000</v>
      </c>
      <c r="D54" s="212">
        <f>'Pro-Forma BS'!D22</f>
        <v>5868000</v>
      </c>
      <c r="E54" s="212">
        <f>'Pro-Forma BS'!E22</f>
        <v>6918000</v>
      </c>
      <c r="F54" s="212">
        <f>'Pro-Forma BS'!F22</f>
        <v>8556000</v>
      </c>
      <c r="G54" s="212">
        <f>'Pro-Forma BS'!I22</f>
        <v>9809390.024632141</v>
      </c>
      <c r="H54" s="212">
        <f>'Pro-Forma BS'!L22</f>
        <v>11455475.105257981</v>
      </c>
      <c r="I54" s="212">
        <f>'Pro-Forma BS'!O22</f>
        <v>13377784.914012171</v>
      </c>
    </row>
    <row r="55" spans="1:11" ht="14">
      <c r="A55" s="205" t="str">
        <f>'Pro-Forma BS'!A23</f>
        <v>Current Debt</v>
      </c>
      <c r="B55" s="211">
        <f>'Pro-Forma BS'!B23</f>
        <v>3009000</v>
      </c>
      <c r="C55" s="211">
        <f>'Pro-Forma BS'!C23</f>
        <v>2009000</v>
      </c>
      <c r="D55" s="211">
        <f>'Pro-Forma BS'!D23</f>
        <v>3225000</v>
      </c>
      <c r="E55" s="211">
        <f>'Pro-Forma BS'!E23</f>
        <v>0</v>
      </c>
      <c r="F55" s="211" t="str">
        <f>'Pro-Forma BS'!F23</f>
        <v>-</v>
      </c>
      <c r="G55" s="211">
        <f>'Pro-Forma BS'!I23</f>
        <v>3203858.3184451689</v>
      </c>
      <c r="H55" s="211">
        <f>'Pro-Forma BS'!L23</f>
        <v>3741488.4223750364</v>
      </c>
      <c r="I55" s="211">
        <f>'Pro-Forma BS'!O23</f>
        <v>4369336.6632891614</v>
      </c>
      <c r="K55" s="223"/>
    </row>
    <row r="56" spans="1:11" ht="14">
      <c r="A56" s="205" t="str">
        <f>'Pro-Forma BS'!A24</f>
        <v>Other Current Liabilities</v>
      </c>
      <c r="B56" s="211">
        <f>'Pro-Forma BS'!B24</f>
        <v>6215000</v>
      </c>
      <c r="C56" s="211">
        <f>'Pro-Forma BS'!C24</f>
        <v>8060000</v>
      </c>
      <c r="D56" s="211">
        <f>'Pro-Forma BS'!D24</f>
        <v>8286000</v>
      </c>
      <c r="E56" s="211">
        <f>'Pro-Forma BS'!E24</f>
        <v>7797000</v>
      </c>
      <c r="F56" s="211">
        <f>'Pro-Forma BS'!F24</f>
        <v>12490000</v>
      </c>
      <c r="G56" s="211">
        <f>'Pro-Forma BS'!I24</f>
        <v>13866008.601603046</v>
      </c>
      <c r="H56" s="211">
        <f>'Pro-Forma BS'!L24</f>
        <v>16192822.993692048</v>
      </c>
      <c r="I56" s="211">
        <f>'Pro-Forma BS'!O24</f>
        <v>18910093.31082689</v>
      </c>
    </row>
    <row r="57" spans="1:11" ht="14">
      <c r="A57" s="200" t="str">
        <f>'Pro-Forma BS'!A25</f>
        <v>Total Current Liabilities</v>
      </c>
      <c r="B57" s="212">
        <f>'Pro-Forma BS'!B25</f>
        <v>15908000</v>
      </c>
      <c r="C57" s="212">
        <f>'Pro-Forma BS'!C25</f>
        <v>16805000</v>
      </c>
      <c r="D57" s="212">
        <f>'Pro-Forma BS'!D25</f>
        <v>19310000</v>
      </c>
      <c r="E57" s="212">
        <f>'Pro-Forma BS'!E25</f>
        <v>16756000</v>
      </c>
      <c r="F57" s="212">
        <f>'Pro-Forma BS'!F25</f>
        <v>24183000</v>
      </c>
      <c r="G57" s="212">
        <f>'Pro-Forma BS'!I25</f>
        <v>71189617.17361927</v>
      </c>
      <c r="H57" s="212">
        <f>'Pro-Forma BS'!L25</f>
        <v>112004926.86162069</v>
      </c>
      <c r="I57" s="212">
        <f>'Pro-Forma BS'!O25</f>
        <v>159669334.42113438</v>
      </c>
    </row>
    <row r="58" spans="1:11" ht="14">
      <c r="A58" s="205" t="str">
        <f>'Pro-Forma BS'!A26</f>
        <v>LT Debt &amp; Leases</v>
      </c>
      <c r="B58" s="211">
        <f>'Pro-Forma BS'!B26</f>
        <v>2236000</v>
      </c>
      <c r="C58" s="211">
        <f>'Pro-Forma BS'!C26</f>
        <v>3228000</v>
      </c>
      <c r="D58" s="211">
        <f>'Pro-Forma BS'!D26</f>
        <v>1995000</v>
      </c>
      <c r="E58" s="211">
        <f>'Pro-Forma BS'!E26</f>
        <v>3935000</v>
      </c>
      <c r="F58" s="211">
        <f>'Pro-Forma BS'!F26</f>
        <v>3969000</v>
      </c>
      <c r="G58" s="211">
        <f>'Pro-Forma BS'!I26</f>
        <v>3969000</v>
      </c>
      <c r="H58" s="211">
        <f>'Pro-Forma BS'!L26</f>
        <v>3969000</v>
      </c>
      <c r="I58" s="211">
        <f>'Pro-Forma BS'!O26</f>
        <v>3969000</v>
      </c>
    </row>
    <row r="59" spans="1:11" ht="14">
      <c r="A59" s="205" t="str">
        <f>'Pro-Forma BS'!A27</f>
        <v>Deferred LT Liabilities</v>
      </c>
      <c r="B59" s="211">
        <f>'Pro-Forma BS'!B27</f>
        <v>2086000</v>
      </c>
      <c r="C59" s="211">
        <f>'Pro-Forma BS'!C27</f>
        <v>2075000</v>
      </c>
      <c r="D59" s="211">
        <f>'Pro-Forma BS'!D27</f>
        <v>340000</v>
      </c>
      <c r="E59" s="211">
        <f>'Pro-Forma BS'!E27</f>
        <v>428000</v>
      </c>
      <c r="F59" s="211">
        <f>'Pro-Forma BS'!F27</f>
        <v>770000</v>
      </c>
      <c r="G59" s="211">
        <f>'Pro-Forma BS'!I27</f>
        <v>770000</v>
      </c>
      <c r="H59" s="211">
        <f>'Pro-Forma BS'!L27</f>
        <v>770000</v>
      </c>
      <c r="I59" s="211">
        <f>'Pro-Forma BS'!O27</f>
        <v>770000</v>
      </c>
    </row>
    <row r="60" spans="1:11" ht="14">
      <c r="A60" s="205" t="str">
        <f>'Pro-Forma BS'!A28</f>
        <v>Minority Interests</v>
      </c>
      <c r="B60" s="211">
        <f>'Pro-Forma BS'!B28</f>
        <v>0</v>
      </c>
      <c r="C60" s="211">
        <f>'Pro-Forma BS'!C28</f>
        <v>0</v>
      </c>
      <c r="D60" s="211">
        <f>'Pro-Forma BS'!D28</f>
        <v>0</v>
      </c>
      <c r="E60" s="211">
        <f>'Pro-Forma BS'!E28</f>
        <v>0</v>
      </c>
      <c r="F60" s="211">
        <f>'Pro-Forma BS'!F28</f>
        <v>0</v>
      </c>
      <c r="G60" s="211">
        <f>'Pro-Forma BS'!I28</f>
        <v>0</v>
      </c>
      <c r="H60" s="211">
        <f>'Pro-Forma BS'!L28</f>
        <v>0</v>
      </c>
      <c r="I60" s="211">
        <f>'Pro-Forma BS'!O28</f>
        <v>0</v>
      </c>
    </row>
    <row r="61" spans="1:11" ht="14">
      <c r="A61" s="205" t="str">
        <f>'Pro-Forma BS'!A29</f>
        <v>Other Liabilities</v>
      </c>
      <c r="B61" s="211">
        <f>'Pro-Forma BS'!B29</f>
        <v>3381000</v>
      </c>
      <c r="C61" s="211">
        <f>'Pro-Forma BS'!C29</f>
        <v>4525000</v>
      </c>
      <c r="D61" s="211">
        <f>'Pro-Forma BS'!D29</f>
        <v>5485000</v>
      </c>
      <c r="E61" s="211">
        <f>'Pro-Forma BS'!E29</f>
        <v>7342000</v>
      </c>
      <c r="F61" s="211">
        <f>'Pro-Forma BS'!F29</f>
        <v>15871000</v>
      </c>
      <c r="G61" s="211">
        <f>'Pro-Forma BS'!I29</f>
        <v>15871000</v>
      </c>
      <c r="H61" s="211">
        <f>'Pro-Forma BS'!L29</f>
        <v>15871000</v>
      </c>
      <c r="I61" s="211">
        <f>'Pro-Forma BS'!O29</f>
        <v>15871000</v>
      </c>
    </row>
    <row r="62" spans="1:11" ht="14">
      <c r="A62" s="200" t="str">
        <f>'Pro-Forma BS'!A30</f>
        <v>Total Liabilities</v>
      </c>
      <c r="B62" s="212">
        <f>'Pro-Forma BS'!B30</f>
        <v>23611000</v>
      </c>
      <c r="C62" s="212">
        <f>'Pro-Forma BS'!C30</f>
        <v>26633000</v>
      </c>
      <c r="D62" s="212">
        <f>'Pro-Forma BS'!D30</f>
        <v>27130000</v>
      </c>
      <c r="E62" s="212">
        <f>'Pro-Forma BS'!E30</f>
        <v>28461000</v>
      </c>
      <c r="F62" s="212">
        <f>'Pro-Forma BS'!F30</f>
        <v>44793000</v>
      </c>
      <c r="G62" s="212">
        <f>'Pro-Forma BS'!I30</f>
        <v>91799617.17361927</v>
      </c>
      <c r="H62" s="212">
        <f>'Pro-Forma BS'!L30</f>
        <v>132614926.86162069</v>
      </c>
      <c r="I62" s="212">
        <f>'Pro-Forma BS'!O30</f>
        <v>180279334.42113438</v>
      </c>
    </row>
    <row r="63" spans="1:11" ht="14">
      <c r="A63" s="205" t="str">
        <f>'Pro-Forma BS'!A31</f>
        <v>Retained Earnings</v>
      </c>
      <c r="B63" s="211">
        <f>'Pro-Forma BS'!B31</f>
        <v>61262000</v>
      </c>
      <c r="C63" s="211">
        <f>'Pro-Forma BS'!C31</f>
        <v>75706000</v>
      </c>
      <c r="D63" s="211">
        <f>'Pro-Forma BS'!D31</f>
        <v>89223000</v>
      </c>
      <c r="E63" s="211">
        <f>'Pro-Forma BS'!E31</f>
        <v>105131000</v>
      </c>
      <c r="F63" s="211">
        <f>'Pro-Forma BS'!F31</f>
        <v>113247000</v>
      </c>
      <c r="G63" s="211">
        <f>'Pro-Forma BS'!I31</f>
        <v>113427230.93098229</v>
      </c>
      <c r="H63" s="211">
        <f>'Pro-Forma BS'!L31</f>
        <v>113637705.88792464</v>
      </c>
      <c r="I63" s="211">
        <f>'Pro-Forma BS'!O31</f>
        <v>113883500.03246155</v>
      </c>
    </row>
    <row r="64" spans="1:11" ht="14">
      <c r="A64" s="205" t="str">
        <f>'Pro-Forma BS'!A32</f>
        <v>Accum Other Comprehensive Income</v>
      </c>
      <c r="B64" s="211">
        <f>'Pro-Forma BS'!B32</f>
        <v>125000</v>
      </c>
      <c r="C64" s="211">
        <f>'Pro-Forma BS'!C32</f>
        <v>27000</v>
      </c>
      <c r="D64" s="211">
        <f>'Pro-Forma BS'!D32</f>
        <v>-1874000</v>
      </c>
      <c r="E64" s="211">
        <f>'Pro-Forma BS'!E32</f>
        <v>-2402000</v>
      </c>
      <c r="F64" s="211">
        <f>'Pro-Forma BS'!F32</f>
        <v>-992000</v>
      </c>
      <c r="G64" s="211">
        <f>'Pro-Forma BS'!I32</f>
        <v>-992000</v>
      </c>
      <c r="H64" s="211">
        <f>'Pro-Forma BS'!L32</f>
        <v>-992000</v>
      </c>
      <c r="I64" s="211">
        <f>'Pro-Forma BS'!O32</f>
        <v>-992000</v>
      </c>
    </row>
    <row r="65" spans="1:9" ht="14">
      <c r="A65" s="205" t="str">
        <f>'Pro-Forma BS'!A33</f>
        <v>For Curr Trans (BS)</v>
      </c>
      <c r="B65" s="211">
        <f>'Pro-Forma BS'!B33</f>
        <v>16000</v>
      </c>
      <c r="C65" s="211">
        <f>'Pro-Forma BS'!C33</f>
        <v>-980000</v>
      </c>
      <c r="D65" s="211">
        <f>'Pro-Forma BS'!D33</f>
        <v>-2047000</v>
      </c>
      <c r="E65" s="211">
        <f>'Pro-Forma BS'!E33</f>
        <v>-2646000</v>
      </c>
      <c r="F65" s="211">
        <f>'Pro-Forma BS'!F33</f>
        <v>-1103000</v>
      </c>
      <c r="G65" s="211">
        <f>'Pro-Forma BS'!I33</f>
        <v>-1103000</v>
      </c>
      <c r="H65" s="211">
        <f>'Pro-Forma BS'!L33</f>
        <v>-1103000</v>
      </c>
      <c r="I65" s="211">
        <f>'Pro-Forma BS'!O33</f>
        <v>-1103000</v>
      </c>
    </row>
    <row r="66" spans="1:9" ht="14">
      <c r="A66" s="205" t="str">
        <f>'Pro-Forma BS'!A34</f>
        <v>Other Equity</v>
      </c>
      <c r="B66" s="211">
        <f>'Pro-Forma BS'!B34</f>
        <v>25906000</v>
      </c>
      <c r="C66" s="211">
        <f>'Pro-Forma BS'!C34</f>
        <v>29747000</v>
      </c>
      <c r="D66" s="211">
        <f>'Pro-Forma BS'!D34</f>
        <v>35029000</v>
      </c>
      <c r="E66" s="211">
        <f>'Pro-Forma BS'!E34</f>
        <v>38953000</v>
      </c>
      <c r="F66" s="211">
        <f>'Pro-Forma BS'!F34</f>
        <v>41350000</v>
      </c>
      <c r="G66" s="211">
        <f>'Pro-Forma BS'!I34</f>
        <v>41350000</v>
      </c>
      <c r="H66" s="211">
        <f>'Pro-Forma BS'!L34</f>
        <v>41350000</v>
      </c>
      <c r="I66" s="211">
        <f>'Pro-Forma BS'!O34</f>
        <v>41350000</v>
      </c>
    </row>
    <row r="67" spans="1:9" ht="14">
      <c r="A67" s="203" t="str">
        <f>'Pro-Forma BS'!A35</f>
        <v>Total Equity</v>
      </c>
      <c r="B67" s="212">
        <f>'Pro-Forma BS'!B35</f>
        <v>87309000</v>
      </c>
      <c r="C67" s="212">
        <f>'Pro-Forma BS'!C35</f>
        <v>104500000</v>
      </c>
      <c r="D67" s="212">
        <f>'Pro-Forma BS'!D35</f>
        <v>120331000</v>
      </c>
      <c r="E67" s="212">
        <f>'Pro-Forma BS'!E35</f>
        <v>139036000</v>
      </c>
      <c r="F67" s="212">
        <f>'Pro-Forma BS'!F35</f>
        <v>152502000</v>
      </c>
      <c r="G67" s="212">
        <f>'Pro-Forma BS'!I35</f>
        <v>152682230.93098229</v>
      </c>
      <c r="H67" s="212">
        <f>'Pro-Forma BS'!L35</f>
        <v>152892705.88792464</v>
      </c>
      <c r="I67" s="212">
        <f>'Pro-Forma BS'!O35</f>
        <v>153138500.03246155</v>
      </c>
    </row>
    <row r="68" spans="1:9" ht="15" thickBot="1">
      <c r="A68" s="208" t="str">
        <f>'Pro-Forma BS'!A36</f>
        <v>Total Liabilities &amp; Equity</v>
      </c>
      <c r="B68" s="213">
        <f>'Pro-Forma BS'!B36</f>
        <v>110920000</v>
      </c>
      <c r="C68" s="213">
        <f>'Pro-Forma BS'!C36</f>
        <v>131133000</v>
      </c>
      <c r="D68" s="213">
        <f>'Pro-Forma BS'!D36</f>
        <v>147461000</v>
      </c>
      <c r="E68" s="213">
        <f>'Pro-Forma BS'!E36</f>
        <v>167497000</v>
      </c>
      <c r="F68" s="213">
        <f>'Pro-Forma BS'!F36</f>
        <v>197295000</v>
      </c>
      <c r="G68" s="213">
        <f>'Pro-Forma BS'!I36</f>
        <v>244481848.10460156</v>
      </c>
      <c r="H68" s="213">
        <f>'Pro-Forma BS'!L36</f>
        <v>285507632.74954534</v>
      </c>
      <c r="I68" s="213">
        <f>'Pro-Forma BS'!O36</f>
        <v>333417834.45359594</v>
      </c>
    </row>
    <row r="69" spans="1:9" ht="14" thickTop="1"/>
  </sheetData>
  <mergeCells count="8">
    <mergeCell ref="A34:F34"/>
    <mergeCell ref="G33:I33"/>
    <mergeCell ref="G34:I34"/>
    <mergeCell ref="A1:F1"/>
    <mergeCell ref="A2:F2"/>
    <mergeCell ref="G1:I1"/>
    <mergeCell ref="G2:I2"/>
    <mergeCell ref="A33:F33"/>
  </mergeCells>
  <pageMargins left="0.7" right="0.7" top="0.75" bottom="0.75" header="0.3" footer="0.3"/>
  <pageSetup orientation="portrait" r:id="rId1"/>
  <drawing r:id="rId2"/>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59999389629810485"/>
    <outlinePr summaryBelow="0"/>
  </sheetPr>
  <dimension ref="B1:H18"/>
  <sheetViews>
    <sheetView showGridLines="0" workbookViewId="0">
      <selection activeCell="L35" sqref="L35"/>
    </sheetView>
  </sheetViews>
  <sheetFormatPr baseColWidth="10" defaultColWidth="8.83203125" defaultRowHeight="13" outlineLevelRow="1" outlineLevelCol="1"/>
  <cols>
    <col min="3" max="3" width="13.6640625" customWidth="1"/>
    <col min="4" max="8" width="17.5" bestFit="1" customWidth="1" outlineLevel="1"/>
  </cols>
  <sheetData>
    <row r="1" spans="2:8" ht="14" thickBot="1"/>
    <row r="2" spans="2:8" ht="14">
      <c r="B2" s="272" t="s">
        <v>248</v>
      </c>
      <c r="C2" s="272"/>
      <c r="D2" s="277"/>
      <c r="E2" s="277"/>
      <c r="F2" s="277"/>
      <c r="G2" s="277"/>
      <c r="H2" s="277"/>
    </row>
    <row r="3" spans="2:8" ht="14" collapsed="1">
      <c r="B3" s="271"/>
      <c r="C3" s="271"/>
      <c r="D3" s="278" t="s">
        <v>250</v>
      </c>
      <c r="E3" s="278" t="s">
        <v>246</v>
      </c>
      <c r="F3" s="278" t="s">
        <v>258</v>
      </c>
      <c r="G3" s="278" t="s">
        <v>259</v>
      </c>
      <c r="H3" s="278" t="s">
        <v>261</v>
      </c>
    </row>
    <row r="4" spans="2:8" ht="48" hidden="1" outlineLevel="1">
      <c r="B4" s="274"/>
      <c r="C4" s="274"/>
      <c r="D4" s="140"/>
      <c r="E4" s="279" t="s">
        <v>247</v>
      </c>
      <c r="F4" s="279" t="s">
        <v>247</v>
      </c>
      <c r="G4" s="279" t="s">
        <v>260</v>
      </c>
      <c r="H4" s="279" t="s">
        <v>247</v>
      </c>
    </row>
    <row r="5" spans="2:8">
      <c r="B5" s="275" t="s">
        <v>249</v>
      </c>
      <c r="C5" s="275"/>
      <c r="D5" s="273"/>
      <c r="E5" s="273"/>
      <c r="F5" s="273"/>
      <c r="G5" s="273"/>
      <c r="H5" s="273"/>
    </row>
    <row r="6" spans="2:8" outlineLevel="1">
      <c r="B6" s="274"/>
      <c r="C6" s="274" t="s">
        <v>91</v>
      </c>
      <c r="D6" s="280">
        <v>0.16780707837005099</v>
      </c>
      <c r="E6" s="281">
        <v>0.1032</v>
      </c>
      <c r="F6" s="281">
        <v>0.22800000000000001</v>
      </c>
      <c r="G6" s="280">
        <v>0.16780707837005099</v>
      </c>
      <c r="H6" s="280">
        <v>0.16780707837005099</v>
      </c>
    </row>
    <row r="7" spans="2:8" outlineLevel="1">
      <c r="B7" s="274"/>
      <c r="C7" s="274" t="s">
        <v>264</v>
      </c>
      <c r="D7" s="282">
        <v>1</v>
      </c>
      <c r="E7" s="282">
        <v>1</v>
      </c>
      <c r="F7" s="282">
        <v>1</v>
      </c>
      <c r="G7" s="283">
        <v>1.1000000000000001</v>
      </c>
      <c r="H7" s="283">
        <v>0.5</v>
      </c>
    </row>
    <row r="8" spans="2:8" outlineLevel="1">
      <c r="B8" s="274"/>
      <c r="C8" s="274" t="s">
        <v>262</v>
      </c>
      <c r="D8" s="282">
        <v>0.39949894617917298</v>
      </c>
      <c r="E8" s="282">
        <v>0.39949894617917298</v>
      </c>
      <c r="F8" s="282">
        <v>0.39949894617917298</v>
      </c>
      <c r="G8" s="283">
        <v>0.2</v>
      </c>
      <c r="H8" s="283">
        <v>0.6</v>
      </c>
    </row>
    <row r="9" spans="2:8" outlineLevel="1">
      <c r="B9" s="274"/>
      <c r="C9" s="274" t="s">
        <v>263</v>
      </c>
      <c r="D9" s="282">
        <v>6.3099163953509604E-2</v>
      </c>
      <c r="E9" s="282">
        <v>6.3099163953509604E-2</v>
      </c>
      <c r="F9" s="282">
        <v>6.3099163953509604E-2</v>
      </c>
      <c r="G9" s="283">
        <v>5.3999999999999999E-2</v>
      </c>
      <c r="H9" s="283">
        <v>6.6000000000000003E-2</v>
      </c>
    </row>
    <row r="10" spans="2:8">
      <c r="B10" s="275" t="s">
        <v>251</v>
      </c>
      <c r="C10" s="275"/>
      <c r="D10" s="273"/>
      <c r="E10" s="273"/>
      <c r="F10" s="273"/>
      <c r="G10" s="273"/>
      <c r="H10" s="273"/>
    </row>
    <row r="11" spans="2:8" outlineLevel="1">
      <c r="B11" s="274"/>
      <c r="C11" s="274" t="s">
        <v>256</v>
      </c>
      <c r="D11" s="268" t="s">
        <v>257</v>
      </c>
      <c r="E11" s="268" t="s">
        <v>257</v>
      </c>
      <c r="F11" s="268" t="s">
        <v>257</v>
      </c>
      <c r="G11" s="268" t="s">
        <v>257</v>
      </c>
      <c r="H11" s="268" t="s">
        <v>257</v>
      </c>
    </row>
    <row r="12" spans="2:8" outlineLevel="1">
      <c r="B12" s="274"/>
      <c r="C12" s="274">
        <v>2013</v>
      </c>
      <c r="D12" s="269">
        <v>17.9491089631547</v>
      </c>
      <c r="E12" s="269">
        <v>15.1009304657754</v>
      </c>
      <c r="F12" s="269">
        <v>21.6915578018946</v>
      </c>
      <c r="G12" s="269">
        <v>19.3087866622446</v>
      </c>
      <c r="H12" s="269">
        <v>17.5455309984854</v>
      </c>
    </row>
    <row r="13" spans="2:8" outlineLevel="1">
      <c r="B13" s="274"/>
      <c r="C13" s="274">
        <v>2014</v>
      </c>
      <c r="D13" s="269">
        <v>106.534545683716</v>
      </c>
      <c r="E13" s="269">
        <v>94.0681298178975</v>
      </c>
      <c r="F13" s="269">
        <v>122.915626166004</v>
      </c>
      <c r="G13" s="269">
        <v>112.473561159496</v>
      </c>
      <c r="H13" s="269">
        <v>104.771754603147</v>
      </c>
    </row>
    <row r="14" spans="2:8" outlineLevel="1">
      <c r="B14" s="274"/>
      <c r="C14" s="274">
        <v>2015</v>
      </c>
      <c r="D14" s="269">
        <v>-23.991596170504401</v>
      </c>
      <c r="E14" s="269">
        <v>-21.310852610849</v>
      </c>
      <c r="F14" s="269">
        <v>-27.514059045672099</v>
      </c>
      <c r="G14" s="269">
        <v>-25.269526367908998</v>
      </c>
      <c r="H14" s="269">
        <v>-23.6122669382951</v>
      </c>
    </row>
    <row r="15" spans="2:8" ht="14" outlineLevel="1" thickBot="1">
      <c r="B15" s="276"/>
      <c r="C15" s="276">
        <v>2016</v>
      </c>
      <c r="D15" s="270">
        <v>-57.955892928819303</v>
      </c>
      <c r="E15" s="270">
        <v>-52.365388541900899</v>
      </c>
      <c r="F15" s="270">
        <v>-65.301919944035305</v>
      </c>
      <c r="G15" s="270">
        <v>-60.619111823500802</v>
      </c>
      <c r="H15" s="270">
        <v>-57.165411150056102</v>
      </c>
    </row>
    <row r="16" spans="2:8">
      <c r="B16" t="s">
        <v>252</v>
      </c>
    </row>
    <row r="17" spans="2:2">
      <c r="B17" t="s">
        <v>253</v>
      </c>
    </row>
    <row r="18" spans="2:2">
      <c r="B18" t="s">
        <v>254</v>
      </c>
    </row>
  </sheetData>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 of Contents</vt:lpstr>
      <vt:lpstr>Assumptions</vt:lpstr>
      <vt:lpstr>Income Statement</vt:lpstr>
      <vt:lpstr>Pro-Forma IS</vt:lpstr>
      <vt:lpstr>Balance Sheet</vt:lpstr>
      <vt:lpstr>Pro-Forma BS</vt:lpstr>
      <vt:lpstr>Statement of Cash Flows</vt:lpstr>
      <vt:lpstr>Ratio Analysis </vt:lpstr>
      <vt:lpstr>Individual Research</vt:lpstr>
      <vt:lpstr>Company Research Analysis</vt:lpstr>
      <vt:lpstr>Financial &amp; Capital Structure</vt:lpstr>
      <vt:lpstr>Equity Research &amp; Stock Risks</vt:lpstr>
      <vt:lpstr>Regression &amp; Candlestick</vt:lpstr>
      <vt:lpstr>Correlation Table</vt:lpstr>
      <vt:lpstr>Cash Flow Analysis &amp; WACC</vt:lpstr>
      <vt:lpstr>Scenario Summary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Zavala Castillo, Jose R</dc:creator>
  <cp:lastModifiedBy>Jose Zavala</cp:lastModifiedBy>
  <dcterms:created xsi:type="dcterms:W3CDTF">2018-10-16T06:18:47Z</dcterms:created>
  <dcterms:modified xsi:type="dcterms:W3CDTF">2021-03-13T21:42:12Z</dcterms:modified>
</cp:coreProperties>
</file>