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showInkAnnotation="0"/>
  <xr:revisionPtr revIDLastSave="0" documentId="8_{CD26848F-76C9-4B8F-AC7C-BCCB1A4CA81F}" xr6:coauthVersionLast="47" xr6:coauthVersionMax="47" xr10:uidLastSave="{00000000-0000-0000-0000-000000000000}"/>
  <bookViews>
    <workbookView xWindow="-120" yWindow="-120" windowWidth="20730" windowHeight="11160" tabRatio="856" firstSheet="1" activeTab="2" xr2:uid="{00000000-000D-0000-FFFF-FFFF00000000}"/>
  </bookViews>
  <sheets>
    <sheet name="Hoja1" sheetId="25" state="hidden" r:id="rId1"/>
    <sheet name="Costos UPM- Freddy" sheetId="43" r:id="rId2"/>
    <sheet name="Desocupados ECE JAS 2022" sheetId="27" r:id="rId3"/>
    <sheet name="Pobreza extrema ENAHO 2022 " sheetId="34" r:id="rId4"/>
    <sheet name="Variación del p muestra fija" sheetId="37" r:id="rId5"/>
    <sheet name="Distribución TM y amplitud IC" sheetId="3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7" l="1"/>
  <c r="AD5" i="27"/>
  <c r="L5" i="34"/>
  <c r="H7" i="27"/>
  <c r="H9" i="34"/>
  <c r="H6" i="34"/>
  <c r="Q5" i="27"/>
  <c r="T6" i="27"/>
  <c r="V5" i="34"/>
  <c r="Y5" i="34"/>
  <c r="O9" i="34"/>
  <c r="Q9" i="34" s="1"/>
  <c r="O5" i="34"/>
  <c r="Y6" i="34"/>
  <c r="Y7" i="34"/>
  <c r="Y8" i="34"/>
  <c r="W8" i="34"/>
  <c r="O7" i="34"/>
  <c r="Q7" i="34"/>
  <c r="R6" i="34"/>
  <c r="X8" i="34"/>
  <c r="W6" i="34"/>
  <c r="X6" i="34"/>
  <c r="Q5" i="34"/>
  <c r="R5" i="34" s="1"/>
  <c r="H23" i="34"/>
  <c r="O23" i="34"/>
  <c r="W23" i="34"/>
  <c r="X23" i="34"/>
  <c r="H3" i="34"/>
  <c r="J3" i="34" s="1"/>
  <c r="P5" i="34"/>
  <c r="N5" i="34"/>
  <c r="G7" i="32"/>
  <c r="AB36" i="32"/>
  <c r="AA36" i="32"/>
  <c r="AB4" i="32"/>
  <c r="AA4" i="32"/>
  <c r="H34" i="37"/>
  <c r="AG46" i="34"/>
  <c r="AG18" i="34"/>
  <c r="AG6" i="34"/>
  <c r="AG5" i="34"/>
  <c r="AF111" i="34"/>
  <c r="AF98" i="34"/>
  <c r="AF85" i="34"/>
  <c r="AF72" i="34"/>
  <c r="AF59" i="34"/>
  <c r="AF46" i="34"/>
  <c r="AF31" i="34"/>
  <c r="AF18" i="34"/>
  <c r="AF5" i="34"/>
  <c r="AK110" i="27"/>
  <c r="AK97" i="27"/>
  <c r="AK84" i="27"/>
  <c r="AK71" i="27"/>
  <c r="AK58" i="27"/>
  <c r="AL45" i="27"/>
  <c r="AK45" i="27"/>
  <c r="AL31" i="27"/>
  <c r="AK31" i="27"/>
  <c r="AL18" i="27"/>
  <c r="AK18" i="27"/>
  <c r="AL5" i="27"/>
  <c r="AK5" i="27"/>
  <c r="G8" i="32" l="1"/>
  <c r="G4" i="32" s="1"/>
  <c r="AA39" i="32"/>
  <c r="AB39" i="32"/>
  <c r="AA40" i="32"/>
  <c r="AB40" i="32"/>
  <c r="AA43" i="32"/>
  <c r="AB43" i="32"/>
  <c r="AA44" i="32"/>
  <c r="AB44" i="32"/>
  <c r="AA45" i="32"/>
  <c r="AB45" i="32"/>
  <c r="AA46" i="32"/>
  <c r="AB46" i="32"/>
  <c r="AA47" i="32"/>
  <c r="AB47" i="32"/>
  <c r="AA48" i="32"/>
  <c r="AB48" i="32"/>
  <c r="AA7" i="32"/>
  <c r="AA8" i="32"/>
  <c r="AA10" i="32"/>
  <c r="AA11" i="32"/>
  <c r="AA12" i="32"/>
  <c r="AA13" i="32"/>
  <c r="AA14" i="32"/>
  <c r="AA15" i="32"/>
  <c r="AB7" i="32"/>
  <c r="AB8" i="32"/>
  <c r="AB10" i="32"/>
  <c r="AB11" i="32"/>
  <c r="AB12" i="32"/>
  <c r="AB13" i="32"/>
  <c r="AB14" i="32"/>
  <c r="AB15" i="32"/>
  <c r="C38" i="32" l="1"/>
  <c r="C42" i="32"/>
  <c r="C10" i="32"/>
  <c r="L71" i="27"/>
  <c r="AL71" i="27" s="1"/>
  <c r="G12" i="32" l="1"/>
  <c r="G13" i="32"/>
  <c r="G14" i="32"/>
  <c r="G15" i="32"/>
  <c r="G11" i="32"/>
  <c r="G16" i="32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3" i="37"/>
  <c r="H3" i="37" s="1"/>
  <c r="I3" i="37" s="1"/>
  <c r="H29" i="37"/>
  <c r="H42" i="37"/>
  <c r="H44" i="37"/>
  <c r="I44" i="37" s="1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29" i="37"/>
  <c r="H46" i="37"/>
  <c r="K46" i="37" s="1"/>
  <c r="H45" i="37"/>
  <c r="H43" i="37"/>
  <c r="H41" i="37"/>
  <c r="H40" i="37"/>
  <c r="H39" i="37"/>
  <c r="K39" i="37" s="1"/>
  <c r="H38" i="37"/>
  <c r="H37" i="37"/>
  <c r="H36" i="37"/>
  <c r="H35" i="37"/>
  <c r="H33" i="37"/>
  <c r="H32" i="37"/>
  <c r="H31" i="37"/>
  <c r="H30" i="37"/>
  <c r="K31" i="37" l="1"/>
  <c r="I31" i="37"/>
  <c r="J39" i="37"/>
  <c r="J32" i="37"/>
  <c r="I32" i="37"/>
  <c r="K32" i="37"/>
  <c r="K34" i="37"/>
  <c r="J34" i="37"/>
  <c r="I34" i="37"/>
  <c r="K41" i="37"/>
  <c r="J41" i="37"/>
  <c r="I41" i="37"/>
  <c r="I42" i="37"/>
  <c r="K42" i="37"/>
  <c r="J42" i="37"/>
  <c r="K40" i="37"/>
  <c r="J40" i="37"/>
  <c r="I40" i="37"/>
  <c r="K35" i="37"/>
  <c r="J35" i="37"/>
  <c r="I35" i="37"/>
  <c r="J29" i="37"/>
  <c r="I29" i="37"/>
  <c r="K29" i="37"/>
  <c r="K36" i="37"/>
  <c r="J36" i="37"/>
  <c r="I36" i="37"/>
  <c r="K30" i="37"/>
  <c r="J30" i="37"/>
  <c r="I30" i="37"/>
  <c r="I37" i="37"/>
  <c r="K37" i="37"/>
  <c r="J37" i="37"/>
  <c r="K38" i="37"/>
  <c r="J38" i="37"/>
  <c r="I38" i="37"/>
  <c r="K43" i="37"/>
  <c r="J43" i="37"/>
  <c r="I43" i="37"/>
  <c r="K45" i="37"/>
  <c r="J45" i="37"/>
  <c r="I45" i="37"/>
  <c r="K33" i="37"/>
  <c r="J33" i="37"/>
  <c r="I33" i="37"/>
  <c r="I39" i="37"/>
  <c r="J31" i="37"/>
  <c r="J44" i="37"/>
  <c r="K44" i="37"/>
  <c r="I46" i="37"/>
  <c r="J46" i="37"/>
  <c r="T3" i="37"/>
  <c r="V3" i="37" s="1"/>
  <c r="T7" i="37"/>
  <c r="W7" i="37" s="1"/>
  <c r="T9" i="37"/>
  <c r="T11" i="37"/>
  <c r="T12" i="37"/>
  <c r="T13" i="37"/>
  <c r="T15" i="37"/>
  <c r="W15" i="37" s="1"/>
  <c r="T16" i="37"/>
  <c r="W16" i="37" s="1"/>
  <c r="T18" i="37"/>
  <c r="T19" i="37"/>
  <c r="T20" i="37"/>
  <c r="W20" i="37" s="1"/>
  <c r="T4" i="37"/>
  <c r="W4" i="37" s="1"/>
  <c r="T6" i="37"/>
  <c r="T14" i="37"/>
  <c r="T8" i="37"/>
  <c r="W8" i="37" s="1"/>
  <c r="T17" i="37"/>
  <c r="T10" i="37"/>
  <c r="T5" i="37"/>
  <c r="H6" i="37"/>
  <c r="I6" i="37" s="1"/>
  <c r="H13" i="37"/>
  <c r="K13" i="37" s="1"/>
  <c r="H14" i="37"/>
  <c r="I14" i="37" s="1"/>
  <c r="H17" i="37"/>
  <c r="J17" i="37" s="1"/>
  <c r="H18" i="37"/>
  <c r="K18" i="37" s="1"/>
  <c r="H19" i="37"/>
  <c r="K19" i="37" s="1"/>
  <c r="I19" i="37"/>
  <c r="H20" i="37"/>
  <c r="H16" i="37"/>
  <c r="H15" i="37"/>
  <c r="H12" i="37"/>
  <c r="H11" i="37"/>
  <c r="H10" i="37"/>
  <c r="H9" i="37"/>
  <c r="H8" i="37"/>
  <c r="H7" i="37"/>
  <c r="H5" i="37"/>
  <c r="H4" i="37"/>
  <c r="K3" i="37"/>
  <c r="J6" i="37" l="1"/>
  <c r="J9" i="37"/>
  <c r="I9" i="37"/>
  <c r="K9" i="37"/>
  <c r="J16" i="37"/>
  <c r="I16" i="37"/>
  <c r="K16" i="37"/>
  <c r="I10" i="37"/>
  <c r="K10" i="37"/>
  <c r="J10" i="37"/>
  <c r="K20" i="37"/>
  <c r="J20" i="37"/>
  <c r="I20" i="37"/>
  <c r="I7" i="37"/>
  <c r="K7" i="37"/>
  <c r="J7" i="37"/>
  <c r="K15" i="37"/>
  <c r="I15" i="37"/>
  <c r="J15" i="37"/>
  <c r="I8" i="37"/>
  <c r="K8" i="37"/>
  <c r="J8" i="37"/>
  <c r="K11" i="37"/>
  <c r="J11" i="37"/>
  <c r="I11" i="37"/>
  <c r="I4" i="37"/>
  <c r="K4" i="37"/>
  <c r="J4" i="37"/>
  <c r="K12" i="37"/>
  <c r="J12" i="37"/>
  <c r="I12" i="37"/>
  <c r="I5" i="37"/>
  <c r="K5" i="37"/>
  <c r="J5" i="37"/>
  <c r="K17" i="37"/>
  <c r="I17" i="37"/>
  <c r="I13" i="37"/>
  <c r="J13" i="37"/>
  <c r="K14" i="37"/>
  <c r="K6" i="37"/>
  <c r="J14" i="37"/>
  <c r="J19" i="37"/>
  <c r="J18" i="37"/>
  <c r="I18" i="37"/>
  <c r="J3" i="37"/>
  <c r="W3" i="37"/>
  <c r="U3" i="37"/>
  <c r="U14" i="37"/>
  <c r="W14" i="37"/>
  <c r="V14" i="37"/>
  <c r="W11" i="37"/>
  <c r="U11" i="37"/>
  <c r="V6" i="37"/>
  <c r="U6" i="37"/>
  <c r="W6" i="37"/>
  <c r="W19" i="37"/>
  <c r="U19" i="37"/>
  <c r="W13" i="37"/>
  <c r="V13" i="37"/>
  <c r="U13" i="37"/>
  <c r="W18" i="37"/>
  <c r="V18" i="37"/>
  <c r="U18" i="37"/>
  <c r="V9" i="37"/>
  <c r="U9" i="37"/>
  <c r="W9" i="37"/>
  <c r="W10" i="37"/>
  <c r="V10" i="37"/>
  <c r="U10" i="37"/>
  <c r="W5" i="37"/>
  <c r="V5" i="37"/>
  <c r="U5" i="37"/>
  <c r="V17" i="37"/>
  <c r="U17" i="37"/>
  <c r="W17" i="37"/>
  <c r="V4" i="37"/>
  <c r="U4" i="37"/>
  <c r="W12" i="37"/>
  <c r="V12" i="37"/>
  <c r="U12" i="37"/>
  <c r="V19" i="37"/>
  <c r="U8" i="37"/>
  <c r="V11" i="37"/>
  <c r="U16" i="37"/>
  <c r="V8" i="37"/>
  <c r="V16" i="37"/>
  <c r="U7" i="37"/>
  <c r="U15" i="37"/>
  <c r="V7" i="37"/>
  <c r="V15" i="37"/>
  <c r="U20" i="37"/>
  <c r="V20" i="37"/>
  <c r="U112" i="34" l="1"/>
  <c r="U113" i="34" s="1"/>
  <c r="U114" i="34" s="1"/>
  <c r="U115" i="34" s="1"/>
  <c r="U116" i="34" s="1"/>
  <c r="U117" i="34" s="1"/>
  <c r="U118" i="34" s="1"/>
  <c r="U119" i="34" s="1"/>
  <c r="U120" i="34" s="1"/>
  <c r="U121" i="34" s="1"/>
  <c r="U122" i="34" s="1"/>
  <c r="T112" i="34"/>
  <c r="T113" i="34" s="1"/>
  <c r="J112" i="34"/>
  <c r="J113" i="34" s="1"/>
  <c r="J114" i="34" s="1"/>
  <c r="J115" i="34" s="1"/>
  <c r="J116" i="34" s="1"/>
  <c r="J117" i="34" s="1"/>
  <c r="J118" i="34" s="1"/>
  <c r="J119" i="34" s="1"/>
  <c r="J120" i="34" s="1"/>
  <c r="J121" i="34" s="1"/>
  <c r="J122" i="34" s="1"/>
  <c r="I112" i="34"/>
  <c r="I113" i="34" s="1"/>
  <c r="G112" i="34"/>
  <c r="F112" i="34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E112" i="34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D112" i="34"/>
  <c r="C112" i="34"/>
  <c r="C113" i="34" s="1"/>
  <c r="C114" i="34" s="1"/>
  <c r="Y111" i="34"/>
  <c r="H120" i="34" s="1"/>
  <c r="AF120" i="34" s="1"/>
  <c r="V111" i="34"/>
  <c r="AC111" i="34" s="1"/>
  <c r="L111" i="34"/>
  <c r="M111" i="34" s="1"/>
  <c r="N111" i="34" s="1"/>
  <c r="O111" i="34" s="1"/>
  <c r="U99" i="34"/>
  <c r="T99" i="34"/>
  <c r="T100" i="34" s="1"/>
  <c r="T101" i="34" s="1"/>
  <c r="J99" i="34"/>
  <c r="J100" i="34" s="1"/>
  <c r="J101" i="34" s="1"/>
  <c r="J102" i="34" s="1"/>
  <c r="J103" i="34" s="1"/>
  <c r="J104" i="34" s="1"/>
  <c r="J105" i="34" s="1"/>
  <c r="J106" i="34" s="1"/>
  <c r="J107" i="34" s="1"/>
  <c r="J108" i="34" s="1"/>
  <c r="J109" i="34" s="1"/>
  <c r="I99" i="34"/>
  <c r="G99" i="34"/>
  <c r="F99" i="34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E99" i="34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D99" i="34"/>
  <c r="C99" i="34"/>
  <c r="C100" i="34" s="1"/>
  <c r="Y98" i="34"/>
  <c r="H101" i="34" s="1"/>
  <c r="AF101" i="34" s="1"/>
  <c r="V98" i="34"/>
  <c r="AC98" i="34" s="1"/>
  <c r="L98" i="34"/>
  <c r="M98" i="34" s="1"/>
  <c r="U86" i="34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T86" i="34"/>
  <c r="T87" i="34" s="1"/>
  <c r="J86" i="34"/>
  <c r="J87" i="34" s="1"/>
  <c r="J88" i="34" s="1"/>
  <c r="J89" i="34" s="1"/>
  <c r="J90" i="34" s="1"/>
  <c r="J91" i="34" s="1"/>
  <c r="J92" i="34" s="1"/>
  <c r="J93" i="34" s="1"/>
  <c r="J94" i="34" s="1"/>
  <c r="J95" i="34" s="1"/>
  <c r="J96" i="34" s="1"/>
  <c r="I86" i="34"/>
  <c r="G86" i="34"/>
  <c r="F86" i="34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E86" i="34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D86" i="34"/>
  <c r="C86" i="34"/>
  <c r="Y85" i="34"/>
  <c r="H89" i="34" s="1"/>
  <c r="AF89" i="34" s="1"/>
  <c r="V85" i="34"/>
  <c r="AC85" i="34" s="1"/>
  <c r="L85" i="34"/>
  <c r="M85" i="34" s="1"/>
  <c r="N85" i="34" s="1"/>
  <c r="O85" i="34" s="1"/>
  <c r="U73" i="34"/>
  <c r="T73" i="34"/>
  <c r="T74" i="34" s="1"/>
  <c r="J73" i="34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I73" i="34"/>
  <c r="I74" i="34" s="1"/>
  <c r="I75" i="34" s="1"/>
  <c r="G73" i="34"/>
  <c r="F73" i="34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E73" i="34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D73" i="34"/>
  <c r="C73" i="34"/>
  <c r="C74" i="34" s="1"/>
  <c r="Y72" i="34"/>
  <c r="H80" i="34" s="1"/>
  <c r="AF80" i="34" s="1"/>
  <c r="V72" i="34"/>
  <c r="AC72" i="34" s="1"/>
  <c r="L72" i="34"/>
  <c r="M72" i="34" s="1"/>
  <c r="N72" i="34" s="1"/>
  <c r="O72" i="34" s="1"/>
  <c r="U60" i="34"/>
  <c r="T60" i="34"/>
  <c r="T61" i="34" s="1"/>
  <c r="J60" i="34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I60" i="34"/>
  <c r="I61" i="34" s="1"/>
  <c r="G60" i="34"/>
  <c r="F60" i="34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E60" i="34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D60" i="34"/>
  <c r="C60" i="34"/>
  <c r="C61" i="34" s="1"/>
  <c r="C62" i="34" s="1"/>
  <c r="Y59" i="34"/>
  <c r="H65" i="34" s="1"/>
  <c r="AF65" i="34" s="1"/>
  <c r="V59" i="34"/>
  <c r="AC59" i="34" s="1"/>
  <c r="L59" i="34"/>
  <c r="M59" i="34" s="1"/>
  <c r="N59" i="34" s="1"/>
  <c r="O59" i="34" s="1"/>
  <c r="K59" i="34"/>
  <c r="AG59" i="34" s="1"/>
  <c r="U47" i="34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T47" i="34"/>
  <c r="K47" i="34"/>
  <c r="AG47" i="34" s="1"/>
  <c r="J47" i="34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I47" i="34"/>
  <c r="G47" i="34"/>
  <c r="F47" i="34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E47" i="34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D47" i="34"/>
  <c r="D48" i="34" s="1"/>
  <c r="C47" i="34"/>
  <c r="Y46" i="34"/>
  <c r="H50" i="34" s="1"/>
  <c r="AF50" i="34" s="1"/>
  <c r="V46" i="34"/>
  <c r="AC46" i="34" s="1"/>
  <c r="P46" i="34"/>
  <c r="L46" i="34"/>
  <c r="M46" i="34" s="1"/>
  <c r="N46" i="34" s="1"/>
  <c r="O46" i="34" s="1"/>
  <c r="U32" i="34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T32" i="34"/>
  <c r="T33" i="34" s="1"/>
  <c r="T34" i="34" s="1"/>
  <c r="J32" i="34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I32" i="34"/>
  <c r="G32" i="34"/>
  <c r="F32" i="34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E32" i="34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D32" i="34"/>
  <c r="C32" i="34"/>
  <c r="Y31" i="34"/>
  <c r="H42" i="34" s="1"/>
  <c r="AF42" i="34" s="1"/>
  <c r="V31" i="34"/>
  <c r="AC31" i="34" s="1"/>
  <c r="L31" i="34"/>
  <c r="K31" i="34"/>
  <c r="AG31" i="34" s="1"/>
  <c r="U19" i="34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T19" i="34"/>
  <c r="T20" i="34" s="1"/>
  <c r="T21" i="34" s="1"/>
  <c r="T22" i="34" s="1"/>
  <c r="K19" i="34"/>
  <c r="J19" i="34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I19" i="34"/>
  <c r="I20" i="34" s="1"/>
  <c r="I21" i="34" s="1"/>
  <c r="G19" i="34"/>
  <c r="F19" i="34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E19" i="34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D19" i="34"/>
  <c r="C19" i="34"/>
  <c r="Y18" i="34"/>
  <c r="H27" i="34" s="1"/>
  <c r="V18" i="34"/>
  <c r="AC18" i="34" s="1"/>
  <c r="P18" i="34"/>
  <c r="L18" i="34"/>
  <c r="U6" i="34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T6" i="34"/>
  <c r="J6" i="34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I6" i="34"/>
  <c r="I7" i="34" s="1"/>
  <c r="I8" i="34" s="1"/>
  <c r="G6" i="34"/>
  <c r="F6" i="34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E6" i="34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D6" i="34"/>
  <c r="D7" i="34" s="1"/>
  <c r="C6" i="34"/>
  <c r="H16" i="34"/>
  <c r="AF16" i="34" s="1"/>
  <c r="AC5" i="34"/>
  <c r="K20" i="34" l="1"/>
  <c r="AG19" i="34"/>
  <c r="H87" i="34"/>
  <c r="AF87" i="34" s="1"/>
  <c r="V60" i="34"/>
  <c r="AC60" i="34" s="1"/>
  <c r="L113" i="34"/>
  <c r="M113" i="34" s="1"/>
  <c r="N113" i="34" s="1"/>
  <c r="O113" i="34" s="1"/>
  <c r="G87" i="34"/>
  <c r="AF27" i="34"/>
  <c r="L19" i="34"/>
  <c r="M19" i="34" s="1"/>
  <c r="G74" i="34"/>
  <c r="N98" i="34"/>
  <c r="O98" i="34" s="1"/>
  <c r="H77" i="34"/>
  <c r="AF77" i="34" s="1"/>
  <c r="H79" i="34"/>
  <c r="AF79" i="34" s="1"/>
  <c r="V19" i="34"/>
  <c r="AC19" i="34" s="1"/>
  <c r="V32" i="34"/>
  <c r="AC32" i="34" s="1"/>
  <c r="M5" i="34"/>
  <c r="W5" i="34" s="1"/>
  <c r="H41" i="34"/>
  <c r="AF41" i="34" s="1"/>
  <c r="H21" i="34"/>
  <c r="G33" i="34"/>
  <c r="H117" i="34"/>
  <c r="AF117" i="34" s="1"/>
  <c r="D87" i="34"/>
  <c r="AF6" i="34"/>
  <c r="H8" i="34"/>
  <c r="AF8" i="34" s="1"/>
  <c r="H19" i="34"/>
  <c r="L60" i="34"/>
  <c r="M60" i="34" s="1"/>
  <c r="N60" i="34" s="1"/>
  <c r="L73" i="34"/>
  <c r="M73" i="34" s="1"/>
  <c r="G113" i="34"/>
  <c r="C20" i="34"/>
  <c r="C21" i="34" s="1"/>
  <c r="C22" i="34" s="1"/>
  <c r="C23" i="34" s="1"/>
  <c r="C24" i="34" s="1"/>
  <c r="G20" i="34"/>
  <c r="H22" i="34"/>
  <c r="H39" i="34"/>
  <c r="AF39" i="34" s="1"/>
  <c r="H55" i="34"/>
  <c r="AF55" i="34" s="1"/>
  <c r="L99" i="34"/>
  <c r="M99" i="34" s="1"/>
  <c r="N99" i="34" s="1"/>
  <c r="G7" i="34"/>
  <c r="AF9" i="34"/>
  <c r="H57" i="34"/>
  <c r="AF57" i="34" s="1"/>
  <c r="D61" i="34"/>
  <c r="D74" i="34"/>
  <c r="D100" i="34"/>
  <c r="H115" i="34"/>
  <c r="AF115" i="34" s="1"/>
  <c r="D8" i="34"/>
  <c r="D33" i="34"/>
  <c r="D49" i="34"/>
  <c r="D20" i="34"/>
  <c r="V22" i="34"/>
  <c r="AC22" i="34" s="1"/>
  <c r="H25" i="34"/>
  <c r="H33" i="34"/>
  <c r="AF33" i="34" s="1"/>
  <c r="G48" i="34"/>
  <c r="G61" i="34"/>
  <c r="V86" i="34"/>
  <c r="AC86" i="34" s="1"/>
  <c r="G100" i="34"/>
  <c r="D113" i="34"/>
  <c r="P31" i="34"/>
  <c r="Q46" i="34"/>
  <c r="R46" i="34" s="1"/>
  <c r="W46" i="34" s="1"/>
  <c r="AD46" i="34" s="1"/>
  <c r="P19" i="34"/>
  <c r="K32" i="34"/>
  <c r="I9" i="34"/>
  <c r="M18" i="34"/>
  <c r="N18" i="34" s="1"/>
  <c r="O18" i="34" s="1"/>
  <c r="Q18" i="34" s="1"/>
  <c r="R18" i="34" s="1"/>
  <c r="W18" i="34" s="1"/>
  <c r="V21" i="34"/>
  <c r="AC21" i="34" s="1"/>
  <c r="I22" i="34"/>
  <c r="H14" i="34"/>
  <c r="AF14" i="34" s="1"/>
  <c r="H12" i="34"/>
  <c r="AF12" i="34" s="1"/>
  <c r="H15" i="34"/>
  <c r="AF15" i="34" s="1"/>
  <c r="H7" i="34"/>
  <c r="AF7" i="34" s="1"/>
  <c r="H10" i="34"/>
  <c r="AF10" i="34" s="1"/>
  <c r="H13" i="34"/>
  <c r="AF13" i="34" s="1"/>
  <c r="T7" i="34"/>
  <c r="V6" i="34"/>
  <c r="AC6" i="34" s="1"/>
  <c r="K7" i="34"/>
  <c r="AG7" i="34" s="1"/>
  <c r="P6" i="34"/>
  <c r="C7" i="34"/>
  <c r="L6" i="34"/>
  <c r="H11" i="34"/>
  <c r="AF11" i="34" s="1"/>
  <c r="T23" i="34"/>
  <c r="H28" i="34"/>
  <c r="H29" i="34"/>
  <c r="H24" i="34"/>
  <c r="T35" i="34"/>
  <c r="V34" i="34"/>
  <c r="AC34" i="34" s="1"/>
  <c r="V20" i="34"/>
  <c r="AC20" i="34" s="1"/>
  <c r="K48" i="34"/>
  <c r="AG48" i="34" s="1"/>
  <c r="P47" i="34"/>
  <c r="T62" i="34"/>
  <c r="I48" i="34"/>
  <c r="U74" i="34"/>
  <c r="U75" i="34" s="1"/>
  <c r="U76" i="34" s="1"/>
  <c r="U77" i="34" s="1"/>
  <c r="U78" i="34" s="1"/>
  <c r="U79" i="34" s="1"/>
  <c r="U80" i="34" s="1"/>
  <c r="U81" i="34" s="1"/>
  <c r="U82" i="34" s="1"/>
  <c r="U83" i="34" s="1"/>
  <c r="V73" i="34"/>
  <c r="AC73" i="34" s="1"/>
  <c r="H26" i="34"/>
  <c r="C48" i="34"/>
  <c r="L47" i="34"/>
  <c r="K60" i="34"/>
  <c r="AG60" i="34" s="1"/>
  <c r="K72" i="34"/>
  <c r="AG72" i="34" s="1"/>
  <c r="P59" i="34"/>
  <c r="Q59" i="34" s="1"/>
  <c r="R59" i="34" s="1"/>
  <c r="W59" i="34" s="1"/>
  <c r="AD59" i="34" s="1"/>
  <c r="C33" i="34"/>
  <c r="L32" i="34"/>
  <c r="T48" i="34"/>
  <c r="V47" i="34"/>
  <c r="AC47" i="34" s="1"/>
  <c r="H20" i="34"/>
  <c r="V33" i="34"/>
  <c r="AC33" i="34" s="1"/>
  <c r="H36" i="34"/>
  <c r="AF36" i="34" s="1"/>
  <c r="H49" i="34"/>
  <c r="AF49" i="34" s="1"/>
  <c r="H52" i="34"/>
  <c r="AF52" i="34" s="1"/>
  <c r="I87" i="34"/>
  <c r="I33" i="34"/>
  <c r="H38" i="34"/>
  <c r="AF38" i="34" s="1"/>
  <c r="H54" i="34"/>
  <c r="AF54" i="34" s="1"/>
  <c r="I62" i="34"/>
  <c r="L62" i="34" s="1"/>
  <c r="I76" i="34"/>
  <c r="T88" i="34"/>
  <c r="V87" i="34"/>
  <c r="AC87" i="34" s="1"/>
  <c r="H35" i="34"/>
  <c r="AF35" i="34" s="1"/>
  <c r="H48" i="34"/>
  <c r="AF48" i="34" s="1"/>
  <c r="H51" i="34"/>
  <c r="AF51" i="34" s="1"/>
  <c r="C87" i="34"/>
  <c r="L86" i="34"/>
  <c r="H106" i="34"/>
  <c r="AF106" i="34" s="1"/>
  <c r="H104" i="34"/>
  <c r="AF104" i="34" s="1"/>
  <c r="H107" i="34"/>
  <c r="AF107" i="34" s="1"/>
  <c r="H99" i="34"/>
  <c r="AF99" i="34" s="1"/>
  <c r="H102" i="34"/>
  <c r="AF102" i="34" s="1"/>
  <c r="H105" i="34"/>
  <c r="AF105" i="34" s="1"/>
  <c r="H108" i="34"/>
  <c r="AF108" i="34" s="1"/>
  <c r="H100" i="34"/>
  <c r="AF100" i="34" s="1"/>
  <c r="H103" i="34"/>
  <c r="AF103" i="34" s="1"/>
  <c r="H109" i="34"/>
  <c r="AF109" i="34" s="1"/>
  <c r="H32" i="34"/>
  <c r="AF32" i="34" s="1"/>
  <c r="H40" i="34"/>
  <c r="AF40" i="34" s="1"/>
  <c r="H56" i="34"/>
  <c r="AF56" i="34" s="1"/>
  <c r="H66" i="34"/>
  <c r="AF66" i="34" s="1"/>
  <c r="H69" i="34"/>
  <c r="AF69" i="34" s="1"/>
  <c r="H61" i="34"/>
  <c r="AF61" i="34" s="1"/>
  <c r="H64" i="34"/>
  <c r="AF64" i="34" s="1"/>
  <c r="H67" i="34"/>
  <c r="AF67" i="34" s="1"/>
  <c r="H70" i="34"/>
  <c r="AF70" i="34" s="1"/>
  <c r="H62" i="34"/>
  <c r="AF62" i="34" s="1"/>
  <c r="H68" i="34"/>
  <c r="AF68" i="34" s="1"/>
  <c r="H60" i="34"/>
  <c r="AF60" i="34" s="1"/>
  <c r="L61" i="34"/>
  <c r="T102" i="34"/>
  <c r="M31" i="34"/>
  <c r="N31" i="34" s="1"/>
  <c r="O31" i="34" s="1"/>
  <c r="Q31" i="34" s="1"/>
  <c r="R31" i="34" s="1"/>
  <c r="W31" i="34" s="1"/>
  <c r="H37" i="34"/>
  <c r="AF37" i="34" s="1"/>
  <c r="H53" i="34"/>
  <c r="AF53" i="34" s="1"/>
  <c r="C63" i="34"/>
  <c r="H63" i="34"/>
  <c r="AF63" i="34" s="1"/>
  <c r="L74" i="34"/>
  <c r="C75" i="34"/>
  <c r="N73" i="34"/>
  <c r="H34" i="34"/>
  <c r="AF34" i="34" s="1"/>
  <c r="H47" i="34"/>
  <c r="AF47" i="34" s="1"/>
  <c r="U61" i="34"/>
  <c r="U62" i="34" s="1"/>
  <c r="U63" i="34" s="1"/>
  <c r="U64" i="34" s="1"/>
  <c r="U65" i="34" s="1"/>
  <c r="U66" i="34" s="1"/>
  <c r="U67" i="34" s="1"/>
  <c r="U68" i="34" s="1"/>
  <c r="U69" i="34" s="1"/>
  <c r="U70" i="34" s="1"/>
  <c r="T75" i="34"/>
  <c r="H74" i="34"/>
  <c r="AF74" i="34" s="1"/>
  <c r="H82" i="34"/>
  <c r="AF82" i="34" s="1"/>
  <c r="H92" i="34"/>
  <c r="AF92" i="34" s="1"/>
  <c r="H93" i="34"/>
  <c r="AF93" i="34" s="1"/>
  <c r="H96" i="34"/>
  <c r="AF96" i="34" s="1"/>
  <c r="H88" i="34"/>
  <c r="AF88" i="34" s="1"/>
  <c r="H91" i="34"/>
  <c r="AF91" i="34" s="1"/>
  <c r="H94" i="34"/>
  <c r="AF94" i="34" s="1"/>
  <c r="C101" i="34"/>
  <c r="H76" i="34"/>
  <c r="AF76" i="34" s="1"/>
  <c r="U100" i="34"/>
  <c r="V99" i="34"/>
  <c r="AC99" i="34" s="1"/>
  <c r="I114" i="34"/>
  <c r="L114" i="34" s="1"/>
  <c r="H73" i="34"/>
  <c r="AF73" i="34" s="1"/>
  <c r="H81" i="34"/>
  <c r="AF81" i="34" s="1"/>
  <c r="H90" i="34"/>
  <c r="AF90" i="34" s="1"/>
  <c r="H78" i="34"/>
  <c r="AF78" i="34" s="1"/>
  <c r="H75" i="34"/>
  <c r="AF75" i="34" s="1"/>
  <c r="H83" i="34"/>
  <c r="AF83" i="34" s="1"/>
  <c r="C115" i="34"/>
  <c r="H86" i="34"/>
  <c r="AF86" i="34" s="1"/>
  <c r="H95" i="34"/>
  <c r="AF95" i="34" s="1"/>
  <c r="T114" i="34"/>
  <c r="V113" i="34"/>
  <c r="AC113" i="34" s="1"/>
  <c r="H114" i="34"/>
  <c r="AF114" i="34" s="1"/>
  <c r="H122" i="34"/>
  <c r="AF122" i="34" s="1"/>
  <c r="I100" i="34"/>
  <c r="H119" i="34"/>
  <c r="AF119" i="34" s="1"/>
  <c r="L112" i="34"/>
  <c r="H116" i="34"/>
  <c r="AF116" i="34" s="1"/>
  <c r="V112" i="34"/>
  <c r="AC112" i="34" s="1"/>
  <c r="H113" i="34"/>
  <c r="AF113" i="34" s="1"/>
  <c r="H121" i="34"/>
  <c r="AF121" i="34" s="1"/>
  <c r="H118" i="34"/>
  <c r="AF118" i="34" s="1"/>
  <c r="H112" i="34"/>
  <c r="AF112" i="34" s="1"/>
  <c r="L58" i="27"/>
  <c r="AD5" i="34" l="1"/>
  <c r="X5" i="34"/>
  <c r="P32" i="34"/>
  <c r="AG32" i="34"/>
  <c r="L84" i="27"/>
  <c r="AL58" i="27"/>
  <c r="K21" i="34"/>
  <c r="P21" i="34" s="1"/>
  <c r="AG20" i="34"/>
  <c r="G75" i="34"/>
  <c r="G76" i="34" s="1"/>
  <c r="O99" i="34"/>
  <c r="G88" i="34"/>
  <c r="L20" i="34"/>
  <c r="P20" i="34"/>
  <c r="L21" i="34"/>
  <c r="M21" i="34" s="1"/>
  <c r="N21" i="34" s="1"/>
  <c r="O21" i="34" s="1"/>
  <c r="L22" i="34"/>
  <c r="M22" i="34" s="1"/>
  <c r="N22" i="34" s="1"/>
  <c r="O22" i="34" s="1"/>
  <c r="O73" i="34"/>
  <c r="X31" i="34"/>
  <c r="AE31" i="34" s="1"/>
  <c r="AD31" i="34"/>
  <c r="AF24" i="34"/>
  <c r="AF25" i="34"/>
  <c r="O60" i="34"/>
  <c r="AF29" i="34"/>
  <c r="AF21" i="34"/>
  <c r="X18" i="34"/>
  <c r="AE18" i="34" s="1"/>
  <c r="AD18" i="34"/>
  <c r="AF28" i="34"/>
  <c r="AF22" i="34"/>
  <c r="AF19" i="34"/>
  <c r="AF20" i="34"/>
  <c r="AF26" i="34"/>
  <c r="N19" i="34"/>
  <c r="O19" i="34" s="1"/>
  <c r="Q19" i="34" s="1"/>
  <c r="R19" i="34" s="1"/>
  <c r="W19" i="34" s="1"/>
  <c r="AD19" i="34" s="1"/>
  <c r="AF23" i="34"/>
  <c r="G101" i="34"/>
  <c r="D9" i="34"/>
  <c r="G8" i="34"/>
  <c r="D75" i="34"/>
  <c r="D21" i="34"/>
  <c r="G114" i="34"/>
  <c r="G62" i="34"/>
  <c r="D101" i="34"/>
  <c r="D62" i="34"/>
  <c r="D88" i="34"/>
  <c r="X59" i="34"/>
  <c r="AE59" i="34" s="1"/>
  <c r="X46" i="34"/>
  <c r="AE46" i="34" s="1"/>
  <c r="D50" i="34"/>
  <c r="G49" i="34"/>
  <c r="G21" i="34"/>
  <c r="D34" i="34"/>
  <c r="G34" i="34"/>
  <c r="D114" i="34"/>
  <c r="AE5" i="34"/>
  <c r="K33" i="34"/>
  <c r="C8" i="34"/>
  <c r="L7" i="34"/>
  <c r="M112" i="34"/>
  <c r="N112" i="34" s="1"/>
  <c r="O112" i="34" s="1"/>
  <c r="U101" i="34"/>
  <c r="V100" i="34"/>
  <c r="AC100" i="34" s="1"/>
  <c r="I77" i="34"/>
  <c r="K61" i="34"/>
  <c r="AG61" i="34" s="1"/>
  <c r="P60" i="34"/>
  <c r="I49" i="34"/>
  <c r="I101" i="34"/>
  <c r="L101" i="34" s="1"/>
  <c r="C102" i="34"/>
  <c r="C76" i="34"/>
  <c r="L75" i="34"/>
  <c r="C88" i="34"/>
  <c r="L87" i="34"/>
  <c r="I88" i="34"/>
  <c r="C49" i="34"/>
  <c r="L48" i="34"/>
  <c r="T36" i="34"/>
  <c r="V35" i="34"/>
  <c r="AC35" i="34" s="1"/>
  <c r="T24" i="34"/>
  <c r="V23" i="34"/>
  <c r="AC23" i="34" s="1"/>
  <c r="C25" i="34"/>
  <c r="M47" i="34"/>
  <c r="N47" i="34" s="1"/>
  <c r="O47" i="34" s="1"/>
  <c r="Q47" i="34" s="1"/>
  <c r="R47" i="34" s="1"/>
  <c r="W47" i="34" s="1"/>
  <c r="AD47" i="34" s="1"/>
  <c r="L100" i="34"/>
  <c r="M74" i="34"/>
  <c r="N74" i="34" s="1"/>
  <c r="O74" i="34" s="1"/>
  <c r="T103" i="34"/>
  <c r="I63" i="34"/>
  <c r="T49" i="34"/>
  <c r="V48" i="34"/>
  <c r="AC48" i="34" s="1"/>
  <c r="V61" i="34"/>
  <c r="AC61" i="34" s="1"/>
  <c r="M62" i="34"/>
  <c r="N62" i="34" s="1"/>
  <c r="O62" i="34" s="1"/>
  <c r="I34" i="34"/>
  <c r="C116" i="34"/>
  <c r="M114" i="34"/>
  <c r="N114" i="34" s="1"/>
  <c r="O114" i="34" s="1"/>
  <c r="T76" i="34"/>
  <c r="V75" i="34"/>
  <c r="AC75" i="34" s="1"/>
  <c r="M32" i="34"/>
  <c r="N32" i="34" s="1"/>
  <c r="O32" i="34" s="1"/>
  <c r="Q32" i="34" s="1"/>
  <c r="R32" i="34" s="1"/>
  <c r="W32" i="34" s="1"/>
  <c r="AD32" i="34" s="1"/>
  <c r="T63" i="34"/>
  <c r="V62" i="34"/>
  <c r="AC62" i="34" s="1"/>
  <c r="T89" i="34"/>
  <c r="V88" i="34"/>
  <c r="AC88" i="34" s="1"/>
  <c r="I115" i="34"/>
  <c r="V74" i="34"/>
  <c r="AC74" i="34" s="1"/>
  <c r="L33" i="34"/>
  <c r="C34" i="34"/>
  <c r="M20" i="34"/>
  <c r="N20" i="34" s="1"/>
  <c r="O20" i="34" s="1"/>
  <c r="T8" i="34"/>
  <c r="V7" i="34"/>
  <c r="AC7" i="34" s="1"/>
  <c r="I23" i="34"/>
  <c r="K73" i="34"/>
  <c r="AG73" i="34" s="1"/>
  <c r="K85" i="34"/>
  <c r="AG85" i="34" s="1"/>
  <c r="P72" i="34"/>
  <c r="Q72" i="34" s="1"/>
  <c r="R72" i="34" s="1"/>
  <c r="W72" i="34" s="1"/>
  <c r="AD72" i="34" s="1"/>
  <c r="M86" i="34"/>
  <c r="N86" i="34" s="1"/>
  <c r="O86" i="34" s="1"/>
  <c r="K8" i="34"/>
  <c r="AG8" i="34" s="1"/>
  <c r="P7" i="34"/>
  <c r="T115" i="34"/>
  <c r="V114" i="34"/>
  <c r="AC114" i="34" s="1"/>
  <c r="C64" i="34"/>
  <c r="M61" i="34"/>
  <c r="N61" i="34" s="1"/>
  <c r="O61" i="34" s="1"/>
  <c r="K49" i="34"/>
  <c r="AG49" i="34" s="1"/>
  <c r="P48" i="34"/>
  <c r="M6" i="34"/>
  <c r="N6" i="34" s="1"/>
  <c r="O6" i="34" s="1"/>
  <c r="Q6" i="34" s="1"/>
  <c r="AD6" i="34" s="1"/>
  <c r="I10" i="34"/>
  <c r="K34" i="34" l="1"/>
  <c r="AG34" i="34" s="1"/>
  <c r="AG33" i="34"/>
  <c r="L97" i="27"/>
  <c r="AL84" i="27"/>
  <c r="AG21" i="34"/>
  <c r="K22" i="34"/>
  <c r="Q21" i="34"/>
  <c r="R21" i="34" s="1"/>
  <c r="W21" i="34" s="1"/>
  <c r="AD21" i="34" s="1"/>
  <c r="Q20" i="34"/>
  <c r="R20" i="34" s="1"/>
  <c r="W20" i="34" s="1"/>
  <c r="AD20" i="34" s="1"/>
  <c r="Q60" i="34"/>
  <c r="R60" i="34" s="1"/>
  <c r="W60" i="34" s="1"/>
  <c r="AD60" i="34" s="1"/>
  <c r="G89" i="34"/>
  <c r="X72" i="34"/>
  <c r="AE72" i="34" s="1"/>
  <c r="D10" i="34"/>
  <c r="G35" i="34"/>
  <c r="G50" i="34"/>
  <c r="D102" i="34"/>
  <c r="D22" i="34"/>
  <c r="X47" i="34"/>
  <c r="AE47" i="34" s="1"/>
  <c r="D35" i="34"/>
  <c r="G63" i="34"/>
  <c r="D76" i="34"/>
  <c r="G22" i="34"/>
  <c r="G90" i="34"/>
  <c r="D89" i="34"/>
  <c r="G102" i="34"/>
  <c r="AE6" i="34"/>
  <c r="D115" i="34"/>
  <c r="G77" i="34"/>
  <c r="D51" i="34"/>
  <c r="D63" i="34"/>
  <c r="G115" i="34"/>
  <c r="G9" i="34"/>
  <c r="P33" i="34"/>
  <c r="X32" i="34"/>
  <c r="AE32" i="34" s="1"/>
  <c r="X19" i="34"/>
  <c r="AE19" i="34" s="1"/>
  <c r="K74" i="34"/>
  <c r="AG74" i="34" s="1"/>
  <c r="P73" i="34"/>
  <c r="Q73" i="34" s="1"/>
  <c r="R73" i="34" s="1"/>
  <c r="W73" i="34" s="1"/>
  <c r="AD73" i="34" s="1"/>
  <c r="T90" i="34"/>
  <c r="V89" i="34"/>
  <c r="AC89" i="34" s="1"/>
  <c r="I35" i="34"/>
  <c r="I24" i="34"/>
  <c r="L23" i="34"/>
  <c r="V63" i="34"/>
  <c r="AC63" i="34" s="1"/>
  <c r="T64" i="34"/>
  <c r="L49" i="34"/>
  <c r="C50" i="34"/>
  <c r="L102" i="34"/>
  <c r="C103" i="34"/>
  <c r="M7" i="34"/>
  <c r="N7" i="34" s="1"/>
  <c r="R7" i="34" s="1"/>
  <c r="W7" i="34" s="1"/>
  <c r="AD7" i="34" s="1"/>
  <c r="L88" i="34"/>
  <c r="C89" i="34"/>
  <c r="I11" i="34"/>
  <c r="M75" i="34"/>
  <c r="N75" i="34" s="1"/>
  <c r="O75" i="34" s="1"/>
  <c r="P8" i="34"/>
  <c r="K9" i="34"/>
  <c r="AG9" i="34" s="1"/>
  <c r="L76" i="34"/>
  <c r="C77" i="34"/>
  <c r="C65" i="34"/>
  <c r="I116" i="34"/>
  <c r="K35" i="34"/>
  <c r="AG35" i="34" s="1"/>
  <c r="P34" i="34"/>
  <c r="I64" i="34"/>
  <c r="L64" i="34" s="1"/>
  <c r="C26" i="34"/>
  <c r="M101" i="34"/>
  <c r="N101" i="34" s="1"/>
  <c r="O101" i="34" s="1"/>
  <c r="K62" i="34"/>
  <c r="AG62" i="34" s="1"/>
  <c r="P61" i="34"/>
  <c r="Q61" i="34" s="1"/>
  <c r="R61" i="34" s="1"/>
  <c r="W61" i="34" s="1"/>
  <c r="AD61" i="34" s="1"/>
  <c r="L8" i="34"/>
  <c r="C9" i="34"/>
  <c r="L63" i="34"/>
  <c r="V8" i="34"/>
  <c r="AC8" i="34" s="1"/>
  <c r="T9" i="34"/>
  <c r="U102" i="34"/>
  <c r="V101" i="34"/>
  <c r="AC101" i="34" s="1"/>
  <c r="M100" i="34"/>
  <c r="N100" i="34" s="1"/>
  <c r="O100" i="34" s="1"/>
  <c r="L116" i="34"/>
  <c r="C117" i="34"/>
  <c r="T104" i="34"/>
  <c r="I89" i="34"/>
  <c r="I102" i="34"/>
  <c r="I78" i="34"/>
  <c r="C35" i="34"/>
  <c r="L34" i="34"/>
  <c r="M33" i="34"/>
  <c r="N33" i="34" s="1"/>
  <c r="O33" i="34" s="1"/>
  <c r="T77" i="34"/>
  <c r="V76" i="34"/>
  <c r="AC76" i="34" s="1"/>
  <c r="V36" i="34"/>
  <c r="AC36" i="34" s="1"/>
  <c r="T37" i="34"/>
  <c r="I50" i="34"/>
  <c r="V49" i="34"/>
  <c r="AC49" i="34" s="1"/>
  <c r="T50" i="34"/>
  <c r="M48" i="34"/>
  <c r="N48" i="34" s="1"/>
  <c r="O48" i="34" s="1"/>
  <c r="Q48" i="34" s="1"/>
  <c r="R48" i="34" s="1"/>
  <c r="W48" i="34" s="1"/>
  <c r="AD48" i="34" s="1"/>
  <c r="P49" i="34"/>
  <c r="K50" i="34"/>
  <c r="AG50" i="34" s="1"/>
  <c r="V115" i="34"/>
  <c r="AC115" i="34" s="1"/>
  <c r="T116" i="34"/>
  <c r="K98" i="34"/>
  <c r="AG98" i="34" s="1"/>
  <c r="P85" i="34"/>
  <c r="Q85" i="34" s="1"/>
  <c r="R85" i="34" s="1"/>
  <c r="W85" i="34" s="1"/>
  <c r="AD85" i="34" s="1"/>
  <c r="K86" i="34"/>
  <c r="AG86" i="34" s="1"/>
  <c r="L115" i="34"/>
  <c r="T25" i="34"/>
  <c r="V24" i="34"/>
  <c r="AC24" i="34" s="1"/>
  <c r="M87" i="34"/>
  <c r="N87" i="34" s="1"/>
  <c r="O87" i="34" s="1"/>
  <c r="X20" i="34" l="1"/>
  <c r="AE20" i="34" s="1"/>
  <c r="L110" i="27"/>
  <c r="AL110" i="27" s="1"/>
  <c r="AL97" i="27"/>
  <c r="AG22" i="34"/>
  <c r="P22" i="34"/>
  <c r="Q22" i="34" s="1"/>
  <c r="R22" i="34" s="1"/>
  <c r="W22" i="34" s="1"/>
  <c r="AD22" i="34" s="1"/>
  <c r="K23" i="34"/>
  <c r="X21" i="34"/>
  <c r="AE21" i="34" s="1"/>
  <c r="Q33" i="34"/>
  <c r="R33" i="34" s="1"/>
  <c r="W33" i="34" s="1"/>
  <c r="AD33" i="34" s="1"/>
  <c r="X60" i="34"/>
  <c r="AE60" i="34" s="1"/>
  <c r="X7" i="34"/>
  <c r="AE7" i="34" s="1"/>
  <c r="X48" i="34"/>
  <c r="AE48" i="34" s="1"/>
  <c r="G10" i="34"/>
  <c r="G78" i="34"/>
  <c r="G103" i="34"/>
  <c r="G51" i="34"/>
  <c r="G116" i="34"/>
  <c r="D116" i="34"/>
  <c r="D90" i="34"/>
  <c r="D77" i="34"/>
  <c r="G36" i="34"/>
  <c r="X61" i="34"/>
  <c r="AE61" i="34" s="1"/>
  <c r="X73" i="34"/>
  <c r="AE73" i="34" s="1"/>
  <c r="D64" i="34"/>
  <c r="G91" i="34"/>
  <c r="G64" i="34"/>
  <c r="D23" i="34"/>
  <c r="D11" i="34"/>
  <c r="X85" i="34"/>
  <c r="AE85" i="34" s="1"/>
  <c r="D36" i="34"/>
  <c r="D52" i="34"/>
  <c r="G23" i="34"/>
  <c r="D103" i="34"/>
  <c r="M64" i="34"/>
  <c r="N64" i="34" s="1"/>
  <c r="O64" i="34" s="1"/>
  <c r="I51" i="34"/>
  <c r="M8" i="34"/>
  <c r="N8" i="34" s="1"/>
  <c r="O8" i="34" s="1"/>
  <c r="Q8" i="34" s="1"/>
  <c r="R8" i="34" s="1"/>
  <c r="AD8" i="34" s="1"/>
  <c r="I25" i="34"/>
  <c r="L24" i="34"/>
  <c r="K75" i="34"/>
  <c r="AG75" i="34" s="1"/>
  <c r="P74" i="34"/>
  <c r="Q74" i="34" s="1"/>
  <c r="R74" i="34" s="1"/>
  <c r="W74" i="34" s="1"/>
  <c r="AD74" i="34" s="1"/>
  <c r="M115" i="34"/>
  <c r="N115" i="34" s="1"/>
  <c r="O115" i="34" s="1"/>
  <c r="T38" i="34"/>
  <c r="V37" i="34"/>
  <c r="AC37" i="34" s="1"/>
  <c r="C36" i="34"/>
  <c r="L35" i="34"/>
  <c r="T105" i="34"/>
  <c r="U103" i="34"/>
  <c r="V102" i="34"/>
  <c r="AC102" i="34" s="1"/>
  <c r="K63" i="34"/>
  <c r="AG63" i="34" s="1"/>
  <c r="P62" i="34"/>
  <c r="Q62" i="34" s="1"/>
  <c r="R62" i="34" s="1"/>
  <c r="W62" i="34" s="1"/>
  <c r="AD62" i="34" s="1"/>
  <c r="L77" i="34"/>
  <c r="C78" i="34"/>
  <c r="M102" i="34"/>
  <c r="N102" i="34" s="1"/>
  <c r="O102" i="34" s="1"/>
  <c r="I65" i="34"/>
  <c r="L65" i="34" s="1"/>
  <c r="M34" i="34"/>
  <c r="N34" i="34" s="1"/>
  <c r="O34" i="34" s="1"/>
  <c r="Q34" i="34" s="1"/>
  <c r="R34" i="34" s="1"/>
  <c r="W34" i="34" s="1"/>
  <c r="AD34" i="34" s="1"/>
  <c r="I79" i="34"/>
  <c r="M76" i="34"/>
  <c r="N76" i="34" s="1"/>
  <c r="O76" i="34" s="1"/>
  <c r="I12" i="34"/>
  <c r="C51" i="34"/>
  <c r="L50" i="34"/>
  <c r="I36" i="34"/>
  <c r="L9" i="34"/>
  <c r="C10" i="34"/>
  <c r="K51" i="34"/>
  <c r="AG51" i="34" s="1"/>
  <c r="P50" i="34"/>
  <c r="P86" i="34"/>
  <c r="Q86" i="34" s="1"/>
  <c r="R86" i="34" s="1"/>
  <c r="W86" i="34" s="1"/>
  <c r="AD86" i="34" s="1"/>
  <c r="K87" i="34"/>
  <c r="AG87" i="34" s="1"/>
  <c r="C118" i="34"/>
  <c r="V9" i="34"/>
  <c r="AC9" i="34" s="1"/>
  <c r="T10" i="34"/>
  <c r="K36" i="34"/>
  <c r="AG36" i="34" s="1"/>
  <c r="P35" i="34"/>
  <c r="L89" i="34"/>
  <c r="C90" i="34"/>
  <c r="M49" i="34"/>
  <c r="N49" i="34" s="1"/>
  <c r="O49" i="34" s="1"/>
  <c r="Q49" i="34" s="1"/>
  <c r="R49" i="34" s="1"/>
  <c r="W49" i="34" s="1"/>
  <c r="AD49" i="34" s="1"/>
  <c r="T117" i="34"/>
  <c r="V116" i="34"/>
  <c r="AC116" i="34" s="1"/>
  <c r="I90" i="34"/>
  <c r="M23" i="34"/>
  <c r="N23" i="34" s="1"/>
  <c r="C66" i="34"/>
  <c r="T51" i="34"/>
  <c r="V50" i="34"/>
  <c r="AC50" i="34" s="1"/>
  <c r="V77" i="34"/>
  <c r="AC77" i="34" s="1"/>
  <c r="T78" i="34"/>
  <c r="I103" i="34"/>
  <c r="M116" i="34"/>
  <c r="N116" i="34" s="1"/>
  <c r="O116" i="34" s="1"/>
  <c r="C27" i="34"/>
  <c r="I117" i="34"/>
  <c r="L117" i="34" s="1"/>
  <c r="K10" i="34"/>
  <c r="AG10" i="34" s="1"/>
  <c r="P9" i="34"/>
  <c r="M88" i="34"/>
  <c r="N88" i="34" s="1"/>
  <c r="O88" i="34" s="1"/>
  <c r="T65" i="34"/>
  <c r="V64" i="34"/>
  <c r="AC64" i="34" s="1"/>
  <c r="V25" i="34"/>
  <c r="AC25" i="34" s="1"/>
  <c r="T26" i="34"/>
  <c r="C104" i="34"/>
  <c r="K99" i="34"/>
  <c r="AG99" i="34" s="1"/>
  <c r="P98" i="34"/>
  <c r="Q98" i="34" s="1"/>
  <c r="R98" i="34" s="1"/>
  <c r="W98" i="34" s="1"/>
  <c r="AD98" i="34" s="1"/>
  <c r="K111" i="34"/>
  <c r="AG111" i="34" s="1"/>
  <c r="M63" i="34"/>
  <c r="N63" i="34" s="1"/>
  <c r="O63" i="34" s="1"/>
  <c r="V90" i="34"/>
  <c r="AC90" i="34" s="1"/>
  <c r="T91" i="34"/>
  <c r="AG23" i="34" l="1"/>
  <c r="K24" i="34"/>
  <c r="P23" i="34"/>
  <c r="Q23" i="34"/>
  <c r="R23" i="34" s="1"/>
  <c r="AD23" i="34" s="1"/>
  <c r="X22" i="34"/>
  <c r="AE22" i="34" s="1"/>
  <c r="X33" i="34"/>
  <c r="AE33" i="34" s="1"/>
  <c r="X49" i="34"/>
  <c r="AE49" i="34" s="1"/>
  <c r="X62" i="34"/>
  <c r="AE62" i="34" s="1"/>
  <c r="D104" i="34"/>
  <c r="G65" i="34"/>
  <c r="D91" i="34"/>
  <c r="G52" i="34"/>
  <c r="X98" i="34"/>
  <c r="AE98" i="34" s="1"/>
  <c r="X74" i="34"/>
  <c r="AE74" i="34" s="1"/>
  <c r="G24" i="34"/>
  <c r="G92" i="34"/>
  <c r="D117" i="34"/>
  <c r="G104" i="34"/>
  <c r="D53" i="34"/>
  <c r="D12" i="34"/>
  <c r="D65" i="34"/>
  <c r="G37" i="34"/>
  <c r="G117" i="34"/>
  <c r="G79" i="34"/>
  <c r="X86" i="34"/>
  <c r="AE86" i="34" s="1"/>
  <c r="AE8" i="34"/>
  <c r="D37" i="34"/>
  <c r="D24" i="34"/>
  <c r="D78" i="34"/>
  <c r="G11" i="34"/>
  <c r="X34" i="34"/>
  <c r="AE34" i="34" s="1"/>
  <c r="AE23" i="34"/>
  <c r="M117" i="34"/>
  <c r="N117" i="34" s="1"/>
  <c r="O117" i="34" s="1"/>
  <c r="K64" i="34"/>
  <c r="AG64" i="34" s="1"/>
  <c r="P63" i="34"/>
  <c r="Q63" i="34" s="1"/>
  <c r="R63" i="34" s="1"/>
  <c r="W63" i="34" s="1"/>
  <c r="AD63" i="34" s="1"/>
  <c r="T39" i="34"/>
  <c r="V38" i="34"/>
  <c r="AC38" i="34" s="1"/>
  <c r="T27" i="34"/>
  <c r="V26" i="34"/>
  <c r="AC26" i="34" s="1"/>
  <c r="K11" i="34"/>
  <c r="AG11" i="34" s="1"/>
  <c r="P10" i="34"/>
  <c r="I118" i="34"/>
  <c r="M89" i="34"/>
  <c r="N89" i="34" s="1"/>
  <c r="O89" i="34" s="1"/>
  <c r="K88" i="34"/>
  <c r="AG88" i="34" s="1"/>
  <c r="P87" i="34"/>
  <c r="Q87" i="34" s="1"/>
  <c r="R87" i="34" s="1"/>
  <c r="W87" i="34" s="1"/>
  <c r="AD87" i="34" s="1"/>
  <c r="I37" i="34"/>
  <c r="I80" i="34"/>
  <c r="U104" i="34"/>
  <c r="V103" i="34"/>
  <c r="AC103" i="34" s="1"/>
  <c r="I52" i="34"/>
  <c r="P111" i="34"/>
  <c r="Q111" i="34" s="1"/>
  <c r="R111" i="34" s="1"/>
  <c r="W111" i="34" s="1"/>
  <c r="AD111" i="34" s="1"/>
  <c r="K112" i="34"/>
  <c r="AG112" i="34" s="1"/>
  <c r="T79" i="34"/>
  <c r="V78" i="34"/>
  <c r="AC78" i="34" s="1"/>
  <c r="I91" i="34"/>
  <c r="C79" i="34"/>
  <c r="L78" i="34"/>
  <c r="I104" i="34"/>
  <c r="L104" i="34" s="1"/>
  <c r="L90" i="34"/>
  <c r="C91" i="34"/>
  <c r="K37" i="34"/>
  <c r="AG37" i="34" s="1"/>
  <c r="P36" i="34"/>
  <c r="M50" i="34"/>
  <c r="N50" i="34" s="1"/>
  <c r="O50" i="34" s="1"/>
  <c r="Q50" i="34" s="1"/>
  <c r="R50" i="34" s="1"/>
  <c r="W50" i="34" s="1"/>
  <c r="AD50" i="34" s="1"/>
  <c r="M77" i="34"/>
  <c r="N77" i="34" s="1"/>
  <c r="O77" i="34" s="1"/>
  <c r="T106" i="34"/>
  <c r="K76" i="34"/>
  <c r="AG76" i="34" s="1"/>
  <c r="P75" i="34"/>
  <c r="Q75" i="34" s="1"/>
  <c r="R75" i="34" s="1"/>
  <c r="W75" i="34" s="1"/>
  <c r="AD75" i="34" s="1"/>
  <c r="M65" i="34"/>
  <c r="N65" i="34" s="1"/>
  <c r="O65" i="34" s="1"/>
  <c r="M9" i="34"/>
  <c r="N9" i="34" s="1"/>
  <c r="R9" i="34" s="1"/>
  <c r="W9" i="34" s="1"/>
  <c r="AD9" i="34" s="1"/>
  <c r="V91" i="34"/>
  <c r="AC91" i="34" s="1"/>
  <c r="T92" i="34"/>
  <c r="K100" i="34"/>
  <c r="AG100" i="34" s="1"/>
  <c r="P99" i="34"/>
  <c r="Q99" i="34" s="1"/>
  <c r="R99" i="34" s="1"/>
  <c r="W99" i="34" s="1"/>
  <c r="AD99" i="34" s="1"/>
  <c r="V65" i="34"/>
  <c r="AC65" i="34" s="1"/>
  <c r="T66" i="34"/>
  <c r="C28" i="34"/>
  <c r="T11" i="34"/>
  <c r="V10" i="34"/>
  <c r="AC10" i="34" s="1"/>
  <c r="K52" i="34"/>
  <c r="AG52" i="34" s="1"/>
  <c r="P51" i="34"/>
  <c r="C52" i="34"/>
  <c r="L51" i="34"/>
  <c r="M35" i="34"/>
  <c r="N35" i="34" s="1"/>
  <c r="O35" i="34" s="1"/>
  <c r="Q35" i="34" s="1"/>
  <c r="R35" i="34" s="1"/>
  <c r="W35" i="34" s="1"/>
  <c r="AD35" i="34" s="1"/>
  <c r="M24" i="34"/>
  <c r="N24" i="34" s="1"/>
  <c r="O24" i="34" s="1"/>
  <c r="C105" i="34"/>
  <c r="T52" i="34"/>
  <c r="V51" i="34"/>
  <c r="AC51" i="34" s="1"/>
  <c r="V117" i="34"/>
  <c r="AC117" i="34" s="1"/>
  <c r="T118" i="34"/>
  <c r="I13" i="34"/>
  <c r="L36" i="34"/>
  <c r="C37" i="34"/>
  <c r="I26" i="34"/>
  <c r="L25" i="34"/>
  <c r="L103" i="34"/>
  <c r="C67" i="34"/>
  <c r="C119" i="34"/>
  <c r="L118" i="34"/>
  <c r="L10" i="34"/>
  <c r="C11" i="34"/>
  <c r="I66" i="34"/>
  <c r="L66" i="34" s="1"/>
  <c r="Z111" i="27"/>
  <c r="Z112" i="27" s="1"/>
  <c r="Y111" i="27"/>
  <c r="Y112" i="27" s="1"/>
  <c r="Y113" i="27" s="1"/>
  <c r="V111" i="27"/>
  <c r="V112" i="27" s="1"/>
  <c r="V113" i="27" s="1"/>
  <c r="V114" i="27" s="1"/>
  <c r="V115" i="27" s="1"/>
  <c r="V116" i="27" s="1"/>
  <c r="V117" i="27" s="1"/>
  <c r="V118" i="27" s="1"/>
  <c r="V119" i="27" s="1"/>
  <c r="V120" i="27" s="1"/>
  <c r="V121" i="27" s="1"/>
  <c r="U111" i="27"/>
  <c r="U112" i="27" s="1"/>
  <c r="U113" i="27" s="1"/>
  <c r="U114" i="27" s="1"/>
  <c r="U115" i="27" s="1"/>
  <c r="U116" i="27" s="1"/>
  <c r="U117" i="27" s="1"/>
  <c r="U118" i="27" s="1"/>
  <c r="U119" i="27" s="1"/>
  <c r="U120" i="27" s="1"/>
  <c r="U121" i="27" s="1"/>
  <c r="T111" i="27"/>
  <c r="T112" i="27" s="1"/>
  <c r="T113" i="27" s="1"/>
  <c r="T114" i="27" s="1"/>
  <c r="T115" i="27" s="1"/>
  <c r="T116" i="27" s="1"/>
  <c r="T117" i="27" s="1"/>
  <c r="T118" i="27" s="1"/>
  <c r="T119" i="27" s="1"/>
  <c r="T120" i="27" s="1"/>
  <c r="T121" i="27" s="1"/>
  <c r="L111" i="27"/>
  <c r="J111" i="27"/>
  <c r="J112" i="27" s="1"/>
  <c r="J113" i="27" s="1"/>
  <c r="J114" i="27" s="1"/>
  <c r="J115" i="27" s="1"/>
  <c r="J116" i="27" s="1"/>
  <c r="J117" i="27" s="1"/>
  <c r="J118" i="27" s="1"/>
  <c r="J119" i="27" s="1"/>
  <c r="J120" i="27" s="1"/>
  <c r="J121" i="27" s="1"/>
  <c r="I111" i="27"/>
  <c r="I112" i="27" s="1"/>
  <c r="I113" i="27" s="1"/>
  <c r="G111" i="27"/>
  <c r="G112" i="27" s="1"/>
  <c r="G113" i="27" s="1"/>
  <c r="G114" i="27" s="1"/>
  <c r="G115" i="27" s="1"/>
  <c r="G116" i="27" s="1"/>
  <c r="G117" i="27" s="1"/>
  <c r="G118" i="27" s="1"/>
  <c r="G119" i="27" s="1"/>
  <c r="G120" i="27" s="1"/>
  <c r="G121" i="27" s="1"/>
  <c r="F111" i="27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E111" i="27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D111" i="27"/>
  <c r="D112" i="27" s="1"/>
  <c r="D113" i="27" s="1"/>
  <c r="D114" i="27" s="1"/>
  <c r="D115" i="27" s="1"/>
  <c r="D116" i="27" s="1"/>
  <c r="D117" i="27" s="1"/>
  <c r="D118" i="27" s="1"/>
  <c r="D119" i="27" s="1"/>
  <c r="D120" i="27" s="1"/>
  <c r="D121" i="27" s="1"/>
  <c r="C111" i="27"/>
  <c r="C112" i="27" s="1"/>
  <c r="AD110" i="27"/>
  <c r="AA110" i="27"/>
  <c r="AH110" i="27" s="1"/>
  <c r="Q110" i="27"/>
  <c r="M110" i="27"/>
  <c r="J99" i="27"/>
  <c r="J100" i="27" s="1"/>
  <c r="J101" i="27" s="1"/>
  <c r="J102" i="27" s="1"/>
  <c r="J103" i="27" s="1"/>
  <c r="J104" i="27" s="1"/>
  <c r="J105" i="27" s="1"/>
  <c r="J106" i="27" s="1"/>
  <c r="J107" i="27" s="1"/>
  <c r="J108" i="27" s="1"/>
  <c r="Z98" i="27"/>
  <c r="Z99" i="27" s="1"/>
  <c r="Z100" i="27" s="1"/>
  <c r="Z101" i="27" s="1"/>
  <c r="Z102" i="27" s="1"/>
  <c r="Z103" i="27" s="1"/>
  <c r="Z104" i="27" s="1"/>
  <c r="Z105" i="27" s="1"/>
  <c r="Z106" i="27" s="1"/>
  <c r="Z107" i="27" s="1"/>
  <c r="Z108" i="27" s="1"/>
  <c r="Y98" i="27"/>
  <c r="Y99" i="27" s="1"/>
  <c r="Y100" i="27" s="1"/>
  <c r="V98" i="27"/>
  <c r="V99" i="27" s="1"/>
  <c r="V100" i="27" s="1"/>
  <c r="V101" i="27" s="1"/>
  <c r="V102" i="27" s="1"/>
  <c r="V103" i="27" s="1"/>
  <c r="V104" i="27" s="1"/>
  <c r="V105" i="27" s="1"/>
  <c r="V106" i="27" s="1"/>
  <c r="V107" i="27" s="1"/>
  <c r="V108" i="27" s="1"/>
  <c r="U98" i="27"/>
  <c r="U99" i="27" s="1"/>
  <c r="U100" i="27" s="1"/>
  <c r="U101" i="27" s="1"/>
  <c r="U102" i="27" s="1"/>
  <c r="U103" i="27" s="1"/>
  <c r="U104" i="27" s="1"/>
  <c r="U105" i="27" s="1"/>
  <c r="U106" i="27" s="1"/>
  <c r="U107" i="27" s="1"/>
  <c r="U108" i="27" s="1"/>
  <c r="T98" i="27"/>
  <c r="T99" i="27" s="1"/>
  <c r="T100" i="27" s="1"/>
  <c r="T101" i="27" s="1"/>
  <c r="T102" i="27" s="1"/>
  <c r="T103" i="27" s="1"/>
  <c r="T104" i="27" s="1"/>
  <c r="T105" i="27" s="1"/>
  <c r="T106" i="27" s="1"/>
  <c r="T107" i="27" s="1"/>
  <c r="T108" i="27" s="1"/>
  <c r="L98" i="27"/>
  <c r="AL98" i="27" s="1"/>
  <c r="J98" i="27"/>
  <c r="I98" i="27"/>
  <c r="I99" i="27" s="1"/>
  <c r="G98" i="27"/>
  <c r="G99" i="27" s="1"/>
  <c r="G100" i="27" s="1"/>
  <c r="G101" i="27" s="1"/>
  <c r="G102" i="27" s="1"/>
  <c r="G103" i="27" s="1"/>
  <c r="G104" i="27" s="1"/>
  <c r="G105" i="27" s="1"/>
  <c r="G106" i="27" s="1"/>
  <c r="G107" i="27" s="1"/>
  <c r="G108" i="27" s="1"/>
  <c r="F98" i="27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E98" i="27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D98" i="27"/>
  <c r="D99" i="27" s="1"/>
  <c r="D100" i="27" s="1"/>
  <c r="D101" i="27" s="1"/>
  <c r="D102" i="27" s="1"/>
  <c r="D103" i="27" s="1"/>
  <c r="D104" i="27" s="1"/>
  <c r="D105" i="27" s="1"/>
  <c r="D106" i="27" s="1"/>
  <c r="D107" i="27" s="1"/>
  <c r="D108" i="27" s="1"/>
  <c r="C98" i="27"/>
  <c r="C99" i="27" s="1"/>
  <c r="C100" i="27" s="1"/>
  <c r="AD97" i="27"/>
  <c r="AA97" i="27"/>
  <c r="AH97" i="27" s="1"/>
  <c r="Q97" i="27"/>
  <c r="M97" i="27"/>
  <c r="N97" i="27" s="1"/>
  <c r="Z85" i="27"/>
  <c r="Z86" i="27" s="1"/>
  <c r="Z87" i="27" s="1"/>
  <c r="Z88" i="27" s="1"/>
  <c r="Z89" i="27" s="1"/>
  <c r="Z90" i="27" s="1"/>
  <c r="Z91" i="27" s="1"/>
  <c r="Z92" i="27" s="1"/>
  <c r="Z93" i="27" s="1"/>
  <c r="Z94" i="27" s="1"/>
  <c r="Z95" i="27" s="1"/>
  <c r="Y85" i="27"/>
  <c r="Y86" i="27" s="1"/>
  <c r="V85" i="27"/>
  <c r="V86" i="27" s="1"/>
  <c r="V87" i="27" s="1"/>
  <c r="V88" i="27" s="1"/>
  <c r="V89" i="27" s="1"/>
  <c r="V90" i="27" s="1"/>
  <c r="V91" i="27" s="1"/>
  <c r="V92" i="27" s="1"/>
  <c r="V93" i="27" s="1"/>
  <c r="V94" i="27" s="1"/>
  <c r="V95" i="27" s="1"/>
  <c r="U85" i="27"/>
  <c r="U86" i="27" s="1"/>
  <c r="U87" i="27" s="1"/>
  <c r="U88" i="27" s="1"/>
  <c r="U89" i="27" s="1"/>
  <c r="U90" i="27" s="1"/>
  <c r="U91" i="27" s="1"/>
  <c r="U92" i="27" s="1"/>
  <c r="U93" i="27" s="1"/>
  <c r="U94" i="27" s="1"/>
  <c r="U95" i="27" s="1"/>
  <c r="T85" i="27"/>
  <c r="T86" i="27" s="1"/>
  <c r="T87" i="27" s="1"/>
  <c r="T88" i="27" s="1"/>
  <c r="T89" i="27" s="1"/>
  <c r="T90" i="27" s="1"/>
  <c r="T91" i="27" s="1"/>
  <c r="T92" i="27" s="1"/>
  <c r="T93" i="27" s="1"/>
  <c r="T94" i="27" s="1"/>
  <c r="T95" i="27" s="1"/>
  <c r="L85" i="27"/>
  <c r="J85" i="27"/>
  <c r="J86" i="27" s="1"/>
  <c r="J87" i="27" s="1"/>
  <c r="J88" i="27" s="1"/>
  <c r="J89" i="27" s="1"/>
  <c r="J90" i="27" s="1"/>
  <c r="J91" i="27" s="1"/>
  <c r="J92" i="27" s="1"/>
  <c r="J93" i="27" s="1"/>
  <c r="J94" i="27" s="1"/>
  <c r="J95" i="27" s="1"/>
  <c r="I85" i="27"/>
  <c r="I86" i="27" s="1"/>
  <c r="I87" i="27" s="1"/>
  <c r="G85" i="27"/>
  <c r="G86" i="27" s="1"/>
  <c r="G87" i="27" s="1"/>
  <c r="G88" i="27" s="1"/>
  <c r="G89" i="27" s="1"/>
  <c r="G90" i="27" s="1"/>
  <c r="G91" i="27" s="1"/>
  <c r="G92" i="27" s="1"/>
  <c r="G93" i="27" s="1"/>
  <c r="G94" i="27" s="1"/>
  <c r="G95" i="27" s="1"/>
  <c r="F85" i="27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E85" i="27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D85" i="27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C85" i="27"/>
  <c r="M85" i="27" s="1"/>
  <c r="N85" i="27" s="1"/>
  <c r="AD84" i="27"/>
  <c r="AA84" i="27"/>
  <c r="AH84" i="27" s="1"/>
  <c r="Q84" i="27"/>
  <c r="M84" i="27"/>
  <c r="N84" i="27" s="1"/>
  <c r="U73" i="27"/>
  <c r="U74" i="27" s="1"/>
  <c r="U75" i="27" s="1"/>
  <c r="U76" i="27" s="1"/>
  <c r="U77" i="27" s="1"/>
  <c r="U78" i="27" s="1"/>
  <c r="U79" i="27" s="1"/>
  <c r="U80" i="27" s="1"/>
  <c r="U81" i="27" s="1"/>
  <c r="U82" i="27" s="1"/>
  <c r="D73" i="27"/>
  <c r="D74" i="27" s="1"/>
  <c r="D75" i="27" s="1"/>
  <c r="D76" i="27" s="1"/>
  <c r="D77" i="27" s="1"/>
  <c r="D78" i="27" s="1"/>
  <c r="D79" i="27" s="1"/>
  <c r="D80" i="27" s="1"/>
  <c r="D81" i="27" s="1"/>
  <c r="D82" i="27" s="1"/>
  <c r="Z72" i="27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Y72" i="27"/>
  <c r="Y73" i="27" s="1"/>
  <c r="Y74" i="27" s="1"/>
  <c r="V72" i="27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U72" i="27"/>
  <c r="T72" i="27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L72" i="27"/>
  <c r="AL72" i="27" s="1"/>
  <c r="J72" i="27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I72" i="27"/>
  <c r="I73" i="27" s="1"/>
  <c r="G72" i="27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F72" i="27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E72" i="27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D72" i="27"/>
  <c r="C72" i="27"/>
  <c r="AD71" i="27"/>
  <c r="AA71" i="27"/>
  <c r="AH71" i="27" s="1"/>
  <c r="Q71" i="27"/>
  <c r="M71" i="27"/>
  <c r="T60" i="27"/>
  <c r="T61" i="27" s="1"/>
  <c r="T62" i="27" s="1"/>
  <c r="T63" i="27" s="1"/>
  <c r="T64" i="27" s="1"/>
  <c r="T65" i="27" s="1"/>
  <c r="T66" i="27" s="1"/>
  <c r="T67" i="27" s="1"/>
  <c r="T68" i="27" s="1"/>
  <c r="T69" i="27" s="1"/>
  <c r="C60" i="27"/>
  <c r="Z59" i="27"/>
  <c r="Y59" i="27"/>
  <c r="Y60" i="27" s="1"/>
  <c r="Y61" i="27" s="1"/>
  <c r="Y62" i="27" s="1"/>
  <c r="V59" i="27"/>
  <c r="V60" i="27" s="1"/>
  <c r="V61" i="27" s="1"/>
  <c r="V62" i="27" s="1"/>
  <c r="V63" i="27" s="1"/>
  <c r="V64" i="27" s="1"/>
  <c r="V65" i="27" s="1"/>
  <c r="V66" i="27" s="1"/>
  <c r="V67" i="27" s="1"/>
  <c r="V68" i="27" s="1"/>
  <c r="V69" i="27" s="1"/>
  <c r="U59" i="27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T59" i="27"/>
  <c r="L59" i="27"/>
  <c r="J59" i="27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I59" i="27"/>
  <c r="G59" i="27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F59" i="27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E59" i="27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D59" i="27"/>
  <c r="D60" i="27" s="1"/>
  <c r="D61" i="27" s="1"/>
  <c r="D62" i="27" s="1"/>
  <c r="D63" i="27" s="1"/>
  <c r="D64" i="27" s="1"/>
  <c r="D65" i="27" s="1"/>
  <c r="D66" i="27" s="1"/>
  <c r="D67" i="27" s="1"/>
  <c r="D68" i="27" s="1"/>
  <c r="D69" i="27" s="1"/>
  <c r="C59" i="27"/>
  <c r="AD58" i="27"/>
  <c r="AA58" i="27"/>
  <c r="AH58" i="27" s="1"/>
  <c r="Q58" i="27"/>
  <c r="M58" i="27"/>
  <c r="N58" i="27" s="1"/>
  <c r="Z46" i="27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Y46" i="27"/>
  <c r="Y47" i="27" s="1"/>
  <c r="V46" i="27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U46" i="27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T46" i="27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L46" i="27"/>
  <c r="AL46" i="27" s="1"/>
  <c r="J46" i="27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I46" i="27"/>
  <c r="I47" i="27" s="1"/>
  <c r="G46" i="27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F46" i="27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E46" i="27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D46" i="27"/>
  <c r="D47" i="27" s="1"/>
  <c r="D48" i="27" s="1"/>
  <c r="D49" i="27" s="1"/>
  <c r="D50" i="27" s="1"/>
  <c r="D51" i="27" s="1"/>
  <c r="D52" i="27" s="1"/>
  <c r="D53" i="27" s="1"/>
  <c r="D54" i="27" s="1"/>
  <c r="D55" i="27" s="1"/>
  <c r="D56" i="27" s="1"/>
  <c r="C46" i="27"/>
  <c r="C47" i="27" s="1"/>
  <c r="AD45" i="27"/>
  <c r="AA45" i="27"/>
  <c r="AH45" i="27" s="1"/>
  <c r="Q45" i="27"/>
  <c r="M45" i="27"/>
  <c r="O58" i="27" l="1"/>
  <c r="P58" i="27" s="1"/>
  <c r="Q85" i="27"/>
  <c r="AL85" i="27"/>
  <c r="AG24" i="34"/>
  <c r="K25" i="34"/>
  <c r="P24" i="34"/>
  <c r="Q24" i="34" s="1"/>
  <c r="R24" i="34" s="1"/>
  <c r="W24" i="34" s="1"/>
  <c r="O97" i="27"/>
  <c r="P97" i="27" s="1"/>
  <c r="R97" i="27" s="1"/>
  <c r="S97" i="27" s="1"/>
  <c r="W97" i="27" s="1"/>
  <c r="AB97" i="27" s="1"/>
  <c r="Q59" i="27"/>
  <c r="AL59" i="27"/>
  <c r="L112" i="27"/>
  <c r="AL112" i="27" s="1"/>
  <c r="AL111" i="27"/>
  <c r="X9" i="34"/>
  <c r="AE9" i="34" s="1"/>
  <c r="D79" i="34"/>
  <c r="G118" i="34"/>
  <c r="D54" i="34"/>
  <c r="G93" i="34"/>
  <c r="D105" i="34"/>
  <c r="X50" i="34"/>
  <c r="AE50" i="34" s="1"/>
  <c r="D25" i="34"/>
  <c r="G38" i="34"/>
  <c r="G25" i="34"/>
  <c r="G53" i="34"/>
  <c r="X87" i="34"/>
  <c r="AE87" i="34" s="1"/>
  <c r="X99" i="34"/>
  <c r="AE99" i="34" s="1"/>
  <c r="X75" i="34"/>
  <c r="AE75" i="34" s="1"/>
  <c r="D38" i="34"/>
  <c r="D66" i="34"/>
  <c r="G105" i="34"/>
  <c r="D92" i="34"/>
  <c r="X111" i="34"/>
  <c r="AE111" i="34" s="1"/>
  <c r="X63" i="34"/>
  <c r="AE63" i="34" s="1"/>
  <c r="D13" i="34"/>
  <c r="G12" i="34"/>
  <c r="G80" i="34"/>
  <c r="D118" i="34"/>
  <c r="G66" i="34"/>
  <c r="X35" i="34"/>
  <c r="AE35" i="34" s="1"/>
  <c r="M66" i="34"/>
  <c r="N66" i="34" s="1"/>
  <c r="O66" i="34" s="1"/>
  <c r="T119" i="34"/>
  <c r="V118" i="34"/>
  <c r="AC118" i="34" s="1"/>
  <c r="K77" i="34"/>
  <c r="AG77" i="34" s="1"/>
  <c r="P76" i="34"/>
  <c r="Q76" i="34" s="1"/>
  <c r="R76" i="34" s="1"/>
  <c r="W76" i="34" s="1"/>
  <c r="AD76" i="34" s="1"/>
  <c r="T93" i="34"/>
  <c r="V92" i="34"/>
  <c r="AC92" i="34" s="1"/>
  <c r="T107" i="34"/>
  <c r="I92" i="34"/>
  <c r="C120" i="34"/>
  <c r="M36" i="34"/>
  <c r="N36" i="34" s="1"/>
  <c r="O36" i="34" s="1"/>
  <c r="Q36" i="34" s="1"/>
  <c r="R36" i="34" s="1"/>
  <c r="W36" i="34" s="1"/>
  <c r="AD36" i="34" s="1"/>
  <c r="U105" i="34"/>
  <c r="V104" i="34"/>
  <c r="AC104" i="34" s="1"/>
  <c r="V27" i="34"/>
  <c r="AC27" i="34" s="1"/>
  <c r="T28" i="34"/>
  <c r="M10" i="34"/>
  <c r="N10" i="34" s="1"/>
  <c r="O10" i="34" s="1"/>
  <c r="Q10" i="34" s="1"/>
  <c r="R10" i="34" s="1"/>
  <c r="W10" i="34" s="1"/>
  <c r="AD10" i="34" s="1"/>
  <c r="K101" i="34"/>
  <c r="AG101" i="34" s="1"/>
  <c r="P100" i="34"/>
  <c r="Q100" i="34" s="1"/>
  <c r="R100" i="34" s="1"/>
  <c r="W100" i="34" s="1"/>
  <c r="AD100" i="34" s="1"/>
  <c r="M118" i="34"/>
  <c r="N118" i="34" s="1"/>
  <c r="O118" i="34" s="1"/>
  <c r="C38" i="34"/>
  <c r="L37" i="34"/>
  <c r="V52" i="34"/>
  <c r="AC52" i="34" s="1"/>
  <c r="T53" i="34"/>
  <c r="M51" i="34"/>
  <c r="N51" i="34" s="1"/>
  <c r="O51" i="34" s="1"/>
  <c r="Q51" i="34" s="1"/>
  <c r="R51" i="34" s="1"/>
  <c r="W51" i="34" s="1"/>
  <c r="AD51" i="34" s="1"/>
  <c r="C29" i="34"/>
  <c r="C92" i="34"/>
  <c r="L91" i="34"/>
  <c r="I81" i="34"/>
  <c r="I119" i="34"/>
  <c r="V39" i="34"/>
  <c r="AC39" i="34" s="1"/>
  <c r="T40" i="34"/>
  <c r="C68" i="34"/>
  <c r="L67" i="34"/>
  <c r="M104" i="34"/>
  <c r="N104" i="34" s="1"/>
  <c r="O104" i="34" s="1"/>
  <c r="I67" i="34"/>
  <c r="I105" i="34"/>
  <c r="L105" i="34" s="1"/>
  <c r="K113" i="34"/>
  <c r="AG113" i="34" s="1"/>
  <c r="P112" i="34"/>
  <c r="Q112" i="34" s="1"/>
  <c r="R112" i="34" s="1"/>
  <c r="W112" i="34" s="1"/>
  <c r="AD112" i="34" s="1"/>
  <c r="L52" i="34"/>
  <c r="C53" i="34"/>
  <c r="M90" i="34"/>
  <c r="N90" i="34" s="1"/>
  <c r="O90" i="34" s="1"/>
  <c r="V79" i="34"/>
  <c r="AC79" i="34" s="1"/>
  <c r="T80" i="34"/>
  <c r="M103" i="34"/>
  <c r="N103" i="34"/>
  <c r="O103" i="34" s="1"/>
  <c r="I14" i="34"/>
  <c r="C106" i="34"/>
  <c r="T67" i="34"/>
  <c r="V66" i="34"/>
  <c r="AC66" i="34" s="1"/>
  <c r="M25" i="34"/>
  <c r="N25" i="34" s="1"/>
  <c r="O25" i="34" s="1"/>
  <c r="K53" i="34"/>
  <c r="AG53" i="34" s="1"/>
  <c r="P52" i="34"/>
  <c r="I38" i="34"/>
  <c r="K65" i="34"/>
  <c r="AG65" i="34" s="1"/>
  <c r="P64" i="34"/>
  <c r="Q64" i="34" s="1"/>
  <c r="R64" i="34" s="1"/>
  <c r="W64" i="34" s="1"/>
  <c r="AD64" i="34" s="1"/>
  <c r="L11" i="34"/>
  <c r="C12" i="34"/>
  <c r="I27" i="34"/>
  <c r="L26" i="34"/>
  <c r="M78" i="34"/>
  <c r="N78" i="34" s="1"/>
  <c r="O78" i="34" s="1"/>
  <c r="I53" i="34"/>
  <c r="V11" i="34"/>
  <c r="AC11" i="34" s="1"/>
  <c r="T12" i="34"/>
  <c r="K38" i="34"/>
  <c r="AG38" i="34" s="1"/>
  <c r="P37" i="34"/>
  <c r="L79" i="34"/>
  <c r="C80" i="34"/>
  <c r="K89" i="34"/>
  <c r="AG89" i="34" s="1"/>
  <c r="P88" i="34"/>
  <c r="Q88" i="34" s="1"/>
  <c r="R88" i="34" s="1"/>
  <c r="W88" i="34" s="1"/>
  <c r="AD88" i="34" s="1"/>
  <c r="K12" i="34"/>
  <c r="AG12" i="34" s="1"/>
  <c r="P11" i="34"/>
  <c r="R58" i="27"/>
  <c r="S58" i="27" s="1"/>
  <c r="W58" i="27" s="1"/>
  <c r="AB58" i="27" s="1"/>
  <c r="L60" i="27"/>
  <c r="AA74" i="27"/>
  <c r="AH74" i="27" s="1"/>
  <c r="AA73" i="27"/>
  <c r="AH73" i="27" s="1"/>
  <c r="AA85" i="27"/>
  <c r="AH85" i="27" s="1"/>
  <c r="L86" i="27"/>
  <c r="M98" i="27"/>
  <c r="M59" i="27"/>
  <c r="N59" i="27" s="1"/>
  <c r="C86" i="27"/>
  <c r="N110" i="27"/>
  <c r="O110" i="27" s="1"/>
  <c r="P110" i="27" s="1"/>
  <c r="R110" i="27" s="1"/>
  <c r="S110" i="27" s="1"/>
  <c r="W110" i="27" s="1"/>
  <c r="AB110" i="27" s="1"/>
  <c r="AA46" i="27"/>
  <c r="AH46" i="27" s="1"/>
  <c r="Q46" i="27"/>
  <c r="I60" i="27"/>
  <c r="I61" i="27" s="1"/>
  <c r="I62" i="27" s="1"/>
  <c r="AA98" i="27"/>
  <c r="AH98" i="27" s="1"/>
  <c r="M47" i="27"/>
  <c r="C48" i="27"/>
  <c r="AA47" i="27"/>
  <c r="AH47" i="27" s="1"/>
  <c r="Y48" i="27"/>
  <c r="Y63" i="27"/>
  <c r="M46" i="27"/>
  <c r="Z60" i="27"/>
  <c r="AA59" i="27"/>
  <c r="AH59" i="27" s="1"/>
  <c r="Y75" i="27"/>
  <c r="L47" i="27"/>
  <c r="AL47" i="27" s="1"/>
  <c r="C61" i="27"/>
  <c r="N71" i="27"/>
  <c r="O71" i="27" s="1"/>
  <c r="P71" i="27" s="1"/>
  <c r="R71" i="27" s="1"/>
  <c r="S71" i="27" s="1"/>
  <c r="W71" i="27" s="1"/>
  <c r="AB71" i="27" s="1"/>
  <c r="I74" i="27"/>
  <c r="AA100" i="27"/>
  <c r="AH100" i="27" s="1"/>
  <c r="Y101" i="27"/>
  <c r="I48" i="27"/>
  <c r="I100" i="27"/>
  <c r="M100" i="27" s="1"/>
  <c r="N45" i="27"/>
  <c r="O45" i="27" s="1"/>
  <c r="P45" i="27" s="1"/>
  <c r="R45" i="27" s="1"/>
  <c r="S45" i="27" s="1"/>
  <c r="W45" i="27" s="1"/>
  <c r="AB45" i="27" s="1"/>
  <c r="C101" i="27"/>
  <c r="C73" i="27"/>
  <c r="M72" i="27"/>
  <c r="L73" i="27"/>
  <c r="AL73" i="27" s="1"/>
  <c r="Q72" i="27"/>
  <c r="O84" i="27"/>
  <c r="P84" i="27" s="1"/>
  <c r="R84" i="27" s="1"/>
  <c r="S84" i="27" s="1"/>
  <c r="W84" i="27" s="1"/>
  <c r="AB84" i="27" s="1"/>
  <c r="Z113" i="27"/>
  <c r="Z114" i="27" s="1"/>
  <c r="Z115" i="27" s="1"/>
  <c r="Z116" i="27" s="1"/>
  <c r="Z117" i="27" s="1"/>
  <c r="Z118" i="27" s="1"/>
  <c r="Z119" i="27" s="1"/>
  <c r="Z120" i="27" s="1"/>
  <c r="Z121" i="27" s="1"/>
  <c r="AA112" i="27"/>
  <c r="AH112" i="27" s="1"/>
  <c r="O85" i="27"/>
  <c r="I88" i="27"/>
  <c r="AA99" i="27"/>
  <c r="AH99" i="27" s="1"/>
  <c r="AA86" i="27"/>
  <c r="AH86" i="27" s="1"/>
  <c r="Y87" i="27"/>
  <c r="I114" i="27"/>
  <c r="AA72" i="27"/>
  <c r="AH72" i="27" s="1"/>
  <c r="C87" i="27"/>
  <c r="M86" i="27"/>
  <c r="Q98" i="27"/>
  <c r="L99" i="27"/>
  <c r="AL99" i="27" s="1"/>
  <c r="M99" i="27"/>
  <c r="Y114" i="27"/>
  <c r="N98" i="27"/>
  <c r="O98" i="27" s="1"/>
  <c r="C113" i="27"/>
  <c r="M112" i="27"/>
  <c r="L113" i="27"/>
  <c r="AL113" i="27" s="1"/>
  <c r="Q112" i="27"/>
  <c r="Q111" i="27"/>
  <c r="AA111" i="27"/>
  <c r="AH111" i="27" s="1"/>
  <c r="M111" i="27"/>
  <c r="M60" i="27" l="1"/>
  <c r="AD24" i="34"/>
  <c r="X24" i="34"/>
  <c r="AE24" i="34" s="1"/>
  <c r="AC110" i="27"/>
  <c r="AJ110" i="27" s="1"/>
  <c r="AI110" i="27"/>
  <c r="AC97" i="27"/>
  <c r="AJ97" i="27" s="1"/>
  <c r="AI97" i="27"/>
  <c r="AC45" i="27"/>
  <c r="AJ45" i="27" s="1"/>
  <c r="AI45" i="27"/>
  <c r="AG25" i="34"/>
  <c r="P25" i="34"/>
  <c r="K26" i="34"/>
  <c r="AC84" i="27"/>
  <c r="AJ84" i="27" s="1"/>
  <c r="AI84" i="27"/>
  <c r="L61" i="27"/>
  <c r="AL61" i="27" s="1"/>
  <c r="AL60" i="27"/>
  <c r="Q25" i="34"/>
  <c r="R25" i="34" s="1"/>
  <c r="W25" i="34" s="1"/>
  <c r="AD25" i="34" s="1"/>
  <c r="AC58" i="27"/>
  <c r="AJ58" i="27" s="1"/>
  <c r="AI58" i="27"/>
  <c r="O59" i="27"/>
  <c r="AC71" i="27"/>
  <c r="AJ71" i="27" s="1"/>
  <c r="AI71" i="27"/>
  <c r="Q86" i="27"/>
  <c r="AL86" i="27"/>
  <c r="X76" i="34"/>
  <c r="AE76" i="34" s="1"/>
  <c r="G81" i="34"/>
  <c r="D39" i="34"/>
  <c r="G26" i="34"/>
  <c r="D55" i="34"/>
  <c r="X64" i="34"/>
  <c r="AE64" i="34" s="1"/>
  <c r="X51" i="34"/>
  <c r="AE51" i="34" s="1"/>
  <c r="X100" i="34"/>
  <c r="AE100" i="34" s="1"/>
  <c r="G13" i="34"/>
  <c r="D93" i="34"/>
  <c r="G39" i="34"/>
  <c r="G119" i="34"/>
  <c r="X88" i="34"/>
  <c r="AE88" i="34" s="1"/>
  <c r="X112" i="34"/>
  <c r="AE112" i="34" s="1"/>
  <c r="X10" i="34"/>
  <c r="AE10" i="34" s="1"/>
  <c r="G67" i="34"/>
  <c r="D14" i="34"/>
  <c r="G106" i="34"/>
  <c r="D26" i="34"/>
  <c r="D106" i="34"/>
  <c r="D80" i="34"/>
  <c r="D119" i="34"/>
  <c r="D67" i="34"/>
  <c r="G54" i="34"/>
  <c r="G94" i="34"/>
  <c r="X36" i="34"/>
  <c r="AE36" i="34" s="1"/>
  <c r="Q60" i="27"/>
  <c r="I82" i="34"/>
  <c r="L38" i="34"/>
  <c r="C39" i="34"/>
  <c r="C121" i="34"/>
  <c r="M67" i="34"/>
  <c r="N67" i="34" s="1"/>
  <c r="O67" i="34" s="1"/>
  <c r="T54" i="34"/>
  <c r="V53" i="34"/>
  <c r="AC53" i="34" s="1"/>
  <c r="P77" i="34"/>
  <c r="Q77" i="34" s="1"/>
  <c r="R77" i="34" s="1"/>
  <c r="W77" i="34" s="1"/>
  <c r="AD77" i="34" s="1"/>
  <c r="K78" i="34"/>
  <c r="AG78" i="34" s="1"/>
  <c r="M79" i="34"/>
  <c r="N79" i="34" s="1"/>
  <c r="O79" i="34" s="1"/>
  <c r="K66" i="34"/>
  <c r="AG66" i="34" s="1"/>
  <c r="P65" i="34"/>
  <c r="Q65" i="34" s="1"/>
  <c r="R65" i="34" s="1"/>
  <c r="W65" i="34" s="1"/>
  <c r="AD65" i="34" s="1"/>
  <c r="T81" i="34"/>
  <c r="V80" i="34"/>
  <c r="AC80" i="34" s="1"/>
  <c r="K114" i="34"/>
  <c r="AG114" i="34" s="1"/>
  <c r="P113" i="34"/>
  <c r="Q113" i="34" s="1"/>
  <c r="R113" i="34" s="1"/>
  <c r="W113" i="34" s="1"/>
  <c r="AD113" i="34" s="1"/>
  <c r="C69" i="34"/>
  <c r="U106" i="34"/>
  <c r="V105" i="34"/>
  <c r="AC105" i="34" s="1"/>
  <c r="I93" i="34"/>
  <c r="I39" i="34"/>
  <c r="T68" i="34"/>
  <c r="V67" i="34"/>
  <c r="AC67" i="34" s="1"/>
  <c r="I106" i="34"/>
  <c r="T41" i="34"/>
  <c r="V40" i="34"/>
  <c r="AC40" i="34" s="1"/>
  <c r="M91" i="34"/>
  <c r="N91" i="34" s="1"/>
  <c r="O91" i="34" s="1"/>
  <c r="V119" i="34"/>
  <c r="AC119" i="34" s="1"/>
  <c r="T120" i="34"/>
  <c r="M11" i="34"/>
  <c r="N11" i="34" s="1"/>
  <c r="O11" i="34" s="1"/>
  <c r="Q11" i="34" s="1"/>
  <c r="R11" i="34" s="1"/>
  <c r="W11" i="34" s="1"/>
  <c r="AD11" i="34" s="1"/>
  <c r="K39" i="34"/>
  <c r="AG39" i="34" s="1"/>
  <c r="P38" i="34"/>
  <c r="M26" i="34"/>
  <c r="N26" i="34" s="1"/>
  <c r="O26" i="34" s="1"/>
  <c r="M105" i="34"/>
  <c r="N105" i="34" s="1"/>
  <c r="O105" i="34" s="1"/>
  <c r="C93" i="34"/>
  <c r="L92" i="34"/>
  <c r="P101" i="34"/>
  <c r="Q101" i="34" s="1"/>
  <c r="R101" i="34" s="1"/>
  <c r="W101" i="34" s="1"/>
  <c r="AD101" i="34" s="1"/>
  <c r="K102" i="34"/>
  <c r="AG102" i="34" s="1"/>
  <c r="T13" i="34"/>
  <c r="V12" i="34"/>
  <c r="AC12" i="34" s="1"/>
  <c r="I28" i="34"/>
  <c r="L27" i="34"/>
  <c r="C107" i="34"/>
  <c r="I68" i="34"/>
  <c r="T108" i="34"/>
  <c r="K90" i="34"/>
  <c r="AG90" i="34" s="1"/>
  <c r="P89" i="34"/>
  <c r="Q89" i="34" s="1"/>
  <c r="R89" i="34" s="1"/>
  <c r="W89" i="34" s="1"/>
  <c r="AD89" i="34" s="1"/>
  <c r="I54" i="34"/>
  <c r="M52" i="34"/>
  <c r="N52" i="34" s="1"/>
  <c r="O52" i="34" s="1"/>
  <c r="Q52" i="34" s="1"/>
  <c r="R52" i="34" s="1"/>
  <c r="W52" i="34" s="1"/>
  <c r="AD52" i="34" s="1"/>
  <c r="C81" i="34"/>
  <c r="L80" i="34"/>
  <c r="K13" i="34"/>
  <c r="AG13" i="34" s="1"/>
  <c r="P12" i="34"/>
  <c r="I120" i="34"/>
  <c r="C13" i="34"/>
  <c r="L12" i="34"/>
  <c r="K54" i="34"/>
  <c r="AG54" i="34" s="1"/>
  <c r="P53" i="34"/>
  <c r="I15" i="34"/>
  <c r="C54" i="34"/>
  <c r="L53" i="34"/>
  <c r="M37" i="34"/>
  <c r="N37" i="34" s="1"/>
  <c r="O37" i="34" s="1"/>
  <c r="Q37" i="34" s="1"/>
  <c r="R37" i="34" s="1"/>
  <c r="W37" i="34" s="1"/>
  <c r="AD37" i="34" s="1"/>
  <c r="T29" i="34"/>
  <c r="V29" i="34" s="1"/>
  <c r="AC29" i="34" s="1"/>
  <c r="V28" i="34"/>
  <c r="AC28" i="34" s="1"/>
  <c r="L119" i="34"/>
  <c r="M119" i="34" s="1"/>
  <c r="T94" i="34"/>
  <c r="V93" i="34"/>
  <c r="AC93" i="34" s="1"/>
  <c r="L87" i="27"/>
  <c r="N100" i="27"/>
  <c r="O100" i="27" s="1"/>
  <c r="C114" i="27"/>
  <c r="M113" i="27"/>
  <c r="L100" i="27"/>
  <c r="AL100" i="27" s="1"/>
  <c r="Q99" i="27"/>
  <c r="C49" i="27"/>
  <c r="M48" i="27"/>
  <c r="C62" i="27"/>
  <c r="M61" i="27"/>
  <c r="Z61" i="27"/>
  <c r="AA60" i="27"/>
  <c r="AH60" i="27" s="1"/>
  <c r="N47" i="27"/>
  <c r="O47" i="27" s="1"/>
  <c r="N86" i="27"/>
  <c r="O86" i="27" s="1"/>
  <c r="AA101" i="27"/>
  <c r="AH101" i="27" s="1"/>
  <c r="Y102" i="27"/>
  <c r="AA113" i="27"/>
  <c r="AH113" i="27" s="1"/>
  <c r="C88" i="27"/>
  <c r="M87" i="27"/>
  <c r="Y49" i="27"/>
  <c r="AA48" i="27"/>
  <c r="AH48" i="27" s="1"/>
  <c r="N112" i="27"/>
  <c r="O112" i="27" s="1"/>
  <c r="Y88" i="27"/>
  <c r="AA87" i="27"/>
  <c r="AH87" i="27" s="1"/>
  <c r="I63" i="27"/>
  <c r="I49" i="27"/>
  <c r="Y64" i="27"/>
  <c r="C102" i="27"/>
  <c r="N99" i="27"/>
  <c r="O99" i="27" s="1"/>
  <c r="I75" i="27"/>
  <c r="L48" i="27"/>
  <c r="AL48" i="27" s="1"/>
  <c r="Q47" i="27"/>
  <c r="N46" i="27"/>
  <c r="O46" i="27" s="1"/>
  <c r="N72" i="27"/>
  <c r="O72" i="27" s="1"/>
  <c r="I101" i="27"/>
  <c r="M101" i="27" s="1"/>
  <c r="C74" i="27"/>
  <c r="M73" i="27"/>
  <c r="N60" i="27"/>
  <c r="O60" i="27" s="1"/>
  <c r="N111" i="27"/>
  <c r="O111" i="27" s="1"/>
  <c r="AA114" i="27"/>
  <c r="AH114" i="27" s="1"/>
  <c r="Y115" i="27"/>
  <c r="I89" i="27"/>
  <c r="Q113" i="27"/>
  <c r="L114" i="27"/>
  <c r="AL114" i="27" s="1"/>
  <c r="I115" i="27"/>
  <c r="Q73" i="27"/>
  <c r="L74" i="27"/>
  <c r="AL74" i="27" s="1"/>
  <c r="AA75" i="27"/>
  <c r="AH75" i="27" s="1"/>
  <c r="Y76" i="27"/>
  <c r="AD31" i="27"/>
  <c r="L62" i="27" l="1"/>
  <c r="AL62" i="27" s="1"/>
  <c r="AG26" i="34"/>
  <c r="K27" i="34"/>
  <c r="P26" i="34"/>
  <c r="Q26" i="34" s="1"/>
  <c r="R26" i="34" s="1"/>
  <c r="W26" i="34" s="1"/>
  <c r="Q61" i="27"/>
  <c r="L88" i="27"/>
  <c r="AL88" i="27" s="1"/>
  <c r="AL87" i="27"/>
  <c r="X25" i="34"/>
  <c r="AE25" i="34" s="1"/>
  <c r="X11" i="34"/>
  <c r="AE11" i="34" s="1"/>
  <c r="X52" i="34"/>
  <c r="AE52" i="34" s="1"/>
  <c r="G55" i="34"/>
  <c r="D81" i="34"/>
  <c r="D15" i="34"/>
  <c r="D94" i="34"/>
  <c r="D40" i="34"/>
  <c r="X65" i="34"/>
  <c r="AE65" i="34" s="1"/>
  <c r="D68" i="34"/>
  <c r="D107" i="34"/>
  <c r="G68" i="34"/>
  <c r="G14" i="34"/>
  <c r="G82" i="34"/>
  <c r="X101" i="34"/>
  <c r="AE101" i="34" s="1"/>
  <c r="X89" i="34"/>
  <c r="AE89" i="34" s="1"/>
  <c r="D120" i="34"/>
  <c r="D27" i="34"/>
  <c r="G120" i="34"/>
  <c r="D56" i="34"/>
  <c r="X113" i="34"/>
  <c r="AE113" i="34" s="1"/>
  <c r="X77" i="34"/>
  <c r="AE77" i="34" s="1"/>
  <c r="G95" i="34"/>
  <c r="G107" i="34"/>
  <c r="G40" i="34"/>
  <c r="G27" i="34"/>
  <c r="X37" i="34"/>
  <c r="AE37" i="34" s="1"/>
  <c r="M53" i="34"/>
  <c r="N53" i="34" s="1"/>
  <c r="O53" i="34" s="1"/>
  <c r="Q53" i="34" s="1"/>
  <c r="R53" i="34" s="1"/>
  <c r="W53" i="34" s="1"/>
  <c r="AD53" i="34" s="1"/>
  <c r="C82" i="34"/>
  <c r="L81" i="34"/>
  <c r="T109" i="34"/>
  <c r="V41" i="34"/>
  <c r="AC41" i="34" s="1"/>
  <c r="T42" i="34"/>
  <c r="V42" i="34" s="1"/>
  <c r="AC42" i="34" s="1"/>
  <c r="C122" i="34"/>
  <c r="L54" i="34"/>
  <c r="C55" i="34"/>
  <c r="I69" i="34"/>
  <c r="V13" i="34"/>
  <c r="AC13" i="34" s="1"/>
  <c r="T14" i="34"/>
  <c r="I107" i="34"/>
  <c r="K115" i="34"/>
  <c r="AG115" i="34" s="1"/>
  <c r="P114" i="34"/>
  <c r="Q114" i="34" s="1"/>
  <c r="R114" i="34" s="1"/>
  <c r="W114" i="34" s="1"/>
  <c r="AD114" i="34" s="1"/>
  <c r="K79" i="34"/>
  <c r="AG79" i="34" s="1"/>
  <c r="P78" i="34"/>
  <c r="Q78" i="34" s="1"/>
  <c r="R78" i="34" s="1"/>
  <c r="W78" i="34" s="1"/>
  <c r="AD78" i="34" s="1"/>
  <c r="L39" i="34"/>
  <c r="C40" i="34"/>
  <c r="T95" i="34"/>
  <c r="V94" i="34"/>
  <c r="AC94" i="34" s="1"/>
  <c r="I121" i="34"/>
  <c r="L121" i="34" s="1"/>
  <c r="K103" i="34"/>
  <c r="AG103" i="34" s="1"/>
  <c r="P102" i="34"/>
  <c r="Q102" i="34" s="1"/>
  <c r="R102" i="34" s="1"/>
  <c r="W102" i="34" s="1"/>
  <c r="AD102" i="34" s="1"/>
  <c r="I94" i="34"/>
  <c r="M38" i="34"/>
  <c r="N38" i="34" s="1"/>
  <c r="O38" i="34" s="1"/>
  <c r="Q38" i="34" s="1"/>
  <c r="R38" i="34" s="1"/>
  <c r="W38" i="34" s="1"/>
  <c r="AD38" i="34" s="1"/>
  <c r="N119" i="34"/>
  <c r="O119" i="34" s="1"/>
  <c r="I16" i="34"/>
  <c r="I55" i="34"/>
  <c r="L106" i="34"/>
  <c r="T121" i="34"/>
  <c r="V120" i="34"/>
  <c r="AC120" i="34" s="1"/>
  <c r="T82" i="34"/>
  <c r="V81" i="34"/>
  <c r="AC81" i="34" s="1"/>
  <c r="I83" i="34"/>
  <c r="C108" i="34"/>
  <c r="L107" i="34"/>
  <c r="U107" i="34"/>
  <c r="V106" i="34"/>
  <c r="AC106" i="34" s="1"/>
  <c r="T55" i="34"/>
  <c r="V54" i="34"/>
  <c r="AC54" i="34" s="1"/>
  <c r="K55" i="34"/>
  <c r="AG55" i="34" s="1"/>
  <c r="P54" i="34"/>
  <c r="M27" i="34"/>
  <c r="N27" i="34" s="1"/>
  <c r="O27" i="34" s="1"/>
  <c r="V68" i="34"/>
  <c r="AC68" i="34" s="1"/>
  <c r="T69" i="34"/>
  <c r="M12" i="34"/>
  <c r="N12" i="34" s="1"/>
  <c r="O12" i="34" s="1"/>
  <c r="Q12" i="34" s="1"/>
  <c r="R12" i="34" s="1"/>
  <c r="W12" i="34" s="1"/>
  <c r="AD12" i="34" s="1"/>
  <c r="K14" i="34"/>
  <c r="AG14" i="34" s="1"/>
  <c r="P13" i="34"/>
  <c r="K91" i="34"/>
  <c r="AG91" i="34" s="1"/>
  <c r="P90" i="34"/>
  <c r="Q90" i="34" s="1"/>
  <c r="R90" i="34" s="1"/>
  <c r="W90" i="34" s="1"/>
  <c r="AD90" i="34" s="1"/>
  <c r="M92" i="34"/>
  <c r="N92" i="34" s="1"/>
  <c r="O92" i="34" s="1"/>
  <c r="K40" i="34"/>
  <c r="AG40" i="34" s="1"/>
  <c r="P39" i="34"/>
  <c r="C70" i="34"/>
  <c r="L69" i="34"/>
  <c r="K67" i="34"/>
  <c r="AG67" i="34" s="1"/>
  <c r="P66" i="34"/>
  <c r="Q66" i="34" s="1"/>
  <c r="R66" i="34" s="1"/>
  <c r="W66" i="34" s="1"/>
  <c r="AD66" i="34" s="1"/>
  <c r="L13" i="34"/>
  <c r="C14" i="34"/>
  <c r="M80" i="34"/>
  <c r="N80" i="34" s="1"/>
  <c r="O80" i="34" s="1"/>
  <c r="I29" i="34"/>
  <c r="L28" i="34"/>
  <c r="C94" i="34"/>
  <c r="L93" i="34"/>
  <c r="I40" i="34"/>
  <c r="L68" i="34"/>
  <c r="L120" i="34"/>
  <c r="Q87" i="27"/>
  <c r="H121" i="27"/>
  <c r="AK121" i="27" s="1"/>
  <c r="H115" i="27"/>
  <c r="AK115" i="27" s="1"/>
  <c r="H111" i="27"/>
  <c r="AK111" i="27" s="1"/>
  <c r="H105" i="27"/>
  <c r="AK105" i="27" s="1"/>
  <c r="H93" i="27"/>
  <c r="AK93" i="27" s="1"/>
  <c r="H76" i="27"/>
  <c r="AK76" i="27" s="1"/>
  <c r="H68" i="27"/>
  <c r="AK68" i="27" s="1"/>
  <c r="H50" i="27"/>
  <c r="AK50" i="27" s="1"/>
  <c r="H94" i="27"/>
  <c r="AK94" i="27" s="1"/>
  <c r="H114" i="27"/>
  <c r="AK114" i="27" s="1"/>
  <c r="H100" i="27"/>
  <c r="H92" i="27"/>
  <c r="AK92" i="27" s="1"/>
  <c r="H86" i="27"/>
  <c r="AK86" i="27" s="1"/>
  <c r="H75" i="27"/>
  <c r="AK75" i="27" s="1"/>
  <c r="H67" i="27"/>
  <c r="AK67" i="27" s="1"/>
  <c r="H60" i="27"/>
  <c r="H49" i="27"/>
  <c r="AK49" i="27" s="1"/>
  <c r="H120" i="27"/>
  <c r="AK120" i="27" s="1"/>
  <c r="H113" i="27"/>
  <c r="AK113" i="27" s="1"/>
  <c r="H104" i="27"/>
  <c r="AK104" i="27" s="1"/>
  <c r="H98" i="27"/>
  <c r="H87" i="27"/>
  <c r="AK87" i="27" s="1"/>
  <c r="H82" i="27"/>
  <c r="AK82" i="27" s="1"/>
  <c r="H66" i="27"/>
  <c r="AK66" i="27" s="1"/>
  <c r="H61" i="27"/>
  <c r="AK61" i="27" s="1"/>
  <c r="H56" i="27"/>
  <c r="AK56" i="27" s="1"/>
  <c r="H88" i="27"/>
  <c r="AK88" i="27" s="1"/>
  <c r="H62" i="27"/>
  <c r="AK62" i="27" s="1"/>
  <c r="H91" i="27"/>
  <c r="AK91" i="27" s="1"/>
  <c r="H81" i="27"/>
  <c r="AK81" i="27" s="1"/>
  <c r="H73" i="27"/>
  <c r="AK73" i="27" s="1"/>
  <c r="H65" i="27"/>
  <c r="AK65" i="27" s="1"/>
  <c r="H55" i="27"/>
  <c r="AK55" i="27" s="1"/>
  <c r="H48" i="27"/>
  <c r="AK48" i="27" s="1"/>
  <c r="H46" i="27"/>
  <c r="H106" i="27"/>
  <c r="AK106" i="27" s="1"/>
  <c r="H77" i="27"/>
  <c r="AK77" i="27" s="1"/>
  <c r="H69" i="27"/>
  <c r="AK69" i="27" s="1"/>
  <c r="H119" i="27"/>
  <c r="AK119" i="27" s="1"/>
  <c r="H103" i="27"/>
  <c r="AK103" i="27" s="1"/>
  <c r="H90" i="27"/>
  <c r="AK90" i="27" s="1"/>
  <c r="H80" i="27"/>
  <c r="AK80" i="27" s="1"/>
  <c r="H64" i="27"/>
  <c r="AK64" i="27" s="1"/>
  <c r="H54" i="27"/>
  <c r="AK54" i="27" s="1"/>
  <c r="H85" i="27"/>
  <c r="H118" i="27"/>
  <c r="AK118" i="27" s="1"/>
  <c r="H108" i="27"/>
  <c r="AK108" i="27" s="1"/>
  <c r="H102" i="27"/>
  <c r="AK102" i="27" s="1"/>
  <c r="H99" i="27"/>
  <c r="H89" i="27"/>
  <c r="AK89" i="27" s="1"/>
  <c r="H79" i="27"/>
  <c r="AK79" i="27" s="1"/>
  <c r="H74" i="27"/>
  <c r="AK74" i="27" s="1"/>
  <c r="H72" i="27"/>
  <c r="AK72" i="27" s="1"/>
  <c r="H63" i="27"/>
  <c r="AK63" i="27" s="1"/>
  <c r="H53" i="27"/>
  <c r="AK53" i="27" s="1"/>
  <c r="H116" i="27"/>
  <c r="AK116" i="27" s="1"/>
  <c r="H117" i="27"/>
  <c r="AK117" i="27" s="1"/>
  <c r="H112" i="27"/>
  <c r="H107" i="27"/>
  <c r="AK107" i="27" s="1"/>
  <c r="H101" i="27"/>
  <c r="H95" i="27"/>
  <c r="AK95" i="27" s="1"/>
  <c r="H78" i="27"/>
  <c r="AK78" i="27" s="1"/>
  <c r="H59" i="27"/>
  <c r="H52" i="27"/>
  <c r="AK52" i="27" s="1"/>
  <c r="H47" i="27"/>
  <c r="H51" i="27"/>
  <c r="AK51" i="27" s="1"/>
  <c r="P111" i="27"/>
  <c r="R111" i="27" s="1"/>
  <c r="S111" i="27" s="1"/>
  <c r="W111" i="27" s="1"/>
  <c r="AB111" i="27" s="1"/>
  <c r="P86" i="27"/>
  <c r="R86" i="27" s="1"/>
  <c r="S86" i="27" s="1"/>
  <c r="W86" i="27" s="1"/>
  <c r="AB86" i="27" s="1"/>
  <c r="N101" i="27"/>
  <c r="O101" i="27" s="1"/>
  <c r="N61" i="27"/>
  <c r="O61" i="27"/>
  <c r="N73" i="27"/>
  <c r="O73" i="27"/>
  <c r="P73" i="27" s="1"/>
  <c r="R73" i="27" s="1"/>
  <c r="S73" i="27" s="1"/>
  <c r="W73" i="27" s="1"/>
  <c r="AB73" i="27" s="1"/>
  <c r="C63" i="27"/>
  <c r="M62" i="27"/>
  <c r="AA115" i="27"/>
  <c r="AH115" i="27" s="1"/>
  <c r="Y116" i="27"/>
  <c r="C75" i="27"/>
  <c r="M74" i="27"/>
  <c r="I64" i="27"/>
  <c r="Q62" i="27"/>
  <c r="L63" i="27"/>
  <c r="AL63" i="27" s="1"/>
  <c r="N48" i="27"/>
  <c r="O48" i="27"/>
  <c r="I116" i="27"/>
  <c r="C103" i="27"/>
  <c r="C50" i="27"/>
  <c r="M49" i="27"/>
  <c r="L75" i="27"/>
  <c r="AL75" i="27" s="1"/>
  <c r="Q74" i="27"/>
  <c r="Y50" i="27"/>
  <c r="AA49" i="27"/>
  <c r="AH49" i="27" s="1"/>
  <c r="AA102" i="27"/>
  <c r="AH102" i="27" s="1"/>
  <c r="Y103" i="27"/>
  <c r="Q114" i="27"/>
  <c r="L115" i="27"/>
  <c r="AL115" i="27" s="1"/>
  <c r="I102" i="27"/>
  <c r="M102" i="27" s="1"/>
  <c r="Q48" i="27"/>
  <c r="L49" i="27"/>
  <c r="AL49" i="27" s="1"/>
  <c r="Y65" i="27"/>
  <c r="AA88" i="27"/>
  <c r="AH88" i="27" s="1"/>
  <c r="Y89" i="27"/>
  <c r="N87" i="27"/>
  <c r="O87" i="27" s="1"/>
  <c r="P87" i="27" s="1"/>
  <c r="L101" i="27"/>
  <c r="AL101" i="27" s="1"/>
  <c r="Q100" i="27"/>
  <c r="Y77" i="27"/>
  <c r="AA76" i="27"/>
  <c r="AH76" i="27" s="1"/>
  <c r="I76" i="27"/>
  <c r="C89" i="27"/>
  <c r="M88" i="27"/>
  <c r="N113" i="27"/>
  <c r="O113" i="27" s="1"/>
  <c r="P113" i="27" s="1"/>
  <c r="R113" i="27" s="1"/>
  <c r="S113" i="27" s="1"/>
  <c r="W113" i="27" s="1"/>
  <c r="AB113" i="27" s="1"/>
  <c r="I90" i="27"/>
  <c r="I50" i="27"/>
  <c r="Z62" i="27"/>
  <c r="AA61" i="27"/>
  <c r="AH61" i="27" s="1"/>
  <c r="C115" i="27"/>
  <c r="M114" i="27"/>
  <c r="P61" i="27" l="1"/>
  <c r="R61" i="27" s="1"/>
  <c r="S61" i="27" s="1"/>
  <c r="W61" i="27" s="1"/>
  <c r="AB61" i="27" s="1"/>
  <c r="AI61" i="27" s="1"/>
  <c r="AD26" i="34"/>
  <c r="X26" i="34"/>
  <c r="AE26" i="34" s="1"/>
  <c r="AC86" i="27"/>
  <c r="AJ86" i="27" s="1"/>
  <c r="AI86" i="27"/>
  <c r="P98" i="27"/>
  <c r="R98" i="27" s="1"/>
  <c r="S98" i="27" s="1"/>
  <c r="W98" i="27" s="1"/>
  <c r="AB98" i="27" s="1"/>
  <c r="AK98" i="27"/>
  <c r="P72" i="27"/>
  <c r="R72" i="27" s="1"/>
  <c r="S72" i="27" s="1"/>
  <c r="W72" i="27" s="1"/>
  <c r="AB72" i="27" s="1"/>
  <c r="P101" i="27"/>
  <c r="AK101" i="27"/>
  <c r="P85" i="27"/>
  <c r="R85" i="27" s="1"/>
  <c r="S85" i="27" s="1"/>
  <c r="W85" i="27" s="1"/>
  <c r="AB85" i="27" s="1"/>
  <c r="AK85" i="27"/>
  <c r="AC111" i="27"/>
  <c r="AJ111" i="27" s="1"/>
  <c r="AI111" i="27"/>
  <c r="P100" i="27"/>
  <c r="AK100" i="27"/>
  <c r="L89" i="27"/>
  <c r="AL89" i="27" s="1"/>
  <c r="P47" i="27"/>
  <c r="R47" i="27" s="1"/>
  <c r="S47" i="27" s="1"/>
  <c r="W47" i="27" s="1"/>
  <c r="AB47" i="27" s="1"/>
  <c r="AK47" i="27"/>
  <c r="P99" i="27"/>
  <c r="R99" i="27" s="1"/>
  <c r="S99" i="27" s="1"/>
  <c r="W99" i="27" s="1"/>
  <c r="AB99" i="27" s="1"/>
  <c r="AK99" i="27"/>
  <c r="AG27" i="34"/>
  <c r="P27" i="34"/>
  <c r="K28" i="34"/>
  <c r="Q27" i="34"/>
  <c r="R27" i="34" s="1"/>
  <c r="W27" i="34" s="1"/>
  <c r="AD27" i="34" s="1"/>
  <c r="Q88" i="27"/>
  <c r="P60" i="27"/>
  <c r="R60" i="27" s="1"/>
  <c r="S60" i="27" s="1"/>
  <c r="W60" i="27" s="1"/>
  <c r="AB60" i="27" s="1"/>
  <c r="AK60" i="27"/>
  <c r="AC113" i="27"/>
  <c r="AJ113" i="27" s="1"/>
  <c r="AI113" i="27"/>
  <c r="P46" i="27"/>
  <c r="R46" i="27" s="1"/>
  <c r="S46" i="27" s="1"/>
  <c r="W46" i="27" s="1"/>
  <c r="AB46" i="27" s="1"/>
  <c r="AK46" i="27"/>
  <c r="P112" i="27"/>
  <c r="R112" i="27" s="1"/>
  <c r="S112" i="27" s="1"/>
  <c r="W112" i="27" s="1"/>
  <c r="AB112" i="27" s="1"/>
  <c r="AK112" i="27"/>
  <c r="P59" i="27"/>
  <c r="R59" i="27" s="1"/>
  <c r="S59" i="27" s="1"/>
  <c r="W59" i="27" s="1"/>
  <c r="AB59" i="27" s="1"/>
  <c r="AK59" i="27"/>
  <c r="AC73" i="27"/>
  <c r="AJ73" i="27" s="1"/>
  <c r="AI73" i="27"/>
  <c r="P48" i="27"/>
  <c r="X114" i="34"/>
  <c r="AE114" i="34" s="1"/>
  <c r="G108" i="34"/>
  <c r="D57" i="34"/>
  <c r="G83" i="34"/>
  <c r="D69" i="34"/>
  <c r="D95" i="34"/>
  <c r="G96" i="34"/>
  <c r="G121" i="34"/>
  <c r="G15" i="34"/>
  <c r="D16" i="34"/>
  <c r="G56" i="34"/>
  <c r="X12" i="34"/>
  <c r="AE12" i="34" s="1"/>
  <c r="G28" i="34"/>
  <c r="D28" i="34"/>
  <c r="G69" i="34"/>
  <c r="D82" i="34"/>
  <c r="X78" i="34"/>
  <c r="AE78" i="34" s="1"/>
  <c r="X66" i="34"/>
  <c r="AE66" i="34" s="1"/>
  <c r="X90" i="34"/>
  <c r="AE90" i="34" s="1"/>
  <c r="X102" i="34"/>
  <c r="AE102" i="34" s="1"/>
  <c r="X53" i="34"/>
  <c r="AE53" i="34" s="1"/>
  <c r="G41" i="34"/>
  <c r="D121" i="34"/>
  <c r="D108" i="34"/>
  <c r="D41" i="34"/>
  <c r="X38" i="34"/>
  <c r="AE38" i="34" s="1"/>
  <c r="V82" i="34"/>
  <c r="AC82" i="34" s="1"/>
  <c r="T83" i="34"/>
  <c r="V83" i="34" s="1"/>
  <c r="AC83" i="34" s="1"/>
  <c r="C15" i="34"/>
  <c r="L14" i="34"/>
  <c r="T70" i="34"/>
  <c r="V70" i="34" s="1"/>
  <c r="AC70" i="34" s="1"/>
  <c r="V69" i="34"/>
  <c r="AC69" i="34" s="1"/>
  <c r="P55" i="34"/>
  <c r="K56" i="34"/>
  <c r="AG56" i="34" s="1"/>
  <c r="M107" i="34"/>
  <c r="N107" i="34" s="1"/>
  <c r="O107" i="34" s="1"/>
  <c r="P103" i="34"/>
  <c r="Q103" i="34" s="1"/>
  <c r="R103" i="34" s="1"/>
  <c r="W103" i="34" s="1"/>
  <c r="AD103" i="34" s="1"/>
  <c r="K104" i="34"/>
  <c r="AG104" i="34" s="1"/>
  <c r="P79" i="34"/>
  <c r="Q79" i="34" s="1"/>
  <c r="R79" i="34" s="1"/>
  <c r="W79" i="34" s="1"/>
  <c r="AD79" i="34" s="1"/>
  <c r="K80" i="34"/>
  <c r="AG80" i="34" s="1"/>
  <c r="I70" i="34"/>
  <c r="L70" i="34" s="1"/>
  <c r="M93" i="34"/>
  <c r="N93" i="34" s="1"/>
  <c r="O93" i="34" s="1"/>
  <c r="M13" i="34"/>
  <c r="N13" i="34" s="1"/>
  <c r="O13" i="34" s="1"/>
  <c r="Q13" i="34" s="1"/>
  <c r="R13" i="34" s="1"/>
  <c r="W13" i="34" s="1"/>
  <c r="AD13" i="34" s="1"/>
  <c r="C109" i="34"/>
  <c r="L55" i="34"/>
  <c r="C56" i="34"/>
  <c r="C95" i="34"/>
  <c r="L94" i="34"/>
  <c r="T122" i="34"/>
  <c r="V122" i="34" s="1"/>
  <c r="AC122" i="34" s="1"/>
  <c r="V121" i="34"/>
  <c r="AC121" i="34" s="1"/>
  <c r="I122" i="34"/>
  <c r="L122" i="34" s="1"/>
  <c r="K116" i="34"/>
  <c r="AG116" i="34" s="1"/>
  <c r="P115" i="34"/>
  <c r="Q115" i="34" s="1"/>
  <c r="R115" i="34" s="1"/>
  <c r="W115" i="34" s="1"/>
  <c r="AD115" i="34" s="1"/>
  <c r="M54" i="34"/>
  <c r="N54" i="34" s="1"/>
  <c r="O54" i="34" s="1"/>
  <c r="Q54" i="34" s="1"/>
  <c r="R54" i="34" s="1"/>
  <c r="W54" i="34" s="1"/>
  <c r="AD54" i="34" s="1"/>
  <c r="K92" i="34"/>
  <c r="AG92" i="34" s="1"/>
  <c r="P91" i="34"/>
  <c r="Q91" i="34" s="1"/>
  <c r="R91" i="34" s="1"/>
  <c r="W91" i="34" s="1"/>
  <c r="AD91" i="34" s="1"/>
  <c r="K41" i="34"/>
  <c r="AG41" i="34" s="1"/>
  <c r="P40" i="34"/>
  <c r="M28" i="34"/>
  <c r="N28" i="34" s="1"/>
  <c r="O28" i="34" s="1"/>
  <c r="K68" i="34"/>
  <c r="AG68" i="34" s="1"/>
  <c r="P67" i="34"/>
  <c r="Q67" i="34" s="1"/>
  <c r="R67" i="34" s="1"/>
  <c r="W67" i="34" s="1"/>
  <c r="AD67" i="34" s="1"/>
  <c r="V55" i="34"/>
  <c r="AC55" i="34" s="1"/>
  <c r="T56" i="34"/>
  <c r="M106" i="34"/>
  <c r="N106" i="34" s="1"/>
  <c r="O106" i="34" s="1"/>
  <c r="M81" i="34"/>
  <c r="N81" i="34" s="1"/>
  <c r="O81" i="34" s="1"/>
  <c r="M120" i="34"/>
  <c r="N120" i="34" s="1"/>
  <c r="O120" i="34" s="1"/>
  <c r="L29" i="34"/>
  <c r="M69" i="34"/>
  <c r="N69" i="34" s="1"/>
  <c r="O69" i="34" s="1"/>
  <c r="V95" i="34"/>
  <c r="AC95" i="34" s="1"/>
  <c r="T96" i="34"/>
  <c r="V96" i="34" s="1"/>
  <c r="AC96" i="34" s="1"/>
  <c r="I108" i="34"/>
  <c r="L108" i="34" s="1"/>
  <c r="M121" i="34"/>
  <c r="N121" i="34" s="1"/>
  <c r="O121" i="34" s="1"/>
  <c r="L82" i="34"/>
  <c r="C83" i="34"/>
  <c r="L83" i="34" s="1"/>
  <c r="M68" i="34"/>
  <c r="N68" i="34" s="1"/>
  <c r="O68" i="34" s="1"/>
  <c r="K15" i="34"/>
  <c r="AG15" i="34" s="1"/>
  <c r="P14" i="34"/>
  <c r="U108" i="34"/>
  <c r="V107" i="34"/>
  <c r="AC107" i="34" s="1"/>
  <c r="I56" i="34"/>
  <c r="I95" i="34"/>
  <c r="C41" i="34"/>
  <c r="L40" i="34"/>
  <c r="T15" i="34"/>
  <c r="V14" i="34"/>
  <c r="AC14" i="34" s="1"/>
  <c r="I41" i="34"/>
  <c r="M39" i="34"/>
  <c r="N39" i="34" s="1"/>
  <c r="O39" i="34" s="1"/>
  <c r="Q39" i="34" s="1"/>
  <c r="R39" i="34" s="1"/>
  <c r="W39" i="34" s="1"/>
  <c r="AD39" i="34" s="1"/>
  <c r="R87" i="27"/>
  <c r="S87" i="27" s="1"/>
  <c r="W87" i="27" s="1"/>
  <c r="AB87" i="27" s="1"/>
  <c r="R100" i="27"/>
  <c r="S100" i="27" s="1"/>
  <c r="W100" i="27" s="1"/>
  <c r="AB100" i="27" s="1"/>
  <c r="R48" i="27"/>
  <c r="S48" i="27" s="1"/>
  <c r="W48" i="27" s="1"/>
  <c r="AB48" i="27" s="1"/>
  <c r="Z63" i="27"/>
  <c r="AA62" i="27"/>
  <c r="AH62" i="27" s="1"/>
  <c r="Y78" i="27"/>
  <c r="AA77" i="27"/>
  <c r="AH77" i="27" s="1"/>
  <c r="Y66" i="27"/>
  <c r="N102" i="27"/>
  <c r="O102" i="27" s="1"/>
  <c r="P102" i="27" s="1"/>
  <c r="M63" i="27"/>
  <c r="C64" i="27"/>
  <c r="Q49" i="27"/>
  <c r="L50" i="27"/>
  <c r="AL50" i="27" s="1"/>
  <c r="C104" i="27"/>
  <c r="I65" i="27"/>
  <c r="L102" i="27"/>
  <c r="AL102" i="27" s="1"/>
  <c r="Q101" i="27"/>
  <c r="AA50" i="27"/>
  <c r="AH50" i="27" s="1"/>
  <c r="Y51" i="27"/>
  <c r="I51" i="27"/>
  <c r="N88" i="27"/>
  <c r="O88" i="27" s="1"/>
  <c r="P88" i="27" s="1"/>
  <c r="R88" i="27" s="1"/>
  <c r="S88" i="27" s="1"/>
  <c r="W88" i="27" s="1"/>
  <c r="AB88" i="27" s="1"/>
  <c r="I103" i="27"/>
  <c r="I117" i="27"/>
  <c r="N74" i="27"/>
  <c r="O74" i="27" s="1"/>
  <c r="P74" i="27" s="1"/>
  <c r="R74" i="27" s="1"/>
  <c r="S74" i="27" s="1"/>
  <c r="W74" i="27" s="1"/>
  <c r="AB74" i="27" s="1"/>
  <c r="M89" i="27"/>
  <c r="C90" i="27"/>
  <c r="L76" i="27"/>
  <c r="AL76" i="27" s="1"/>
  <c r="Q75" i="27"/>
  <c r="M75" i="27"/>
  <c r="C76" i="27"/>
  <c r="N114" i="27"/>
  <c r="O114" i="27" s="1"/>
  <c r="P114" i="27" s="1"/>
  <c r="R114" i="27" s="1"/>
  <c r="S114" i="27" s="1"/>
  <c r="W114" i="27" s="1"/>
  <c r="AB114" i="27" s="1"/>
  <c r="I91" i="27"/>
  <c r="AA89" i="27"/>
  <c r="AH89" i="27" s="1"/>
  <c r="Y90" i="27"/>
  <c r="Q115" i="27"/>
  <c r="L116" i="27"/>
  <c r="AL116" i="27" s="1"/>
  <c r="N49" i="27"/>
  <c r="O49" i="27" s="1"/>
  <c r="P49" i="27" s="1"/>
  <c r="Y117" i="27"/>
  <c r="AA116" i="27"/>
  <c r="AH116" i="27" s="1"/>
  <c r="C116" i="27"/>
  <c r="M115" i="27"/>
  <c r="I77" i="27"/>
  <c r="M50" i="27"/>
  <c r="C51" i="27"/>
  <c r="AC61" i="27"/>
  <c r="AJ61" i="27" s="1"/>
  <c r="AA103" i="27"/>
  <c r="AH103" i="27" s="1"/>
  <c r="Y104" i="27"/>
  <c r="L64" i="27"/>
  <c r="AL64" i="27" s="1"/>
  <c r="Q63" i="27"/>
  <c r="N62" i="27"/>
  <c r="O62" i="27" s="1"/>
  <c r="P62" i="27" s="1"/>
  <c r="R62" i="27" s="1"/>
  <c r="S62" i="27" s="1"/>
  <c r="W62" i="27" s="1"/>
  <c r="AB62" i="27" s="1"/>
  <c r="AI62" i="27" s="1"/>
  <c r="AA31" i="27"/>
  <c r="AH31" i="27" s="1"/>
  <c r="Z6" i="27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32" i="27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Y32" i="27"/>
  <c r="V32" i="27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U32" i="27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T32" i="27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L32" i="27"/>
  <c r="AL32" i="27" s="1"/>
  <c r="J32" i="27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I32" i="27"/>
  <c r="I33" i="27" s="1"/>
  <c r="G32" i="27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F32" i="27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E32" i="27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D32" i="27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C32" i="27"/>
  <c r="H35" i="27"/>
  <c r="AK35" i="27" s="1"/>
  <c r="Q31" i="27"/>
  <c r="M31" i="27"/>
  <c r="Z19" i="27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Y19" i="27"/>
  <c r="Y20" i="27" s="1"/>
  <c r="Y21" i="27" s="1"/>
  <c r="AA21" i="27" s="1"/>
  <c r="AH21" i="27" s="1"/>
  <c r="V19" i="27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U19" i="27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T19" i="27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L19" i="27"/>
  <c r="AL19" i="27" s="1"/>
  <c r="J19" i="27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I19" i="27"/>
  <c r="G19" i="27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F19" i="27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E19" i="27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D19" i="27"/>
  <c r="D20" i="27" s="1"/>
  <c r="D21" i="27" s="1"/>
  <c r="D22" i="27" s="1"/>
  <c r="D23" i="27" s="1"/>
  <c r="D24" i="27" s="1"/>
  <c r="D25" i="27" s="1"/>
  <c r="D26" i="27" s="1"/>
  <c r="D27" i="27" s="1"/>
  <c r="D28" i="27" s="1"/>
  <c r="D29" i="27" s="1"/>
  <c r="C19" i="27"/>
  <c r="AD18" i="27"/>
  <c r="H20" i="27" s="1"/>
  <c r="AK20" i="27" s="1"/>
  <c r="AA18" i="27"/>
  <c r="AH18" i="27" s="1"/>
  <c r="Q18" i="27"/>
  <c r="M18" i="27"/>
  <c r="N18" i="27" s="1"/>
  <c r="O18" i="27" s="1"/>
  <c r="P18" i="27" s="1"/>
  <c r="Y6" i="27"/>
  <c r="V6" i="27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U6" i="27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T7" i="27"/>
  <c r="T8" i="27" s="1"/>
  <c r="T9" i="27" s="1"/>
  <c r="T10" i="27" s="1"/>
  <c r="T11" i="27" s="1"/>
  <c r="T12" i="27" s="1"/>
  <c r="T13" i="27" s="1"/>
  <c r="T14" i="27" s="1"/>
  <c r="T15" i="27" s="1"/>
  <c r="T16" i="27" s="1"/>
  <c r="L6" i="27"/>
  <c r="Q6" i="27" s="1"/>
  <c r="J6" i="27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I6" i="27"/>
  <c r="G6" i="27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F6" i="27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E6" i="27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D6" i="27"/>
  <c r="D7" i="27" s="1"/>
  <c r="D8" i="27" s="1"/>
  <c r="D9" i="27" s="1"/>
  <c r="D10" i="27" s="1"/>
  <c r="D11" i="27" s="1"/>
  <c r="D12" i="27" s="1"/>
  <c r="D13" i="27" s="1"/>
  <c r="D14" i="27" s="1"/>
  <c r="D15" i="27" s="1"/>
  <c r="D16" i="27" s="1"/>
  <c r="C6" i="27"/>
  <c r="C7" i="27" s="1"/>
  <c r="AA5" i="27"/>
  <c r="AH5" i="27" s="1"/>
  <c r="M5" i="27"/>
  <c r="AA32" i="27" l="1"/>
  <c r="AH32" i="27" s="1"/>
  <c r="I7" i="27"/>
  <c r="AC74" i="27"/>
  <c r="AJ74" i="27" s="1"/>
  <c r="AI74" i="27"/>
  <c r="AC98" i="27"/>
  <c r="AJ98" i="27" s="1"/>
  <c r="AI98" i="27"/>
  <c r="AC112" i="27"/>
  <c r="AJ112" i="27" s="1"/>
  <c r="AI112" i="27"/>
  <c r="AG28" i="34"/>
  <c r="K29" i="34"/>
  <c r="P28" i="34"/>
  <c r="R101" i="27"/>
  <c r="S101" i="27" s="1"/>
  <c r="W101" i="27" s="1"/>
  <c r="AB101" i="27" s="1"/>
  <c r="AC114" i="27"/>
  <c r="AJ114" i="27" s="1"/>
  <c r="AI114" i="27"/>
  <c r="Q89" i="27"/>
  <c r="AC99" i="27"/>
  <c r="AJ99" i="27" s="1"/>
  <c r="AI99" i="27"/>
  <c r="AC72" i="27"/>
  <c r="AJ72" i="27" s="1"/>
  <c r="AI72" i="27"/>
  <c r="L7" i="27"/>
  <c r="AL7" i="27" s="1"/>
  <c r="AL6" i="27"/>
  <c r="L90" i="27"/>
  <c r="AL90" i="27" s="1"/>
  <c r="AC88" i="27"/>
  <c r="AJ88" i="27" s="1"/>
  <c r="AI88" i="27"/>
  <c r="AC59" i="27"/>
  <c r="AJ59" i="27" s="1"/>
  <c r="AI59" i="27"/>
  <c r="AC60" i="27"/>
  <c r="AJ60" i="27" s="1"/>
  <c r="AI60" i="27"/>
  <c r="AC85" i="27"/>
  <c r="AJ85" i="27" s="1"/>
  <c r="AI85" i="27"/>
  <c r="AC48" i="27"/>
  <c r="AJ48" i="27" s="1"/>
  <c r="AI48" i="27"/>
  <c r="AC100" i="27"/>
  <c r="AJ100" i="27" s="1"/>
  <c r="AI100" i="27"/>
  <c r="AC87" i="27"/>
  <c r="AJ87" i="27" s="1"/>
  <c r="AI87" i="27"/>
  <c r="AC46" i="27"/>
  <c r="AJ46" i="27" s="1"/>
  <c r="AI46" i="27"/>
  <c r="H15" i="27"/>
  <c r="AK15" i="27" s="1"/>
  <c r="AK6" i="27"/>
  <c r="Q28" i="34"/>
  <c r="R28" i="34" s="1"/>
  <c r="W28" i="34" s="1"/>
  <c r="AD28" i="34" s="1"/>
  <c r="X27" i="34"/>
  <c r="AE27" i="34" s="1"/>
  <c r="AC47" i="27"/>
  <c r="AJ47" i="27" s="1"/>
  <c r="AI47" i="27"/>
  <c r="X13" i="34"/>
  <c r="AE13" i="34" s="1"/>
  <c r="X54" i="34"/>
  <c r="AE54" i="34" s="1"/>
  <c r="X91" i="34"/>
  <c r="AE91" i="34" s="1"/>
  <c r="D109" i="34"/>
  <c r="D83" i="34"/>
  <c r="G122" i="34"/>
  <c r="X67" i="34"/>
  <c r="AE67" i="34" s="1"/>
  <c r="D122" i="34"/>
  <c r="G70" i="34"/>
  <c r="G57" i="34"/>
  <c r="D96" i="34"/>
  <c r="G109" i="34"/>
  <c r="X115" i="34"/>
  <c r="AE115" i="34" s="1"/>
  <c r="X79" i="34"/>
  <c r="AE79" i="34" s="1"/>
  <c r="G42" i="34"/>
  <c r="D29" i="34"/>
  <c r="D70" i="34"/>
  <c r="X103" i="34"/>
  <c r="AE103" i="34" s="1"/>
  <c r="D42" i="34"/>
  <c r="G29" i="34"/>
  <c r="G16" i="34"/>
  <c r="X39" i="34"/>
  <c r="AE39" i="34" s="1"/>
  <c r="M122" i="34"/>
  <c r="N122" i="34" s="1"/>
  <c r="O122" i="34" s="1"/>
  <c r="M83" i="34"/>
  <c r="N83" i="34" s="1"/>
  <c r="O83" i="34" s="1"/>
  <c r="K69" i="34"/>
  <c r="AG69" i="34" s="1"/>
  <c r="P68" i="34"/>
  <c r="Q68" i="34" s="1"/>
  <c r="R68" i="34" s="1"/>
  <c r="W68" i="34" s="1"/>
  <c r="AD68" i="34" s="1"/>
  <c r="K105" i="34"/>
  <c r="AG105" i="34" s="1"/>
  <c r="P104" i="34"/>
  <c r="Q104" i="34" s="1"/>
  <c r="R104" i="34" s="1"/>
  <c r="W104" i="34" s="1"/>
  <c r="AD104" i="34" s="1"/>
  <c r="T16" i="34"/>
  <c r="V16" i="34" s="1"/>
  <c r="AC16" i="34" s="1"/>
  <c r="V15" i="34"/>
  <c r="AC15" i="34" s="1"/>
  <c r="U109" i="34"/>
  <c r="V109" i="34" s="1"/>
  <c r="AC109" i="34" s="1"/>
  <c r="V108" i="34"/>
  <c r="AC108" i="34" s="1"/>
  <c r="L95" i="34"/>
  <c r="C96" i="34"/>
  <c r="M82" i="34"/>
  <c r="N82" i="34" s="1"/>
  <c r="O82" i="34" s="1"/>
  <c r="M94" i="34"/>
  <c r="N94" i="34" s="1"/>
  <c r="O94" i="34" s="1"/>
  <c r="M40" i="34"/>
  <c r="N40" i="34" s="1"/>
  <c r="O40" i="34" s="1"/>
  <c r="Q40" i="34" s="1"/>
  <c r="R40" i="34" s="1"/>
  <c r="W40" i="34" s="1"/>
  <c r="AD40" i="34" s="1"/>
  <c r="K117" i="34"/>
  <c r="AG117" i="34" s="1"/>
  <c r="P116" i="34"/>
  <c r="Q116" i="34" s="1"/>
  <c r="R116" i="34" s="1"/>
  <c r="W116" i="34" s="1"/>
  <c r="AD116" i="34" s="1"/>
  <c r="C57" i="34"/>
  <c r="L56" i="34"/>
  <c r="M14" i="34"/>
  <c r="N14" i="34" s="1"/>
  <c r="O14" i="34" s="1"/>
  <c r="Q14" i="34" s="1"/>
  <c r="R14" i="34" s="1"/>
  <c r="W14" i="34" s="1"/>
  <c r="AD14" i="34" s="1"/>
  <c r="L41" i="34"/>
  <c r="C42" i="34"/>
  <c r="K16" i="34"/>
  <c r="AG16" i="34" s="1"/>
  <c r="P15" i="34"/>
  <c r="I109" i="34"/>
  <c r="L109" i="34" s="1"/>
  <c r="M29" i="34"/>
  <c r="N29" i="34" s="1"/>
  <c r="O29" i="34" s="1"/>
  <c r="P41" i="34"/>
  <c r="K42" i="34"/>
  <c r="AG42" i="34" s="1"/>
  <c r="M55" i="34"/>
  <c r="N55" i="34" s="1"/>
  <c r="O55" i="34" s="1"/>
  <c r="Q55" i="34" s="1"/>
  <c r="R55" i="34" s="1"/>
  <c r="W55" i="34" s="1"/>
  <c r="AD55" i="34" s="1"/>
  <c r="C16" i="34"/>
  <c r="L16" i="34" s="1"/>
  <c r="L15" i="34"/>
  <c r="T57" i="34"/>
  <c r="V57" i="34" s="1"/>
  <c r="AC57" i="34" s="1"/>
  <c r="V56" i="34"/>
  <c r="AC56" i="34" s="1"/>
  <c r="I42" i="34"/>
  <c r="I96" i="34"/>
  <c r="K93" i="34"/>
  <c r="AG93" i="34" s="1"/>
  <c r="P92" i="34"/>
  <c r="Q92" i="34" s="1"/>
  <c r="R92" i="34" s="1"/>
  <c r="W92" i="34" s="1"/>
  <c r="AD92" i="34" s="1"/>
  <c r="K57" i="34"/>
  <c r="AG57" i="34" s="1"/>
  <c r="P56" i="34"/>
  <c r="M70" i="34"/>
  <c r="N70" i="34" s="1"/>
  <c r="O70" i="34" s="1"/>
  <c r="I57" i="34"/>
  <c r="M108" i="34"/>
  <c r="N108" i="34" s="1"/>
  <c r="O108" i="34" s="1"/>
  <c r="K81" i="34"/>
  <c r="AG81" i="34" s="1"/>
  <c r="P80" i="34"/>
  <c r="Q80" i="34" s="1"/>
  <c r="R80" i="34" s="1"/>
  <c r="W80" i="34" s="1"/>
  <c r="AD80" i="34" s="1"/>
  <c r="R49" i="27"/>
  <c r="S49" i="27" s="1"/>
  <c r="W49" i="27" s="1"/>
  <c r="AB49" i="27" s="1"/>
  <c r="I104" i="27"/>
  <c r="L103" i="27"/>
  <c r="AL103" i="27" s="1"/>
  <c r="Q102" i="27"/>
  <c r="R102" i="27" s="1"/>
  <c r="S102" i="27" s="1"/>
  <c r="W102" i="27" s="1"/>
  <c r="AB102" i="27" s="1"/>
  <c r="C65" i="27"/>
  <c r="M64" i="27"/>
  <c r="AA78" i="27"/>
  <c r="AH78" i="27" s="1"/>
  <c r="Y79" i="27"/>
  <c r="Q64" i="27"/>
  <c r="L65" i="27"/>
  <c r="AL65" i="27" s="1"/>
  <c r="C52" i="27"/>
  <c r="M51" i="27"/>
  <c r="AA117" i="27"/>
  <c r="AH117" i="27" s="1"/>
  <c r="Y118" i="27"/>
  <c r="I92" i="27"/>
  <c r="C91" i="27"/>
  <c r="M90" i="27"/>
  <c r="N63" i="27"/>
  <c r="O63" i="27" s="1"/>
  <c r="P63" i="27" s="1"/>
  <c r="R63" i="27" s="1"/>
  <c r="S63" i="27" s="1"/>
  <c r="W63" i="27" s="1"/>
  <c r="AB63" i="27" s="1"/>
  <c r="AI63" i="27" s="1"/>
  <c r="AC62" i="27"/>
  <c r="AJ62" i="27" s="1"/>
  <c r="AA104" i="27"/>
  <c r="AH104" i="27" s="1"/>
  <c r="Y105" i="27"/>
  <c r="N50" i="27"/>
  <c r="O50" i="27" s="1"/>
  <c r="P50" i="27" s="1"/>
  <c r="N89" i="27"/>
  <c r="O89" i="27" s="1"/>
  <c r="P89" i="27" s="1"/>
  <c r="R89" i="27" s="1"/>
  <c r="S89" i="27" s="1"/>
  <c r="W89" i="27" s="1"/>
  <c r="AB89" i="27" s="1"/>
  <c r="I66" i="27"/>
  <c r="Z64" i="27"/>
  <c r="AA63" i="27"/>
  <c r="AH63" i="27" s="1"/>
  <c r="M103" i="27"/>
  <c r="I78" i="27"/>
  <c r="Q116" i="27"/>
  <c r="L117" i="27"/>
  <c r="AL117" i="27" s="1"/>
  <c r="C77" i="27"/>
  <c r="M76" i="27"/>
  <c r="I52" i="27"/>
  <c r="C105" i="27"/>
  <c r="N75" i="27"/>
  <c r="O75" i="27"/>
  <c r="P75" i="27" s="1"/>
  <c r="R75" i="27" s="1"/>
  <c r="S75" i="27" s="1"/>
  <c r="W75" i="27" s="1"/>
  <c r="AB75" i="27" s="1"/>
  <c r="I118" i="27"/>
  <c r="AA51" i="27"/>
  <c r="AH51" i="27" s="1"/>
  <c r="Y52" i="27"/>
  <c r="Y67" i="27"/>
  <c r="N115" i="27"/>
  <c r="O115" i="27" s="1"/>
  <c r="P115" i="27" s="1"/>
  <c r="R115" i="27" s="1"/>
  <c r="S115" i="27" s="1"/>
  <c r="W115" i="27" s="1"/>
  <c r="AB115" i="27" s="1"/>
  <c r="Y91" i="27"/>
  <c r="AA90" i="27"/>
  <c r="AH90" i="27" s="1"/>
  <c r="L51" i="27"/>
  <c r="AL51" i="27" s="1"/>
  <c r="Q50" i="27"/>
  <c r="Q90" i="27"/>
  <c r="L91" i="27"/>
  <c r="AL91" i="27" s="1"/>
  <c r="C117" i="27"/>
  <c r="M116" i="27"/>
  <c r="Q76" i="27"/>
  <c r="L77" i="27"/>
  <c r="AL77" i="27" s="1"/>
  <c r="R18" i="27"/>
  <c r="S18" i="27" s="1"/>
  <c r="W18" i="27" s="1"/>
  <c r="AB18" i="27" s="1"/>
  <c r="AA19" i="27"/>
  <c r="AH19" i="27" s="1"/>
  <c r="AA6" i="27"/>
  <c r="AH6" i="27" s="1"/>
  <c r="H21" i="27"/>
  <c r="AK21" i="27" s="1"/>
  <c r="M19" i="27"/>
  <c r="N19" i="27" s="1"/>
  <c r="O19" i="27" s="1"/>
  <c r="H14" i="27"/>
  <c r="AK14" i="27" s="1"/>
  <c r="I8" i="27"/>
  <c r="C8" i="27"/>
  <c r="Y22" i="27"/>
  <c r="N5" i="27"/>
  <c r="O5" i="27" s="1"/>
  <c r="P5" i="27" s="1"/>
  <c r="R5" i="27" s="1"/>
  <c r="Y7" i="27"/>
  <c r="H28" i="27"/>
  <c r="AK28" i="27" s="1"/>
  <c r="C33" i="27"/>
  <c r="M32" i="27"/>
  <c r="AK7" i="27"/>
  <c r="C20" i="27"/>
  <c r="H8" i="27"/>
  <c r="AK8" i="27" s="1"/>
  <c r="H23" i="27"/>
  <c r="AK23" i="27" s="1"/>
  <c r="H29" i="27"/>
  <c r="AK29" i="27" s="1"/>
  <c r="H41" i="27"/>
  <c r="AK41" i="27" s="1"/>
  <c r="H33" i="27"/>
  <c r="AK33" i="27" s="1"/>
  <c r="H40" i="27"/>
  <c r="AK40" i="27" s="1"/>
  <c r="H32" i="27"/>
  <c r="AK32" i="27" s="1"/>
  <c r="H39" i="27"/>
  <c r="AK39" i="27" s="1"/>
  <c r="H38" i="27"/>
  <c r="AK38" i="27" s="1"/>
  <c r="H36" i="27"/>
  <c r="AK36" i="27" s="1"/>
  <c r="H9" i="27"/>
  <c r="AK9" i="27" s="1"/>
  <c r="H16" i="27"/>
  <c r="AK16" i="27" s="1"/>
  <c r="H42" i="27"/>
  <c r="AK42" i="27" s="1"/>
  <c r="Q32" i="27"/>
  <c r="L33" i="27"/>
  <c r="AL33" i="27" s="1"/>
  <c r="M6" i="27"/>
  <c r="H10" i="27"/>
  <c r="AK10" i="27" s="1"/>
  <c r="I20" i="27"/>
  <c r="AA20" i="27"/>
  <c r="AH20" i="27" s="1"/>
  <c r="H37" i="27"/>
  <c r="AK37" i="27" s="1"/>
  <c r="H11" i="27"/>
  <c r="AK11" i="27" s="1"/>
  <c r="H27" i="27"/>
  <c r="AK27" i="27" s="1"/>
  <c r="H19" i="27"/>
  <c r="AK19" i="27" s="1"/>
  <c r="H26" i="27"/>
  <c r="AK26" i="27" s="1"/>
  <c r="H25" i="27"/>
  <c r="AK25" i="27" s="1"/>
  <c r="H24" i="27"/>
  <c r="AK24" i="27" s="1"/>
  <c r="H22" i="27"/>
  <c r="AK22" i="27" s="1"/>
  <c r="Q19" i="27"/>
  <c r="H34" i="27"/>
  <c r="AK34" i="27" s="1"/>
  <c r="H12" i="27"/>
  <c r="AK12" i="27" s="1"/>
  <c r="H13" i="27"/>
  <c r="AK13" i="27" s="1"/>
  <c r="L20" i="27"/>
  <c r="AL20" i="27" s="1"/>
  <c r="I34" i="27"/>
  <c r="N31" i="27"/>
  <c r="O31" i="27" s="1"/>
  <c r="P31" i="27" s="1"/>
  <c r="R31" i="27" s="1"/>
  <c r="S31" i="27" s="1"/>
  <c r="W31" i="27" s="1"/>
  <c r="AB31" i="27" s="1"/>
  <c r="Y33" i="27"/>
  <c r="Q7" i="27" l="1"/>
  <c r="L8" i="27"/>
  <c r="AL8" i="27" s="1"/>
  <c r="M7" i="27"/>
  <c r="AC49" i="27"/>
  <c r="AJ49" i="27" s="1"/>
  <c r="AI49" i="27"/>
  <c r="P29" i="34"/>
  <c r="Q29" i="34" s="1"/>
  <c r="R29" i="34" s="1"/>
  <c r="W29" i="34" s="1"/>
  <c r="AG29" i="34"/>
  <c r="AC89" i="27"/>
  <c r="AJ89" i="27" s="1"/>
  <c r="AI89" i="27"/>
  <c r="AC75" i="27"/>
  <c r="AJ75" i="27" s="1"/>
  <c r="AI75" i="27"/>
  <c r="AC102" i="27"/>
  <c r="AJ102" i="27" s="1"/>
  <c r="AI102" i="27"/>
  <c r="S5" i="27"/>
  <c r="W5" i="27" s="1"/>
  <c r="AC18" i="27"/>
  <c r="AJ18" i="27" s="1"/>
  <c r="AI18" i="27"/>
  <c r="X28" i="34"/>
  <c r="AE28" i="34" s="1"/>
  <c r="AC101" i="27"/>
  <c r="AJ101" i="27" s="1"/>
  <c r="AI101" i="27"/>
  <c r="AC31" i="27"/>
  <c r="AJ31" i="27" s="1"/>
  <c r="AI31" i="27"/>
  <c r="AC115" i="27"/>
  <c r="AJ115" i="27" s="1"/>
  <c r="AI115" i="27"/>
  <c r="P57" i="34"/>
  <c r="L42" i="34"/>
  <c r="M42" i="34" s="1"/>
  <c r="N42" i="34" s="1"/>
  <c r="O42" i="34" s="1"/>
  <c r="Q42" i="34" s="1"/>
  <c r="R42" i="34" s="1"/>
  <c r="W42" i="34" s="1"/>
  <c r="AD42" i="34" s="1"/>
  <c r="X14" i="34"/>
  <c r="AE14" i="34" s="1"/>
  <c r="X116" i="34"/>
  <c r="AE116" i="34" s="1"/>
  <c r="X80" i="34"/>
  <c r="AE80" i="34" s="1"/>
  <c r="X92" i="34"/>
  <c r="AE92" i="34" s="1"/>
  <c r="P16" i="34"/>
  <c r="X55" i="34"/>
  <c r="AE55" i="34" s="1"/>
  <c r="P42" i="34"/>
  <c r="X104" i="34"/>
  <c r="AE104" i="34" s="1"/>
  <c r="L96" i="34"/>
  <c r="X68" i="34"/>
  <c r="AE68" i="34" s="1"/>
  <c r="X40" i="34"/>
  <c r="AE40" i="34" s="1"/>
  <c r="M15" i="34"/>
  <c r="N15" i="34" s="1"/>
  <c r="O15" i="34" s="1"/>
  <c r="Q15" i="34" s="1"/>
  <c r="R15" i="34" s="1"/>
  <c r="W15" i="34" s="1"/>
  <c r="AD15" i="34" s="1"/>
  <c r="K70" i="34"/>
  <c r="P69" i="34"/>
  <c r="Q69" i="34" s="1"/>
  <c r="R69" i="34" s="1"/>
  <c r="W69" i="34" s="1"/>
  <c r="AD69" i="34" s="1"/>
  <c r="M16" i="34"/>
  <c r="N16" i="34" s="1"/>
  <c r="O16" i="34" s="1"/>
  <c r="M56" i="34"/>
  <c r="N56" i="34" s="1"/>
  <c r="O56" i="34" s="1"/>
  <c r="Q56" i="34" s="1"/>
  <c r="R56" i="34" s="1"/>
  <c r="W56" i="34" s="1"/>
  <c r="AD56" i="34" s="1"/>
  <c r="M109" i="34"/>
  <c r="N109" i="34" s="1"/>
  <c r="O109" i="34" s="1"/>
  <c r="L57" i="34"/>
  <c r="K82" i="34"/>
  <c r="AG82" i="34" s="1"/>
  <c r="P81" i="34"/>
  <c r="Q81" i="34" s="1"/>
  <c r="R81" i="34" s="1"/>
  <c r="W81" i="34" s="1"/>
  <c r="AD81" i="34" s="1"/>
  <c r="K118" i="34"/>
  <c r="AG118" i="34" s="1"/>
  <c r="P117" i="34"/>
  <c r="Q117" i="34" s="1"/>
  <c r="R117" i="34" s="1"/>
  <c r="W117" i="34" s="1"/>
  <c r="AD117" i="34" s="1"/>
  <c r="M96" i="34"/>
  <c r="N96" i="34" s="1"/>
  <c r="O96" i="34" s="1"/>
  <c r="K106" i="34"/>
  <c r="AG106" i="34" s="1"/>
  <c r="P105" i="34"/>
  <c r="Q105" i="34" s="1"/>
  <c r="R105" i="34" s="1"/>
  <c r="W105" i="34" s="1"/>
  <c r="AD105" i="34" s="1"/>
  <c r="K94" i="34"/>
  <c r="AG94" i="34" s="1"/>
  <c r="P93" i="34"/>
  <c r="Q93" i="34" s="1"/>
  <c r="R93" i="34" s="1"/>
  <c r="W93" i="34" s="1"/>
  <c r="AD93" i="34" s="1"/>
  <c r="M95" i="34"/>
  <c r="N95" i="34" s="1"/>
  <c r="O95" i="34" s="1"/>
  <c r="M41" i="34"/>
  <c r="N41" i="34" s="1"/>
  <c r="O41" i="34" s="1"/>
  <c r="Q41" i="34" s="1"/>
  <c r="R41" i="34" s="1"/>
  <c r="W41" i="34" s="1"/>
  <c r="AD41" i="34" s="1"/>
  <c r="R50" i="27"/>
  <c r="S50" i="27" s="1"/>
  <c r="W50" i="27" s="1"/>
  <c r="AB50" i="27" s="1"/>
  <c r="Q77" i="27"/>
  <c r="L78" i="27"/>
  <c r="AL78" i="27" s="1"/>
  <c r="Y53" i="27"/>
  <c r="AA52" i="27"/>
  <c r="AH52" i="27" s="1"/>
  <c r="N103" i="27"/>
  <c r="O103" i="27" s="1"/>
  <c r="P103" i="27" s="1"/>
  <c r="C92" i="27"/>
  <c r="M91" i="27"/>
  <c r="I105" i="27"/>
  <c r="M105" i="27" s="1"/>
  <c r="I93" i="27"/>
  <c r="N116" i="27"/>
  <c r="O116" i="27" s="1"/>
  <c r="P116" i="27" s="1"/>
  <c r="R116" i="27" s="1"/>
  <c r="S116" i="27" s="1"/>
  <c r="W116" i="27" s="1"/>
  <c r="AB116" i="27" s="1"/>
  <c r="AA91" i="27"/>
  <c r="AH91" i="27" s="1"/>
  <c r="Y92" i="27"/>
  <c r="M77" i="27"/>
  <c r="C78" i="27"/>
  <c r="Z65" i="27"/>
  <c r="AA64" i="27"/>
  <c r="AH64" i="27" s="1"/>
  <c r="AA118" i="27"/>
  <c r="AH118" i="27" s="1"/>
  <c r="Y119" i="27"/>
  <c r="N64" i="27"/>
  <c r="O64" i="27" s="1"/>
  <c r="P64" i="27" s="1"/>
  <c r="R64" i="27" s="1"/>
  <c r="S64" i="27" s="1"/>
  <c r="W64" i="27" s="1"/>
  <c r="AB64" i="27" s="1"/>
  <c r="AI64" i="27" s="1"/>
  <c r="L118" i="27"/>
  <c r="AL118" i="27" s="1"/>
  <c r="Q117" i="27"/>
  <c r="I67" i="27"/>
  <c r="C66" i="27"/>
  <c r="M65" i="27"/>
  <c r="L92" i="27"/>
  <c r="AL92" i="27" s="1"/>
  <c r="Q91" i="27"/>
  <c r="M104" i="27"/>
  <c r="I79" i="27"/>
  <c r="C53" i="27"/>
  <c r="M52" i="27"/>
  <c r="L104" i="27"/>
  <c r="AL104" i="27" s="1"/>
  <c r="Q103" i="27"/>
  <c r="C118" i="27"/>
  <c r="M117" i="27"/>
  <c r="N51" i="27"/>
  <c r="O51" i="27" s="1"/>
  <c r="P51" i="27" s="1"/>
  <c r="Y68" i="27"/>
  <c r="C106" i="27"/>
  <c r="N90" i="27"/>
  <c r="O90" i="27" s="1"/>
  <c r="P90" i="27" s="1"/>
  <c r="R90" i="27" s="1"/>
  <c r="S90" i="27" s="1"/>
  <c r="W90" i="27" s="1"/>
  <c r="AB90" i="27" s="1"/>
  <c r="L66" i="27"/>
  <c r="AL66" i="27" s="1"/>
  <c r="Q65" i="27"/>
  <c r="L52" i="27"/>
  <c r="AL52" i="27" s="1"/>
  <c r="Q51" i="27"/>
  <c r="I53" i="27"/>
  <c r="AA79" i="27"/>
  <c r="AH79" i="27" s="1"/>
  <c r="Y80" i="27"/>
  <c r="I119" i="27"/>
  <c r="N76" i="27"/>
  <c r="O76" i="27" s="1"/>
  <c r="P76" i="27" s="1"/>
  <c r="R76" i="27" s="1"/>
  <c r="S76" i="27" s="1"/>
  <c r="W76" i="27" s="1"/>
  <c r="AB76" i="27" s="1"/>
  <c r="AC63" i="27"/>
  <c r="AJ63" i="27" s="1"/>
  <c r="AA105" i="27"/>
  <c r="AH105" i="27" s="1"/>
  <c r="Y106" i="27"/>
  <c r="P19" i="27"/>
  <c r="R19" i="27" s="1"/>
  <c r="S19" i="27" s="1"/>
  <c r="W19" i="27" s="1"/>
  <c r="AB19" i="27" s="1"/>
  <c r="AI19" i="27" s="1"/>
  <c r="C21" i="27"/>
  <c r="M20" i="27"/>
  <c r="I21" i="27"/>
  <c r="Y23" i="27"/>
  <c r="AA22" i="27"/>
  <c r="AH22" i="27" s="1"/>
  <c r="L9" i="27"/>
  <c r="AL9" i="27" s="1"/>
  <c r="Q8" i="27"/>
  <c r="I35" i="27"/>
  <c r="N6" i="27"/>
  <c r="M33" i="27"/>
  <c r="C34" i="27"/>
  <c r="N7" i="27"/>
  <c r="O7" i="27" s="1"/>
  <c r="I9" i="27"/>
  <c r="L21" i="27"/>
  <c r="AL21" i="27" s="1"/>
  <c r="Q20" i="27"/>
  <c r="N32" i="27"/>
  <c r="O32" i="27" s="1"/>
  <c r="P32" i="27" s="1"/>
  <c r="R32" i="27" s="1"/>
  <c r="S32" i="27" s="1"/>
  <c r="W32" i="27" s="1"/>
  <c r="AB32" i="27" s="1"/>
  <c r="AI32" i="27" s="1"/>
  <c r="Q33" i="27"/>
  <c r="L34" i="27"/>
  <c r="AL34" i="27" s="1"/>
  <c r="C9" i="27"/>
  <c r="M8" i="27"/>
  <c r="Y34" i="27"/>
  <c r="AA33" i="27"/>
  <c r="AH33" i="27" s="1"/>
  <c r="AA7" i="27"/>
  <c r="AH7" i="27" s="1"/>
  <c r="Y8" i="27"/>
  <c r="O6" i="27" l="1"/>
  <c r="P6" i="27" s="1"/>
  <c r="R6" i="27" s="1"/>
  <c r="S6" i="27" s="1"/>
  <c r="W6" i="27" s="1"/>
  <c r="AB6" i="27" s="1"/>
  <c r="R7" i="27"/>
  <c r="S7" i="27" s="1"/>
  <c r="W7" i="27" s="1"/>
  <c r="P7" i="27"/>
  <c r="AD29" i="34"/>
  <c r="X29" i="34"/>
  <c r="AE29" i="34" s="1"/>
  <c r="AC90" i="27"/>
  <c r="AJ90" i="27" s="1"/>
  <c r="AI90" i="27"/>
  <c r="AC50" i="27"/>
  <c r="AJ50" i="27" s="1"/>
  <c r="AI50" i="27"/>
  <c r="AC116" i="27"/>
  <c r="AJ116" i="27" s="1"/>
  <c r="AI116" i="27"/>
  <c r="AC76" i="27"/>
  <c r="AJ76" i="27" s="1"/>
  <c r="AI76" i="27"/>
  <c r="P70" i="34"/>
  <c r="Q70" i="34" s="1"/>
  <c r="R70" i="34" s="1"/>
  <c r="W70" i="34" s="1"/>
  <c r="AD70" i="34" s="1"/>
  <c r="AG70" i="34"/>
  <c r="Q16" i="34"/>
  <c r="R16" i="34" s="1"/>
  <c r="W16" i="34" s="1"/>
  <c r="AD16" i="34" s="1"/>
  <c r="X105" i="34"/>
  <c r="AE105" i="34" s="1"/>
  <c r="X56" i="34"/>
  <c r="AE56" i="34" s="1"/>
  <c r="X117" i="34"/>
  <c r="AE117" i="34" s="1"/>
  <c r="X69" i="34"/>
  <c r="AE69" i="34" s="1"/>
  <c r="X81" i="34"/>
  <c r="AE81" i="34" s="1"/>
  <c r="X15" i="34"/>
  <c r="AE15" i="34" s="1"/>
  <c r="X93" i="34"/>
  <c r="AE93" i="34" s="1"/>
  <c r="X41" i="34"/>
  <c r="AE41" i="34" s="1"/>
  <c r="X42" i="34"/>
  <c r="AE42" i="34" s="1"/>
  <c r="K83" i="34"/>
  <c r="P82" i="34"/>
  <c r="Q82" i="34" s="1"/>
  <c r="R82" i="34" s="1"/>
  <c r="W82" i="34" s="1"/>
  <c r="AD82" i="34" s="1"/>
  <c r="K107" i="34"/>
  <c r="AG107" i="34" s="1"/>
  <c r="P106" i="34"/>
  <c r="Q106" i="34" s="1"/>
  <c r="R106" i="34" s="1"/>
  <c r="W106" i="34" s="1"/>
  <c r="AD106" i="34" s="1"/>
  <c r="K95" i="34"/>
  <c r="AG95" i="34" s="1"/>
  <c r="P94" i="34"/>
  <c r="Q94" i="34" s="1"/>
  <c r="R94" i="34" s="1"/>
  <c r="W94" i="34" s="1"/>
  <c r="AD94" i="34" s="1"/>
  <c r="M57" i="34"/>
  <c r="N57" i="34" s="1"/>
  <c r="O57" i="34" s="1"/>
  <c r="Q57" i="34" s="1"/>
  <c r="R57" i="34" s="1"/>
  <c r="W57" i="34" s="1"/>
  <c r="AD57" i="34" s="1"/>
  <c r="K119" i="34"/>
  <c r="AG119" i="34" s="1"/>
  <c r="P118" i="34"/>
  <c r="Q118" i="34" s="1"/>
  <c r="R118" i="34" s="1"/>
  <c r="W118" i="34" s="1"/>
  <c r="AD118" i="34" s="1"/>
  <c r="AB5" i="27"/>
  <c r="R103" i="27"/>
  <c r="S103" i="27" s="1"/>
  <c r="W103" i="27" s="1"/>
  <c r="AB103" i="27" s="1"/>
  <c r="R51" i="27"/>
  <c r="S51" i="27" s="1"/>
  <c r="W51" i="27" s="1"/>
  <c r="AB51" i="27" s="1"/>
  <c r="N105" i="27"/>
  <c r="O105" i="27"/>
  <c r="P105" i="27" s="1"/>
  <c r="Q92" i="27"/>
  <c r="L93" i="27"/>
  <c r="AL93" i="27" s="1"/>
  <c r="Y93" i="27"/>
  <c r="AA92" i="27"/>
  <c r="AH92" i="27" s="1"/>
  <c r="N91" i="27"/>
  <c r="O91" i="27" s="1"/>
  <c r="P91" i="27" s="1"/>
  <c r="R91" i="27" s="1"/>
  <c r="S91" i="27" s="1"/>
  <c r="W91" i="27" s="1"/>
  <c r="AB91" i="27" s="1"/>
  <c r="N65" i="27"/>
  <c r="O65" i="27" s="1"/>
  <c r="P65" i="27" s="1"/>
  <c r="R65" i="27" s="1"/>
  <c r="S65" i="27" s="1"/>
  <c r="W65" i="27" s="1"/>
  <c r="AB65" i="27" s="1"/>
  <c r="AI65" i="27" s="1"/>
  <c r="Y69" i="27"/>
  <c r="M92" i="27"/>
  <c r="C93" i="27"/>
  <c r="I120" i="27"/>
  <c r="L53" i="27"/>
  <c r="AL53" i="27" s="1"/>
  <c r="Q52" i="27"/>
  <c r="N52" i="27"/>
  <c r="O52" i="27" s="1"/>
  <c r="P52" i="27" s="1"/>
  <c r="C67" i="27"/>
  <c r="M66" i="27"/>
  <c r="M53" i="27"/>
  <c r="C54" i="27"/>
  <c r="Q104" i="27"/>
  <c r="L105" i="27"/>
  <c r="AL105" i="27" s="1"/>
  <c r="AA119" i="27"/>
  <c r="AH119" i="27" s="1"/>
  <c r="Y120" i="27"/>
  <c r="Y107" i="27"/>
  <c r="AA106" i="27"/>
  <c r="AH106" i="27" s="1"/>
  <c r="Y81" i="27"/>
  <c r="AA80" i="27"/>
  <c r="AH80" i="27" s="1"/>
  <c r="L67" i="27"/>
  <c r="AL67" i="27" s="1"/>
  <c r="Q66" i="27"/>
  <c r="I68" i="27"/>
  <c r="AC64" i="27"/>
  <c r="AJ64" i="27" s="1"/>
  <c r="I80" i="27"/>
  <c r="Z66" i="27"/>
  <c r="AA65" i="27"/>
  <c r="AH65" i="27" s="1"/>
  <c r="I94" i="27"/>
  <c r="Y54" i="27"/>
  <c r="AA53" i="27"/>
  <c r="AH53" i="27" s="1"/>
  <c r="N117" i="27"/>
  <c r="O117" i="27" s="1"/>
  <c r="P117" i="27" s="1"/>
  <c r="R117" i="27" s="1"/>
  <c r="S117" i="27" s="1"/>
  <c r="W117" i="27" s="1"/>
  <c r="AB117" i="27" s="1"/>
  <c r="N104" i="27"/>
  <c r="O104" i="27" s="1"/>
  <c r="P104" i="27" s="1"/>
  <c r="L119" i="27"/>
  <c r="AL119" i="27" s="1"/>
  <c r="Q118" i="27"/>
  <c r="M78" i="27"/>
  <c r="C79" i="27"/>
  <c r="L79" i="27"/>
  <c r="AL79" i="27" s="1"/>
  <c r="Q78" i="27"/>
  <c r="I54" i="27"/>
  <c r="M106" i="27"/>
  <c r="C107" i="27"/>
  <c r="C119" i="27"/>
  <c r="M118" i="27"/>
  <c r="N77" i="27"/>
  <c r="O77" i="27" s="1"/>
  <c r="P77" i="27" s="1"/>
  <c r="R77" i="27" s="1"/>
  <c r="S77" i="27" s="1"/>
  <c r="W77" i="27" s="1"/>
  <c r="AB77" i="27" s="1"/>
  <c r="I106" i="27"/>
  <c r="AC32" i="27"/>
  <c r="AJ32" i="27" s="1"/>
  <c r="AC19" i="27"/>
  <c r="AJ19" i="27" s="1"/>
  <c r="AA8" i="27"/>
  <c r="AH8" i="27" s="1"/>
  <c r="Y9" i="27"/>
  <c r="C35" i="27"/>
  <c r="M34" i="27"/>
  <c r="L10" i="27"/>
  <c r="AL10" i="27" s="1"/>
  <c r="Q9" i="27"/>
  <c r="AA23" i="27"/>
  <c r="AH23" i="27" s="1"/>
  <c r="Y24" i="27"/>
  <c r="L35" i="27"/>
  <c r="AL35" i="27" s="1"/>
  <c r="Q34" i="27"/>
  <c r="C22" i="27"/>
  <c r="M21" i="27"/>
  <c r="N33" i="27"/>
  <c r="O33" i="27" s="1"/>
  <c r="P33" i="27" s="1"/>
  <c r="R33" i="27" s="1"/>
  <c r="S33" i="27" s="1"/>
  <c r="W33" i="27" s="1"/>
  <c r="AB33" i="27" s="1"/>
  <c r="AI33" i="27" s="1"/>
  <c r="AA34" i="27"/>
  <c r="AH34" i="27" s="1"/>
  <c r="Y35" i="27"/>
  <c r="AA35" i="27" s="1"/>
  <c r="L22" i="27"/>
  <c r="AL22" i="27" s="1"/>
  <c r="Q21" i="27"/>
  <c r="I22" i="27"/>
  <c r="N8" i="27"/>
  <c r="O8" i="27" s="1"/>
  <c r="P8" i="27" s="1"/>
  <c r="R8" i="27" s="1"/>
  <c r="S8" i="27" s="1"/>
  <c r="W8" i="27" s="1"/>
  <c r="AB8" i="27" s="1"/>
  <c r="AI8" i="27" s="1"/>
  <c r="I36" i="27"/>
  <c r="M9" i="27"/>
  <c r="C10" i="27"/>
  <c r="I10" i="27"/>
  <c r="N20" i="27"/>
  <c r="O20" i="27" s="1"/>
  <c r="P20" i="27" s="1"/>
  <c r="R20" i="27" s="1"/>
  <c r="S20" i="27" s="1"/>
  <c r="W20" i="27" s="1"/>
  <c r="AB20" i="27" s="1"/>
  <c r="AI20" i="27" s="1"/>
  <c r="AC6" i="27" l="1"/>
  <c r="AJ6" i="27" s="1"/>
  <c r="AI6" i="27"/>
  <c r="AB7" i="27"/>
  <c r="AC7" i="27" s="1"/>
  <c r="AJ7" i="27" s="1"/>
  <c r="AC91" i="27"/>
  <c r="AJ91" i="27" s="1"/>
  <c r="AI91" i="27"/>
  <c r="AC103" i="27"/>
  <c r="AJ103" i="27" s="1"/>
  <c r="AI103" i="27"/>
  <c r="AC5" i="27"/>
  <c r="AJ5" i="27" s="1"/>
  <c r="AI5" i="27"/>
  <c r="AC117" i="27"/>
  <c r="AJ117" i="27" s="1"/>
  <c r="AI117" i="27"/>
  <c r="X70" i="34"/>
  <c r="AE70" i="34" s="1"/>
  <c r="AC77" i="27"/>
  <c r="AJ77" i="27" s="1"/>
  <c r="AI77" i="27"/>
  <c r="P83" i="34"/>
  <c r="Q83" i="34" s="1"/>
  <c r="R83" i="34" s="1"/>
  <c r="W83" i="34" s="1"/>
  <c r="AD83" i="34" s="1"/>
  <c r="AG83" i="34"/>
  <c r="AC51" i="27"/>
  <c r="AJ51" i="27" s="1"/>
  <c r="AI51" i="27"/>
  <c r="X16" i="34"/>
  <c r="AE16" i="34" s="1"/>
  <c r="X94" i="34"/>
  <c r="AE94" i="34" s="1"/>
  <c r="X106" i="34"/>
  <c r="AE106" i="34" s="1"/>
  <c r="X82" i="34"/>
  <c r="AE82" i="34" s="1"/>
  <c r="X118" i="34"/>
  <c r="AE118" i="34" s="1"/>
  <c r="X83" i="34"/>
  <c r="AE83" i="34" s="1"/>
  <c r="X57" i="34"/>
  <c r="AE57" i="34" s="1"/>
  <c r="K96" i="34"/>
  <c r="P95" i="34"/>
  <c r="Q95" i="34" s="1"/>
  <c r="R95" i="34" s="1"/>
  <c r="W95" i="34" s="1"/>
  <c r="AD95" i="34" s="1"/>
  <c r="K120" i="34"/>
  <c r="AG120" i="34" s="1"/>
  <c r="P119" i="34"/>
  <c r="Q119" i="34" s="1"/>
  <c r="R119" i="34" s="1"/>
  <c r="W119" i="34" s="1"/>
  <c r="AD119" i="34" s="1"/>
  <c r="K108" i="34"/>
  <c r="AG108" i="34" s="1"/>
  <c r="P107" i="34"/>
  <c r="Q107" i="34" s="1"/>
  <c r="R107" i="34" s="1"/>
  <c r="W107" i="34" s="1"/>
  <c r="AD107" i="34" s="1"/>
  <c r="AC65" i="27"/>
  <c r="AJ65" i="27" s="1"/>
  <c r="R52" i="27"/>
  <c r="S52" i="27" s="1"/>
  <c r="W52" i="27" s="1"/>
  <c r="AB52" i="27" s="1"/>
  <c r="R104" i="27"/>
  <c r="S104" i="27" s="1"/>
  <c r="W104" i="27" s="1"/>
  <c r="AB104" i="27" s="1"/>
  <c r="L120" i="27"/>
  <c r="AL120" i="27" s="1"/>
  <c r="Q119" i="27"/>
  <c r="C108" i="27"/>
  <c r="I95" i="27"/>
  <c r="N66" i="27"/>
  <c r="O66" i="27" s="1"/>
  <c r="P66" i="27" s="1"/>
  <c r="R66" i="27" s="1"/>
  <c r="S66" i="27" s="1"/>
  <c r="W66" i="27" s="1"/>
  <c r="AB66" i="27" s="1"/>
  <c r="AI66" i="27" s="1"/>
  <c r="M93" i="27"/>
  <c r="C94" i="27"/>
  <c r="AA107" i="27"/>
  <c r="AH107" i="27" s="1"/>
  <c r="Y108" i="27"/>
  <c r="AA108" i="27" s="1"/>
  <c r="AH108" i="27" s="1"/>
  <c r="M67" i="27"/>
  <c r="C68" i="27"/>
  <c r="N92" i="27"/>
  <c r="O92" i="27" s="1"/>
  <c r="P92" i="27" s="1"/>
  <c r="R92" i="27" s="1"/>
  <c r="S92" i="27" s="1"/>
  <c r="W92" i="27" s="1"/>
  <c r="AB92" i="27" s="1"/>
  <c r="AA120" i="27"/>
  <c r="AH120" i="27" s="1"/>
  <c r="Y121" i="27"/>
  <c r="AA121" i="27" s="1"/>
  <c r="AH121" i="27" s="1"/>
  <c r="I107" i="27"/>
  <c r="I55" i="27"/>
  <c r="I69" i="27"/>
  <c r="Z67" i="27"/>
  <c r="AA66" i="27"/>
  <c r="AH66" i="27" s="1"/>
  <c r="Y94" i="27"/>
  <c r="AA93" i="27"/>
  <c r="AH93" i="27" s="1"/>
  <c r="I81" i="27"/>
  <c r="Q105" i="27"/>
  <c r="R105" i="27" s="1"/>
  <c r="S105" i="27" s="1"/>
  <c r="W105" i="27" s="1"/>
  <c r="AB105" i="27" s="1"/>
  <c r="L106" i="27"/>
  <c r="AL106" i="27" s="1"/>
  <c r="Q93" i="27"/>
  <c r="L94" i="27"/>
  <c r="AL94" i="27" s="1"/>
  <c r="Q67" i="27"/>
  <c r="L68" i="27"/>
  <c r="AL68" i="27" s="1"/>
  <c r="M79" i="27"/>
  <c r="C80" i="27"/>
  <c r="N106" i="27"/>
  <c r="O106" i="27" s="1"/>
  <c r="P106" i="27" s="1"/>
  <c r="L80" i="27"/>
  <c r="AL80" i="27" s="1"/>
  <c r="Q79" i="27"/>
  <c r="L54" i="27"/>
  <c r="AL54" i="27" s="1"/>
  <c r="Q53" i="27"/>
  <c r="N118" i="27"/>
  <c r="O118" i="27" s="1"/>
  <c r="P118" i="27" s="1"/>
  <c r="R118" i="27" s="1"/>
  <c r="S118" i="27" s="1"/>
  <c r="W118" i="27" s="1"/>
  <c r="AB118" i="27" s="1"/>
  <c r="C55" i="27"/>
  <c r="M54" i="27"/>
  <c r="C120" i="27"/>
  <c r="M119" i="27"/>
  <c r="N78" i="27"/>
  <c r="O78" i="27" s="1"/>
  <c r="P78" i="27" s="1"/>
  <c r="R78" i="27" s="1"/>
  <c r="S78" i="27" s="1"/>
  <c r="W78" i="27" s="1"/>
  <c r="AB78" i="27" s="1"/>
  <c r="Y55" i="27"/>
  <c r="AA54" i="27"/>
  <c r="AH54" i="27" s="1"/>
  <c r="Y82" i="27"/>
  <c r="AA82" i="27" s="1"/>
  <c r="AH82" i="27" s="1"/>
  <c r="AA81" i="27"/>
  <c r="AH81" i="27" s="1"/>
  <c r="N53" i="27"/>
  <c r="O53" i="27" s="1"/>
  <c r="P53" i="27" s="1"/>
  <c r="I121" i="27"/>
  <c r="AC33" i="27"/>
  <c r="AJ33" i="27" s="1"/>
  <c r="AC20" i="27"/>
  <c r="AJ20" i="27" s="1"/>
  <c r="AC8" i="27"/>
  <c r="AJ8" i="27" s="1"/>
  <c r="I11" i="27"/>
  <c r="I23" i="27"/>
  <c r="N21" i="27"/>
  <c r="O21" i="27" s="1"/>
  <c r="P21" i="27" s="1"/>
  <c r="R21" i="27" s="1"/>
  <c r="S21" i="27" s="1"/>
  <c r="W21" i="27" s="1"/>
  <c r="AB21" i="27" s="1"/>
  <c r="AI21" i="27" s="1"/>
  <c r="C11" i="27"/>
  <c r="M10" i="27"/>
  <c r="Q10" i="27"/>
  <c r="L11" i="27"/>
  <c r="AL11" i="27" s="1"/>
  <c r="C23" i="27"/>
  <c r="M22" i="27"/>
  <c r="N9" i="27"/>
  <c r="O9" i="27" s="1"/>
  <c r="P9" i="27" s="1"/>
  <c r="R9" i="27" s="1"/>
  <c r="S9" i="27" s="1"/>
  <c r="W9" i="27" s="1"/>
  <c r="AB9" i="27" s="1"/>
  <c r="AI9" i="27" s="1"/>
  <c r="L23" i="27"/>
  <c r="AL23" i="27" s="1"/>
  <c r="Q22" i="27"/>
  <c r="N34" i="27"/>
  <c r="O34" i="27" s="1"/>
  <c r="P34" i="27" s="1"/>
  <c r="R34" i="27" s="1"/>
  <c r="S34" i="27" s="1"/>
  <c r="W34" i="27" s="1"/>
  <c r="AB34" i="27" s="1"/>
  <c r="AI34" i="27" s="1"/>
  <c r="Y36" i="27"/>
  <c r="AH35" i="27"/>
  <c r="Q35" i="27"/>
  <c r="L36" i="27"/>
  <c r="AL36" i="27" s="1"/>
  <c r="C36" i="27"/>
  <c r="M35" i="27"/>
  <c r="I37" i="27"/>
  <c r="AA24" i="27"/>
  <c r="AH24" i="27" s="1"/>
  <c r="Y25" i="27"/>
  <c r="AA9" i="27"/>
  <c r="AH9" i="27" s="1"/>
  <c r="Y10" i="27"/>
  <c r="AI7" i="27" l="1"/>
  <c r="AC118" i="27"/>
  <c r="AJ118" i="27" s="1"/>
  <c r="AI118" i="27"/>
  <c r="AC52" i="27"/>
  <c r="AJ52" i="27" s="1"/>
  <c r="AI52" i="27"/>
  <c r="AC92" i="27"/>
  <c r="AJ92" i="27" s="1"/>
  <c r="AI92" i="27"/>
  <c r="P96" i="34"/>
  <c r="Q96" i="34" s="1"/>
  <c r="R96" i="34" s="1"/>
  <c r="W96" i="34" s="1"/>
  <c r="AD96" i="34" s="1"/>
  <c r="AG96" i="34"/>
  <c r="AC105" i="27"/>
  <c r="AJ105" i="27" s="1"/>
  <c r="AI105" i="27"/>
  <c r="AC104" i="27"/>
  <c r="AJ104" i="27" s="1"/>
  <c r="AI104" i="27"/>
  <c r="AC78" i="27"/>
  <c r="AJ78" i="27" s="1"/>
  <c r="AI78" i="27"/>
  <c r="X95" i="34"/>
  <c r="AE95" i="34" s="1"/>
  <c r="X96" i="34"/>
  <c r="AE96" i="34" s="1"/>
  <c r="X119" i="34"/>
  <c r="AE119" i="34" s="1"/>
  <c r="X107" i="34"/>
  <c r="AE107" i="34" s="1"/>
  <c r="K109" i="34"/>
  <c r="P108" i="34"/>
  <c r="Q108" i="34" s="1"/>
  <c r="R108" i="34" s="1"/>
  <c r="W108" i="34" s="1"/>
  <c r="AD108" i="34" s="1"/>
  <c r="K121" i="34"/>
  <c r="AG121" i="34" s="1"/>
  <c r="P120" i="34"/>
  <c r="Q120" i="34" s="1"/>
  <c r="R120" i="34" s="1"/>
  <c r="W120" i="34" s="1"/>
  <c r="AD120" i="34" s="1"/>
  <c r="R53" i="27"/>
  <c r="S53" i="27" s="1"/>
  <c r="W53" i="27" s="1"/>
  <c r="AB53" i="27" s="1"/>
  <c r="Q54" i="27"/>
  <c r="L55" i="27"/>
  <c r="AL55" i="27" s="1"/>
  <c r="C121" i="27"/>
  <c r="M121" i="27" s="1"/>
  <c r="M120" i="27"/>
  <c r="L95" i="27"/>
  <c r="AL95" i="27" s="1"/>
  <c r="Q94" i="27"/>
  <c r="I56" i="27"/>
  <c r="M68" i="27"/>
  <c r="C69" i="27"/>
  <c r="M69" i="27" s="1"/>
  <c r="M55" i="27"/>
  <c r="C56" i="27"/>
  <c r="L81" i="27"/>
  <c r="AL81" i="27" s="1"/>
  <c r="Q80" i="27"/>
  <c r="I108" i="27"/>
  <c r="N67" i="27"/>
  <c r="O67" i="27" s="1"/>
  <c r="P67" i="27" s="1"/>
  <c r="R67" i="27" s="1"/>
  <c r="S67" i="27" s="1"/>
  <c r="W67" i="27" s="1"/>
  <c r="AB67" i="27" s="1"/>
  <c r="AI67" i="27" s="1"/>
  <c r="Q106" i="27"/>
  <c r="R106" i="27" s="1"/>
  <c r="S106" i="27" s="1"/>
  <c r="W106" i="27" s="1"/>
  <c r="AB106" i="27" s="1"/>
  <c r="L107" i="27"/>
  <c r="AL107" i="27" s="1"/>
  <c r="AC66" i="27"/>
  <c r="AJ66" i="27" s="1"/>
  <c r="N54" i="27"/>
  <c r="O54" i="27" s="1"/>
  <c r="P54" i="27" s="1"/>
  <c r="Z68" i="27"/>
  <c r="AA67" i="27"/>
  <c r="AH67" i="27" s="1"/>
  <c r="M108" i="27"/>
  <c r="AA55" i="27"/>
  <c r="AH55" i="27" s="1"/>
  <c r="Y56" i="27"/>
  <c r="AA56" i="27" s="1"/>
  <c r="AH56" i="27" s="1"/>
  <c r="C81" i="27"/>
  <c r="M80" i="27"/>
  <c r="C95" i="27"/>
  <c r="M95" i="27" s="1"/>
  <c r="M94" i="27"/>
  <c r="M107" i="27"/>
  <c r="N79" i="27"/>
  <c r="O79" i="27" s="1"/>
  <c r="P79" i="27" s="1"/>
  <c r="R79" i="27" s="1"/>
  <c r="S79" i="27" s="1"/>
  <c r="W79" i="27" s="1"/>
  <c r="AB79" i="27" s="1"/>
  <c r="I82" i="27"/>
  <c r="N93" i="27"/>
  <c r="O93" i="27" s="1"/>
  <c r="P93" i="27" s="1"/>
  <c r="R93" i="27" s="1"/>
  <c r="S93" i="27" s="1"/>
  <c r="W93" i="27" s="1"/>
  <c r="AB93" i="27" s="1"/>
  <c r="Y95" i="27"/>
  <c r="AA95" i="27" s="1"/>
  <c r="AH95" i="27" s="1"/>
  <c r="AA94" i="27"/>
  <c r="AH94" i="27" s="1"/>
  <c r="N119" i="27"/>
  <c r="O119" i="27" s="1"/>
  <c r="P119" i="27" s="1"/>
  <c r="R119" i="27" s="1"/>
  <c r="S119" i="27" s="1"/>
  <c r="W119" i="27" s="1"/>
  <c r="AB119" i="27" s="1"/>
  <c r="L69" i="27"/>
  <c r="Q68" i="27"/>
  <c r="L121" i="27"/>
  <c r="Q120" i="27"/>
  <c r="AC34" i="27"/>
  <c r="AJ34" i="27" s="1"/>
  <c r="AC21" i="27"/>
  <c r="AJ21" i="27" s="1"/>
  <c r="AA10" i="27"/>
  <c r="AH10" i="27" s="1"/>
  <c r="Y11" i="27"/>
  <c r="L24" i="27"/>
  <c r="AL24" i="27" s="1"/>
  <c r="Q23" i="27"/>
  <c r="C12" i="27"/>
  <c r="M11" i="27"/>
  <c r="L37" i="27"/>
  <c r="AL37" i="27" s="1"/>
  <c r="Q36" i="27"/>
  <c r="C37" i="27"/>
  <c r="M36" i="27"/>
  <c r="AC9" i="27"/>
  <c r="AJ9" i="27" s="1"/>
  <c r="AA25" i="27"/>
  <c r="AH25" i="27" s="1"/>
  <c r="Y26" i="27"/>
  <c r="I24" i="27"/>
  <c r="N22" i="27"/>
  <c r="O22" i="27" s="1"/>
  <c r="P22" i="27" s="1"/>
  <c r="R22" i="27" s="1"/>
  <c r="S22" i="27" s="1"/>
  <c r="W22" i="27" s="1"/>
  <c r="AB22" i="27" s="1"/>
  <c r="AI22" i="27" s="1"/>
  <c r="Y37" i="27"/>
  <c r="AA36" i="27"/>
  <c r="AH36" i="27" s="1"/>
  <c r="C24" i="27"/>
  <c r="M23" i="27"/>
  <c r="I38" i="27"/>
  <c r="Q11" i="27"/>
  <c r="L12" i="27"/>
  <c r="AL12" i="27" s="1"/>
  <c r="N35" i="27"/>
  <c r="O35" i="27" s="1"/>
  <c r="P35" i="27" s="1"/>
  <c r="R35" i="27" s="1"/>
  <c r="S35" i="27" s="1"/>
  <c r="W35" i="27" s="1"/>
  <c r="N10" i="27"/>
  <c r="O10" i="27" s="1"/>
  <c r="P10" i="27" s="1"/>
  <c r="R10" i="27" s="1"/>
  <c r="S10" i="27" s="1"/>
  <c r="W10" i="27" s="1"/>
  <c r="AB10" i="27" s="1"/>
  <c r="AI10" i="27" s="1"/>
  <c r="I12" i="27"/>
  <c r="AB35" i="27" l="1"/>
  <c r="AC35" i="27" s="1"/>
  <c r="AC79" i="27"/>
  <c r="AJ79" i="27" s="1"/>
  <c r="AI79" i="27"/>
  <c r="AC93" i="27"/>
  <c r="AJ93" i="27" s="1"/>
  <c r="AI93" i="27"/>
  <c r="Q121" i="27"/>
  <c r="AL121" i="27"/>
  <c r="AC53" i="27"/>
  <c r="AJ53" i="27" s="1"/>
  <c r="AI53" i="27"/>
  <c r="AC119" i="27"/>
  <c r="AJ119" i="27" s="1"/>
  <c r="AI119" i="27"/>
  <c r="Q69" i="27"/>
  <c r="AL69" i="27"/>
  <c r="AC106" i="27"/>
  <c r="AJ106" i="27" s="1"/>
  <c r="AI106" i="27"/>
  <c r="P109" i="34"/>
  <c r="Q109" i="34" s="1"/>
  <c r="R109" i="34" s="1"/>
  <c r="W109" i="34" s="1"/>
  <c r="AD109" i="34" s="1"/>
  <c r="AG109" i="34"/>
  <c r="M56" i="27"/>
  <c r="X120" i="34"/>
  <c r="AE120" i="34" s="1"/>
  <c r="X108" i="34"/>
  <c r="AE108" i="34" s="1"/>
  <c r="K122" i="34"/>
  <c r="P121" i="34"/>
  <c r="Q121" i="34" s="1"/>
  <c r="R121" i="34" s="1"/>
  <c r="W121" i="34" s="1"/>
  <c r="AD121" i="34" s="1"/>
  <c r="R54" i="27"/>
  <c r="S54" i="27" s="1"/>
  <c r="W54" i="27" s="1"/>
  <c r="AB54" i="27" s="1"/>
  <c r="AC67" i="27"/>
  <c r="AJ67" i="27" s="1"/>
  <c r="N107" i="27"/>
  <c r="O107" i="27" s="1"/>
  <c r="P107" i="27" s="1"/>
  <c r="N108" i="27"/>
  <c r="O108" i="27" s="1"/>
  <c r="P108" i="27" s="1"/>
  <c r="N94" i="27"/>
  <c r="O94" i="27" s="1"/>
  <c r="P94" i="27" s="1"/>
  <c r="R94" i="27" s="1"/>
  <c r="S94" i="27" s="1"/>
  <c r="W94" i="27" s="1"/>
  <c r="AB94" i="27" s="1"/>
  <c r="L108" i="27"/>
  <c r="Q107" i="27"/>
  <c r="L82" i="27"/>
  <c r="AL82" i="27" s="1"/>
  <c r="Q81" i="27"/>
  <c r="N95" i="27"/>
  <c r="O95" i="27" s="1"/>
  <c r="P95" i="27" s="1"/>
  <c r="N56" i="27"/>
  <c r="O56" i="27" s="1"/>
  <c r="P56" i="27" s="1"/>
  <c r="Q95" i="27"/>
  <c r="Z69" i="27"/>
  <c r="AA69" i="27" s="1"/>
  <c r="AH69" i="27" s="1"/>
  <c r="AA68" i="27"/>
  <c r="AH68" i="27" s="1"/>
  <c r="N55" i="27"/>
  <c r="O55" i="27" s="1"/>
  <c r="P55" i="27" s="1"/>
  <c r="N120" i="27"/>
  <c r="O120" i="27" s="1"/>
  <c r="P120" i="27" s="1"/>
  <c r="R120" i="27" s="1"/>
  <c r="S120" i="27" s="1"/>
  <c r="W120" i="27" s="1"/>
  <c r="AB120" i="27" s="1"/>
  <c r="N121" i="27"/>
  <c r="O121" i="27" s="1"/>
  <c r="P121" i="27" s="1"/>
  <c r="R121" i="27" s="1"/>
  <c r="S121" i="27" s="1"/>
  <c r="W121" i="27" s="1"/>
  <c r="AB121" i="27" s="1"/>
  <c r="N80" i="27"/>
  <c r="O80" i="27" s="1"/>
  <c r="P80" i="27" s="1"/>
  <c r="R80" i="27" s="1"/>
  <c r="S80" i="27" s="1"/>
  <c r="W80" i="27" s="1"/>
  <c r="AB80" i="27" s="1"/>
  <c r="M81" i="27"/>
  <c r="C82" i="27"/>
  <c r="M82" i="27" s="1"/>
  <c r="N69" i="27"/>
  <c r="O69" i="27" s="1"/>
  <c r="P69" i="27" s="1"/>
  <c r="L56" i="27"/>
  <c r="Q55" i="27"/>
  <c r="N68" i="27"/>
  <c r="O68" i="27" s="1"/>
  <c r="P68" i="27" s="1"/>
  <c r="R68" i="27" s="1"/>
  <c r="S68" i="27" s="1"/>
  <c r="W68" i="27" s="1"/>
  <c r="AB68" i="27" s="1"/>
  <c r="AI68" i="27" s="1"/>
  <c r="AJ35" i="27"/>
  <c r="AC22" i="27"/>
  <c r="AJ22" i="27" s="1"/>
  <c r="AC10" i="27"/>
  <c r="AJ10" i="27" s="1"/>
  <c r="I39" i="27"/>
  <c r="N23" i="27"/>
  <c r="O23" i="27" s="1"/>
  <c r="P23" i="27" s="1"/>
  <c r="R23" i="27" s="1"/>
  <c r="S23" i="27" s="1"/>
  <c r="W23" i="27" s="1"/>
  <c r="AB23" i="27" s="1"/>
  <c r="AI23" i="27" s="1"/>
  <c r="I25" i="27"/>
  <c r="L38" i="27"/>
  <c r="AL38" i="27" s="1"/>
  <c r="Q37" i="27"/>
  <c r="M24" i="27"/>
  <c r="C25" i="27"/>
  <c r="N11" i="27"/>
  <c r="O11" i="27" s="1"/>
  <c r="P11" i="27" s="1"/>
  <c r="R11" i="27" s="1"/>
  <c r="S11" i="27" s="1"/>
  <c r="W11" i="27" s="1"/>
  <c r="AB11" i="27" s="1"/>
  <c r="AI11" i="27" s="1"/>
  <c r="AA26" i="27"/>
  <c r="AH26" i="27" s="1"/>
  <c r="Y27" i="27"/>
  <c r="C13" i="27"/>
  <c r="M12" i="27"/>
  <c r="AA37" i="27"/>
  <c r="AH37" i="27" s="1"/>
  <c r="Y38" i="27"/>
  <c r="I13" i="27"/>
  <c r="C38" i="27"/>
  <c r="M37" i="27"/>
  <c r="Q12" i="27"/>
  <c r="L13" i="27"/>
  <c r="AL13" i="27" s="1"/>
  <c r="Q24" i="27"/>
  <c r="L25" i="27"/>
  <c r="AL25" i="27" s="1"/>
  <c r="N36" i="27"/>
  <c r="O36" i="27" s="1"/>
  <c r="P36" i="27" s="1"/>
  <c r="R36" i="27" s="1"/>
  <c r="S36" i="27" s="1"/>
  <c r="W36" i="27" s="1"/>
  <c r="AB36" i="27" s="1"/>
  <c r="AI36" i="27" s="1"/>
  <c r="AA11" i="27"/>
  <c r="AH11" i="27" s="1"/>
  <c r="Y12" i="27"/>
  <c r="R69" i="27" l="1"/>
  <c r="S69" i="27" s="1"/>
  <c r="W69" i="27" s="1"/>
  <c r="AB69" i="27" s="1"/>
  <c r="AI69" i="27" s="1"/>
  <c r="AI35" i="27"/>
  <c r="AC120" i="27"/>
  <c r="AJ120" i="27" s="1"/>
  <c r="AI120" i="27"/>
  <c r="Q56" i="27"/>
  <c r="AL56" i="27"/>
  <c r="P122" i="34"/>
  <c r="Q122" i="34" s="1"/>
  <c r="R122" i="34" s="1"/>
  <c r="W122" i="34" s="1"/>
  <c r="AD122" i="34" s="1"/>
  <c r="AG122" i="34"/>
  <c r="AC54" i="27"/>
  <c r="AJ54" i="27" s="1"/>
  <c r="AI54" i="27"/>
  <c r="Q108" i="27"/>
  <c r="AL108" i="27"/>
  <c r="X109" i="34"/>
  <c r="AE109" i="34" s="1"/>
  <c r="AC80" i="27"/>
  <c r="AJ80" i="27" s="1"/>
  <c r="AI80" i="27"/>
  <c r="AC94" i="27"/>
  <c r="AJ94" i="27" s="1"/>
  <c r="AI94" i="27"/>
  <c r="AC121" i="27"/>
  <c r="AJ121" i="27" s="1"/>
  <c r="AI121" i="27"/>
  <c r="X121" i="34"/>
  <c r="AE121" i="34" s="1"/>
  <c r="X122" i="34"/>
  <c r="AE122" i="34" s="1"/>
  <c r="R55" i="27"/>
  <c r="S55" i="27" s="1"/>
  <c r="W55" i="27" s="1"/>
  <c r="AB55" i="27" s="1"/>
  <c r="R56" i="27"/>
  <c r="S56" i="27" s="1"/>
  <c r="W56" i="27" s="1"/>
  <c r="AB56" i="27" s="1"/>
  <c r="R108" i="27"/>
  <c r="S108" i="27" s="1"/>
  <c r="W108" i="27" s="1"/>
  <c r="AB108" i="27" s="1"/>
  <c r="R107" i="27"/>
  <c r="S107" i="27" s="1"/>
  <c r="W107" i="27" s="1"/>
  <c r="AB107" i="27" s="1"/>
  <c r="R95" i="27"/>
  <c r="S95" i="27" s="1"/>
  <c r="W95" i="27" s="1"/>
  <c r="AB95" i="27" s="1"/>
  <c r="N82" i="27"/>
  <c r="O82" i="27" s="1"/>
  <c r="P82" i="27" s="1"/>
  <c r="N81" i="27"/>
  <c r="O81" i="27"/>
  <c r="P81" i="27" s="1"/>
  <c r="R81" i="27" s="1"/>
  <c r="S81" i="27" s="1"/>
  <c r="W81" i="27" s="1"/>
  <c r="AB81" i="27" s="1"/>
  <c r="AC68" i="27"/>
  <c r="AJ68" i="27" s="1"/>
  <c r="AC69" i="27"/>
  <c r="AJ69" i="27" s="1"/>
  <c r="Q82" i="27"/>
  <c r="AC36" i="27"/>
  <c r="AJ36" i="27" s="1"/>
  <c r="AC23" i="27"/>
  <c r="AJ23" i="27" s="1"/>
  <c r="N24" i="27"/>
  <c r="O24" i="27" s="1"/>
  <c r="P24" i="27" s="1"/>
  <c r="R24" i="27" s="1"/>
  <c r="S24" i="27" s="1"/>
  <c r="W24" i="27" s="1"/>
  <c r="AB24" i="27" s="1"/>
  <c r="AI24" i="27" s="1"/>
  <c r="C14" i="27"/>
  <c r="M13" i="27"/>
  <c r="AC11" i="27"/>
  <c r="AJ11" i="27" s="1"/>
  <c r="N37" i="27"/>
  <c r="O37" i="27" s="1"/>
  <c r="P37" i="27" s="1"/>
  <c r="R37" i="27" s="1"/>
  <c r="S37" i="27" s="1"/>
  <c r="W37" i="27" s="1"/>
  <c r="AB37" i="27" s="1"/>
  <c r="AI37" i="27" s="1"/>
  <c r="Y28" i="27"/>
  <c r="AA27" i="27"/>
  <c r="AH27" i="27" s="1"/>
  <c r="Q38" i="27"/>
  <c r="L39" i="27"/>
  <c r="AL39" i="27" s="1"/>
  <c r="N12" i="27"/>
  <c r="O12" i="27" s="1"/>
  <c r="P12" i="27" s="1"/>
  <c r="R12" i="27" s="1"/>
  <c r="S12" i="27" s="1"/>
  <c r="W12" i="27" s="1"/>
  <c r="AB12" i="27" s="1"/>
  <c r="AI12" i="27" s="1"/>
  <c r="Y13" i="27"/>
  <c r="AA12" i="27"/>
  <c r="AH12" i="27" s="1"/>
  <c r="C39" i="27"/>
  <c r="M38" i="27"/>
  <c r="I14" i="27"/>
  <c r="I26" i="27"/>
  <c r="I40" i="27"/>
  <c r="AA38" i="27"/>
  <c r="AH38" i="27" s="1"/>
  <c r="Y39" i="27"/>
  <c r="Q25" i="27"/>
  <c r="L26" i="27"/>
  <c r="AL26" i="27" s="1"/>
  <c r="Q13" i="27"/>
  <c r="L14" i="27"/>
  <c r="AL14" i="27" s="1"/>
  <c r="M25" i="27"/>
  <c r="C26" i="27"/>
  <c r="AC107" i="27" l="1"/>
  <c r="AJ107" i="27" s="1"/>
  <c r="AI107" i="27"/>
  <c r="AC108" i="27"/>
  <c r="AJ108" i="27" s="1"/>
  <c r="AI108" i="27"/>
  <c r="AC56" i="27"/>
  <c r="AJ56" i="27" s="1"/>
  <c r="AI56" i="27"/>
  <c r="AC55" i="27"/>
  <c r="AJ55" i="27" s="1"/>
  <c r="AI55" i="27"/>
  <c r="AC81" i="27"/>
  <c r="AJ81" i="27" s="1"/>
  <c r="AI81" i="27"/>
  <c r="AC95" i="27"/>
  <c r="AJ95" i="27" s="1"/>
  <c r="AI95" i="27"/>
  <c r="R82" i="27"/>
  <c r="S82" i="27" s="1"/>
  <c r="W82" i="27" s="1"/>
  <c r="AB82" i="27" s="1"/>
  <c r="AC37" i="27"/>
  <c r="AJ37" i="27" s="1"/>
  <c r="AC24" i="27"/>
  <c r="AJ24" i="27" s="1"/>
  <c r="N25" i="27"/>
  <c r="O25" i="27" s="1"/>
  <c r="P25" i="27" s="1"/>
  <c r="R25" i="27" s="1"/>
  <c r="S25" i="27" s="1"/>
  <c r="W25" i="27" s="1"/>
  <c r="AB25" i="27" s="1"/>
  <c r="AI25" i="27" s="1"/>
  <c r="C27" i="27"/>
  <c r="M26" i="27"/>
  <c r="C40" i="27"/>
  <c r="M39" i="27"/>
  <c r="AA28" i="27"/>
  <c r="AH28" i="27" s="1"/>
  <c r="Y29" i="27"/>
  <c r="AA29" i="27" s="1"/>
  <c r="AH29" i="27" s="1"/>
  <c r="Y14" i="27"/>
  <c r="AA13" i="27"/>
  <c r="AH13" i="27" s="1"/>
  <c r="Q26" i="27"/>
  <c r="L27" i="27"/>
  <c r="AL27" i="27" s="1"/>
  <c r="N13" i="27"/>
  <c r="O13" i="27" s="1"/>
  <c r="P13" i="27" s="1"/>
  <c r="R13" i="27" s="1"/>
  <c r="S13" i="27" s="1"/>
  <c r="W13" i="27" s="1"/>
  <c r="AB13" i="27" s="1"/>
  <c r="AI13" i="27" s="1"/>
  <c r="L40" i="27"/>
  <c r="AL40" i="27" s="1"/>
  <c r="Q39" i="27"/>
  <c r="C15" i="27"/>
  <c r="M14" i="27"/>
  <c r="AC12" i="27"/>
  <c r="AJ12" i="27" s="1"/>
  <c r="I41" i="27"/>
  <c r="L15" i="27"/>
  <c r="AL15" i="27" s="1"/>
  <c r="Q14" i="27"/>
  <c r="I27" i="27"/>
  <c r="I15" i="27"/>
  <c r="AA39" i="27"/>
  <c r="AH39" i="27" s="1"/>
  <c r="Y40" i="27"/>
  <c r="N38" i="27"/>
  <c r="O38" i="27" s="1"/>
  <c r="P38" i="27" s="1"/>
  <c r="R38" i="27" s="1"/>
  <c r="S38" i="27" s="1"/>
  <c r="W38" i="27" s="1"/>
  <c r="AB38" i="27" s="1"/>
  <c r="AI38" i="27" s="1"/>
  <c r="AC82" i="27" l="1"/>
  <c r="AJ82" i="27" s="1"/>
  <c r="AI82" i="27"/>
  <c r="AC38" i="27"/>
  <c r="AJ38" i="27" s="1"/>
  <c r="AC25" i="27"/>
  <c r="AJ25" i="27" s="1"/>
  <c r="Q40" i="27"/>
  <c r="L41" i="27"/>
  <c r="AL41" i="27" s="1"/>
  <c r="N39" i="27"/>
  <c r="O39" i="27" s="1"/>
  <c r="P39" i="27" s="1"/>
  <c r="R39" i="27" s="1"/>
  <c r="S39" i="27" s="1"/>
  <c r="W39" i="27" s="1"/>
  <c r="AB39" i="27" s="1"/>
  <c r="AI39" i="27" s="1"/>
  <c r="AA40" i="27"/>
  <c r="AH40" i="27" s="1"/>
  <c r="Y41" i="27"/>
  <c r="I42" i="27"/>
  <c r="C41" i="27"/>
  <c r="M40" i="27"/>
  <c r="Q27" i="27"/>
  <c r="L28" i="27"/>
  <c r="AL28" i="27" s="1"/>
  <c r="N26" i="27"/>
  <c r="O26" i="27" s="1"/>
  <c r="P26" i="27" s="1"/>
  <c r="R26" i="27" s="1"/>
  <c r="S26" i="27" s="1"/>
  <c r="W26" i="27" s="1"/>
  <c r="AB26" i="27" s="1"/>
  <c r="AI26" i="27" s="1"/>
  <c r="I16" i="27"/>
  <c r="M27" i="27"/>
  <c r="C28" i="27"/>
  <c r="L16" i="27"/>
  <c r="Q15" i="27"/>
  <c r="N14" i="27"/>
  <c r="O14" i="27" s="1"/>
  <c r="P14" i="27" s="1"/>
  <c r="R14" i="27" s="1"/>
  <c r="S14" i="27" s="1"/>
  <c r="W14" i="27" s="1"/>
  <c r="AB14" i="27" s="1"/>
  <c r="AI14" i="27" s="1"/>
  <c r="AC13" i="27"/>
  <c r="AJ13" i="27" s="1"/>
  <c r="I28" i="27"/>
  <c r="C16" i="27"/>
  <c r="M15" i="27"/>
  <c r="Y15" i="27"/>
  <c r="AA14" i="27"/>
  <c r="AH14" i="27" s="1"/>
  <c r="Q16" i="27" l="1"/>
  <c r="AL16" i="27"/>
  <c r="AC39" i="27"/>
  <c r="AJ39" i="27" s="1"/>
  <c r="AC26" i="27"/>
  <c r="AJ26" i="27" s="1"/>
  <c r="AC14" i="27"/>
  <c r="AJ14" i="27" s="1"/>
  <c r="Y42" i="27"/>
  <c r="AA42" i="27" s="1"/>
  <c r="AH42" i="27" s="1"/>
  <c r="AA41" i="27"/>
  <c r="AH41" i="27" s="1"/>
  <c r="L29" i="27"/>
  <c r="AL29" i="27" s="1"/>
  <c r="Q28" i="27"/>
  <c r="M16" i="27"/>
  <c r="C29" i="27"/>
  <c r="M28" i="27"/>
  <c r="M41" i="27"/>
  <c r="C42" i="27"/>
  <c r="M42" i="27" s="1"/>
  <c r="AA15" i="27"/>
  <c r="AH15" i="27" s="1"/>
  <c r="Y16" i="27"/>
  <c r="AA16" i="27" s="1"/>
  <c r="AH16" i="27" s="1"/>
  <c r="N15" i="27"/>
  <c r="O15" i="27" s="1"/>
  <c r="P15" i="27" s="1"/>
  <c r="R15" i="27" s="1"/>
  <c r="S15" i="27" s="1"/>
  <c r="W15" i="27" s="1"/>
  <c r="AB15" i="27" s="1"/>
  <c r="AI15" i="27" s="1"/>
  <c r="I29" i="27"/>
  <c r="N27" i="27"/>
  <c r="O27" i="27" s="1"/>
  <c r="P27" i="27" s="1"/>
  <c r="R27" i="27" s="1"/>
  <c r="S27" i="27" s="1"/>
  <c r="W27" i="27" s="1"/>
  <c r="AB27" i="27" s="1"/>
  <c r="AI27" i="27" s="1"/>
  <c r="N40" i="27"/>
  <c r="O40" i="27" s="1"/>
  <c r="P40" i="27" s="1"/>
  <c r="R40" i="27" s="1"/>
  <c r="S40" i="27" s="1"/>
  <c r="W40" i="27" s="1"/>
  <c r="AB40" i="27" s="1"/>
  <c r="AI40" i="27" s="1"/>
  <c r="Q41" i="27"/>
  <c r="L42" i="27"/>
  <c r="AL42" i="27" s="1"/>
  <c r="AC40" i="27" l="1"/>
  <c r="AJ40" i="27" s="1"/>
  <c r="AC27" i="27"/>
  <c r="AJ27" i="27" s="1"/>
  <c r="Q29" i="27"/>
  <c r="N28" i="27"/>
  <c r="O28" i="27" s="1"/>
  <c r="P28" i="27" s="1"/>
  <c r="R28" i="27" s="1"/>
  <c r="S28" i="27" s="1"/>
  <c r="W28" i="27" s="1"/>
  <c r="AB28" i="27" s="1"/>
  <c r="AI28" i="27" s="1"/>
  <c r="AC15" i="27"/>
  <c r="AJ15" i="27" s="1"/>
  <c r="N42" i="27"/>
  <c r="O42" i="27" s="1"/>
  <c r="P42" i="27" s="1"/>
  <c r="N41" i="27"/>
  <c r="O41" i="27" s="1"/>
  <c r="P41" i="27" s="1"/>
  <c r="R41" i="27" s="1"/>
  <c r="S41" i="27" s="1"/>
  <c r="W41" i="27" s="1"/>
  <c r="AB41" i="27" s="1"/>
  <c r="AI41" i="27" s="1"/>
  <c r="M29" i="27"/>
  <c r="Q42" i="27"/>
  <c r="N16" i="27"/>
  <c r="O16" i="27" s="1"/>
  <c r="P16" i="27" s="1"/>
  <c r="R16" i="27" s="1"/>
  <c r="S16" i="27" s="1"/>
  <c r="W16" i="27" s="1"/>
  <c r="AB16" i="27" s="1"/>
  <c r="Q21" i="25"/>
  <c r="Q22" i="25"/>
  <c r="Q23" i="25"/>
  <c r="Q24" i="25"/>
  <c r="Q25" i="25"/>
  <c r="Q26" i="25"/>
  <c r="L4" i="25"/>
  <c r="L34" i="25"/>
  <c r="L28" i="25"/>
  <c r="L22" i="25"/>
  <c r="L16" i="25"/>
  <c r="L10" i="25"/>
  <c r="AC16" i="27" l="1"/>
  <c r="AJ16" i="27" s="1"/>
  <c r="AI16" i="27"/>
  <c r="AC41" i="27"/>
  <c r="AJ41" i="27" s="1"/>
  <c r="AC28" i="27"/>
  <c r="AJ28" i="27" s="1"/>
  <c r="R42" i="27"/>
  <c r="S42" i="27" s="1"/>
  <c r="W42" i="27" s="1"/>
  <c r="AB42" i="27" s="1"/>
  <c r="AI42" i="27" s="1"/>
  <c r="N29" i="27"/>
  <c r="O29" i="27" s="1"/>
  <c r="P29" i="27" s="1"/>
  <c r="R29" i="27" s="1"/>
  <c r="S29" i="27" s="1"/>
  <c r="W29" i="27" s="1"/>
  <c r="AB29" i="27" s="1"/>
  <c r="AI29" i="27" s="1"/>
  <c r="AC42" i="27" l="1"/>
  <c r="AJ42" i="27" s="1"/>
  <c r="AC29" i="27"/>
  <c r="AJ29" i="27" s="1"/>
</calcChain>
</file>

<file path=xl/sharedStrings.xml><?xml version="1.0" encoding="utf-8"?>
<sst xmlns="http://schemas.openxmlformats.org/spreadsheetml/2006/main" count="443" uniqueCount="128">
  <si>
    <t>Variable</t>
  </si>
  <si>
    <t>Desagregación</t>
  </si>
  <si>
    <t>Estimación</t>
  </si>
  <si>
    <t>Error estándar</t>
  </si>
  <si>
    <t>95% de intervalo de confianza (Inferior)</t>
  </si>
  <si>
    <t>95% de intervalo de confianza (Superior)</t>
  </si>
  <si>
    <t>Coeficiente de variación</t>
  </si>
  <si>
    <t>Efecto de diseño</t>
  </si>
  <si>
    <t>Tamaño de la población</t>
  </si>
  <si>
    <t>Recuento no ponderado</t>
  </si>
  <si>
    <t>CV deseado</t>
  </si>
  <si>
    <t>p</t>
  </si>
  <si>
    <t>q</t>
  </si>
  <si>
    <t>Var</t>
  </si>
  <si>
    <t>Numerador</t>
  </si>
  <si>
    <t>Denominador</t>
  </si>
  <si>
    <r>
      <t>n</t>
    </r>
    <r>
      <rPr>
        <vertAlign val="subscript"/>
        <sz val="11"/>
        <color indexed="62"/>
        <rFont val="Arial"/>
        <family val="2"/>
      </rPr>
      <t>2</t>
    </r>
  </si>
  <si>
    <t>PM</t>
  </si>
  <si>
    <t>TR</t>
  </si>
  <si>
    <t>UPM</t>
  </si>
  <si>
    <t>Coeficiente de correlación intraclase (rho)</t>
  </si>
  <si>
    <t>Nacional</t>
  </si>
  <si>
    <t>Zona Urbana</t>
  </si>
  <si>
    <t>Zona Rural</t>
  </si>
  <si>
    <t>Muestra UPM</t>
  </si>
  <si>
    <t>Efecto de diseño esperado</t>
  </si>
  <si>
    <t>*con ajuste por pérdida de muestra</t>
  </si>
  <si>
    <t>Hogares en pobreza extrema</t>
  </si>
  <si>
    <r>
      <t>n</t>
    </r>
    <r>
      <rPr>
        <vertAlign val="subscript"/>
        <sz val="11"/>
        <color indexed="62"/>
        <rFont val="Arial"/>
        <family val="2"/>
      </rPr>
      <t>1</t>
    </r>
  </si>
  <si>
    <t>Tamaño del conglomerado ajustado por pérdida</t>
  </si>
  <si>
    <t>Tamaño de muestra ajustado por pérdida</t>
  </si>
  <si>
    <t>Sin ajuste por pérdida de muestra</t>
  </si>
  <si>
    <t>b efectivo (lo que regresa de campo)</t>
  </si>
  <si>
    <t>Muestra que sale a campo</t>
  </si>
  <si>
    <t>b que sale a campo</t>
  </si>
  <si>
    <t>Muestra que regresa de campo</t>
  </si>
  <si>
    <t>Cantidad de viviendas a seleccionar dentro de UPM*</t>
  </si>
  <si>
    <t>Muestra Viviendas*</t>
  </si>
  <si>
    <t>Tamaño del conglomerado (vivs a seleccionar por UPM)</t>
  </si>
  <si>
    <t>Personas</t>
  </si>
  <si>
    <t>Finitud</t>
  </si>
  <si>
    <t>FT</t>
  </si>
  <si>
    <t>Pers x hog</t>
  </si>
  <si>
    <t>Pérdida muestra</t>
  </si>
  <si>
    <r>
      <t>r</t>
    </r>
    <r>
      <rPr>
        <b/>
        <vertAlign val="subscript"/>
        <sz val="10"/>
        <color indexed="62"/>
        <rFont val="Arial"/>
        <family val="2"/>
      </rPr>
      <t>1</t>
    </r>
  </si>
  <si>
    <r>
      <t>r</t>
    </r>
    <r>
      <rPr>
        <b/>
        <vertAlign val="subscript"/>
        <sz val="10"/>
        <color indexed="62"/>
        <rFont val="Arial"/>
        <family val="2"/>
      </rPr>
      <t>2</t>
    </r>
  </si>
  <si>
    <t>PPH</t>
  </si>
  <si>
    <t>Desocupados</t>
  </si>
  <si>
    <t>Ajustes personas a hogares</t>
  </si>
  <si>
    <t>15 y más</t>
  </si>
  <si>
    <t>(DEFF-1)/(b-1)</t>
  </si>
  <si>
    <r>
      <t>n</t>
    </r>
    <r>
      <rPr>
        <b/>
        <vertAlign val="subscript"/>
        <sz val="10"/>
        <color rgb="FF333399"/>
        <rFont val="Arial"/>
        <family val="2"/>
      </rPr>
      <t>3</t>
    </r>
    <r>
      <rPr>
        <b/>
        <sz val="10"/>
        <color indexed="62"/>
        <rFont val="Arial"/>
        <family val="2"/>
      </rPr>
      <t xml:space="preserve"> efectivo sin ajuste por pérdida de muestra</t>
    </r>
  </si>
  <si>
    <t>CV</t>
  </si>
  <si>
    <t>Zona</t>
  </si>
  <si>
    <t/>
  </si>
  <si>
    <t>Estadísticos univariados</t>
  </si>
  <si>
    <t>95% de intervalo de confianza</t>
  </si>
  <si>
    <t>Inferior</t>
  </si>
  <si>
    <t>Superior</t>
  </si>
  <si>
    <t>Suma</t>
  </si>
  <si>
    <t>Población desempleada con valores dicotómicos (base fuerza de trabajo)</t>
  </si>
  <si>
    <t>cuenta</t>
  </si>
  <si>
    <t>Región Central</t>
  </si>
  <si>
    <t>Región Chorotega</t>
  </si>
  <si>
    <t>Región Pacífico Central</t>
  </si>
  <si>
    <t>Región Brunca</t>
  </si>
  <si>
    <t>Región Huetar Norte</t>
  </si>
  <si>
    <t>Región</t>
  </si>
  <si>
    <t>N 15 y más CR</t>
  </si>
  <si>
    <t>Regiones</t>
  </si>
  <si>
    <t>todo viene de spss errores de muestreo</t>
  </si>
  <si>
    <t>N_Hogar(promedia por UPM)</t>
  </si>
  <si>
    <t>Región Huetar Atlántico</t>
  </si>
  <si>
    <t>Total</t>
  </si>
  <si>
    <t>Urbano</t>
  </si>
  <si>
    <t>Rural</t>
  </si>
  <si>
    <t>Central</t>
  </si>
  <si>
    <t>Chorotega</t>
  </si>
  <si>
    <t>Pacífico Central</t>
  </si>
  <si>
    <t>Brunca</t>
  </si>
  <si>
    <t>Huetar Atlántico</t>
  </si>
  <si>
    <t>Huetar Norte</t>
  </si>
  <si>
    <t>b</t>
  </si>
  <si>
    <r>
      <t xml:space="preserve">Se utiliza </t>
    </r>
    <r>
      <rPr>
        <i/>
        <sz val="11"/>
        <color theme="1"/>
        <rFont val="Calibri"/>
        <family val="2"/>
        <scheme val="minor"/>
      </rPr>
      <t>b=8</t>
    </r>
    <r>
      <rPr>
        <sz val="11"/>
        <color theme="1"/>
        <rFont val="Calibri"/>
        <family val="2"/>
        <scheme val="minor"/>
      </rPr>
      <t xml:space="preserve"> porque con un b superior se observaría un </t>
    </r>
    <r>
      <rPr>
        <i/>
        <sz val="11"/>
        <color theme="1"/>
        <rFont val="Calibri"/>
        <family val="2"/>
        <scheme val="minor"/>
      </rPr>
      <t>deff</t>
    </r>
    <r>
      <rPr>
        <sz val="11"/>
        <color theme="1"/>
        <rFont val="Calibri"/>
        <family val="2"/>
        <scheme val="minor"/>
      </rPr>
      <t xml:space="preserve"> esperado superior a 3.</t>
    </r>
  </si>
  <si>
    <t xml:space="preserve"> Total de personas desocupadas.Tamaño de muestra por región según zona, seleccionando 8 viviendas por UPM </t>
  </si>
  <si>
    <t>Total UPM</t>
  </si>
  <si>
    <t>Se utiliza b=8 porque con un b superior se observaría un deff esperado superior a 3.</t>
  </si>
  <si>
    <t>Esto sucede en la zona urbana y a nivel país, no en la zona rural, cuyos deff son siempre inferiores a 3</t>
  </si>
  <si>
    <t xml:space="preserve">Limite inferior </t>
  </si>
  <si>
    <t>Limite Superior</t>
  </si>
  <si>
    <t>Error estandar</t>
  </si>
  <si>
    <t>ICC</t>
  </si>
  <si>
    <t>DEFF</t>
  </si>
  <si>
    <t>tambien se puede hacer el grafico</t>
  </si>
  <si>
    <t xml:space="preserve">Total de Hogares en pobreza extrema. Tamaño de muestra por región según zona, seleccionando 8 viviendas por UPM </t>
  </si>
  <si>
    <t>CV esperado</t>
  </si>
  <si>
    <t>CV Actual</t>
  </si>
  <si>
    <t>Indicadores generales</t>
  </si>
  <si>
    <t>Error típico</t>
  </si>
  <si>
    <t>Intervalo de confianza al 95%</t>
  </si>
  <si>
    <t>Raíz efecto del diseño</t>
  </si>
  <si>
    <t>Muestra</t>
  </si>
  <si>
    <t>Viviendas seleccionadas</t>
  </si>
  <si>
    <t>Huetar Caribe</t>
  </si>
  <si>
    <t xml:space="preserve">Proporción </t>
  </si>
  <si>
    <t xml:space="preserve">Resumen tabla de muestreo </t>
  </si>
  <si>
    <t>Total de desocupados ECE JAS 2022</t>
  </si>
  <si>
    <t xml:space="preserve">Calculo para las tabla de muestreo </t>
  </si>
  <si>
    <t>Total de desocupados JAS 2022</t>
  </si>
  <si>
    <t>Cantidad de viviendas a seleccionar dentro de UPM</t>
  </si>
  <si>
    <t>Muestra UPM urbana</t>
  </si>
  <si>
    <t>Costo por UPM Urbana</t>
  </si>
  <si>
    <t>Muestra UPM rural</t>
  </si>
  <si>
    <t>Costo por UPM Rural</t>
  </si>
  <si>
    <t>Total de hogares en pobreza extrema, ENAHO 2022</t>
  </si>
  <si>
    <t xml:space="preserve">Calculo tabla de muestreo </t>
  </si>
  <si>
    <t xml:space="preserve"> Total de personas desocupadas.Tamaño de muestra trimestral nacional, seleccionando 8 viviendas por UPM </t>
  </si>
  <si>
    <t xml:space="preserve">Total de hogares en pobreza extrema.Tamaño de muestra sumatoria anual nacional, seleccionando 8 viviendas por UPM </t>
  </si>
  <si>
    <t xml:space="preserve"> Total de personas desocupadas.Tamaño de muestra mensual nacional, seleccionando 8 viviendas por UPM </t>
  </si>
  <si>
    <t>Errores de muestreo para la población desempleada, ECE JAS2022</t>
  </si>
  <si>
    <t>Errores de muestreo para para el total de hogares en pobreza extrema, ENAHO 2022</t>
  </si>
  <si>
    <t xml:space="preserve">Presición esperada para el  Total de personas desocupadas.Tamaño de muestra por región y zona, seleccionando 8 viviendas por UPM </t>
  </si>
  <si>
    <t xml:space="preserve">Presición esperada para el Total  de Hogares en pobreza extrema. Tamaño de muestra por región y zona, seleccionando 8 viviendas por UPM </t>
  </si>
  <si>
    <t xml:space="preserve">Amplitud del intervalo con la muestra esperada </t>
  </si>
  <si>
    <t xml:space="preserve">Amplitud del intervalo con la muestra actual </t>
  </si>
  <si>
    <t>cve</t>
  </si>
  <si>
    <t>me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</si>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</sst>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3" formatCode="_-* #,##0.00_-;\-* #,##0.00_-;_-* &quot;-&quot;??_-;_-@_-"/>
    <numFmt numFmtId="164" formatCode="_-&quot;₡&quot;* #,##0.00_-;\-&quot;₡&quot;* #,##0.00_-;_-&quot;₡&quot;* &quot;-&quot;??_-;_-@_-"/>
    <numFmt numFmtId="165" formatCode="#,###,###"/>
    <numFmt numFmtId="166" formatCode="###0.000"/>
    <numFmt numFmtId="167" formatCode="0.0000"/>
    <numFmt numFmtId="168" formatCode="###0.00"/>
    <numFmt numFmtId="169" formatCode="0.000"/>
    <numFmt numFmtId="170" formatCode="0.0"/>
    <numFmt numFmtId="171" formatCode="###0"/>
    <numFmt numFmtId="172" formatCode="###0.00000"/>
    <numFmt numFmtId="173" formatCode="0.00000"/>
    <numFmt numFmtId="174" formatCode="###\ ###\ ##0;_(* \(#,##0\);_(* &quot;-&quot;_);_(@_)"/>
    <numFmt numFmtId="175" formatCode="#,##0.0"/>
    <numFmt numFmtId="176" formatCode="###0.0000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indexed="62"/>
      <name val="Arial"/>
      <family val="2"/>
    </font>
    <font>
      <b/>
      <sz val="10"/>
      <color indexed="62"/>
      <name val="Arial"/>
      <family val="2"/>
    </font>
    <font>
      <b/>
      <sz val="11"/>
      <color indexed="62"/>
      <name val="Arial"/>
      <family val="2"/>
    </font>
    <font>
      <vertAlign val="subscript"/>
      <sz val="11"/>
      <color indexed="62"/>
      <name val="Arial"/>
      <family val="2"/>
    </font>
    <font>
      <sz val="9"/>
      <color indexed="62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indexed="6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vertAlign val="subscript"/>
      <sz val="10"/>
      <color indexed="62"/>
      <name val="Arial"/>
      <family val="2"/>
    </font>
    <font>
      <b/>
      <vertAlign val="subscript"/>
      <sz val="10"/>
      <color rgb="FF333399"/>
      <name val="Arial"/>
      <family val="2"/>
    </font>
    <font>
      <b/>
      <sz val="10"/>
      <color rgb="FF002060"/>
      <name val="Arial"/>
      <family val="2"/>
    </font>
    <font>
      <b/>
      <sz val="11"/>
      <color indexed="60"/>
      <name val="Arial Bold"/>
    </font>
    <font>
      <sz val="9"/>
      <color indexed="6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1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1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1"/>
      </bottom>
      <diagonal/>
    </border>
    <border>
      <left style="thin">
        <color indexed="64"/>
      </left>
      <right style="thin">
        <color indexed="64"/>
      </right>
      <top/>
      <bottom style="thin">
        <color indexed="61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3"/>
      </right>
      <top/>
      <bottom style="thin">
        <color indexed="61"/>
      </bottom>
      <diagonal/>
    </border>
    <border>
      <left style="thin">
        <color theme="4"/>
      </left>
      <right/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</cellStyleXfs>
  <cellXfs count="352">
    <xf numFmtId="0" fontId="0" fillId="0" borderId="0" xfId="0"/>
    <xf numFmtId="0" fontId="6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1" fontId="9" fillId="3" borderId="2" xfId="0" applyNumberFormat="1" applyFont="1" applyFill="1" applyBorder="1"/>
    <xf numFmtId="2" fontId="9" fillId="3" borderId="2" xfId="0" applyNumberFormat="1" applyFont="1" applyFill="1" applyBorder="1"/>
    <xf numFmtId="0" fontId="8" fillId="5" borderId="3" xfId="1" applyFont="1" applyFill="1" applyBorder="1" applyAlignment="1">
      <alignment horizontal="left" wrapText="1"/>
    </xf>
    <xf numFmtId="0" fontId="8" fillId="5" borderId="8" xfId="1" applyFont="1" applyFill="1" applyBorder="1" applyAlignment="1">
      <alignment horizontal="left" wrapText="1"/>
    </xf>
    <xf numFmtId="1" fontId="9" fillId="3" borderId="8" xfId="0" applyNumberFormat="1" applyFont="1" applyFill="1" applyBorder="1"/>
    <xf numFmtId="2" fontId="9" fillId="3" borderId="8" xfId="0" applyNumberFormat="1" applyFont="1" applyFill="1" applyBorder="1"/>
    <xf numFmtId="0" fontId="2" fillId="4" borderId="2" xfId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/>
    <xf numFmtId="166" fontId="10" fillId="3" borderId="6" xfId="1" applyNumberFormat="1" applyFont="1" applyFill="1" applyBorder="1" applyAlignment="1">
      <alignment horizontal="right" vertical="center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2" fontId="9" fillId="6" borderId="2" xfId="0" applyNumberFormat="1" applyFont="1" applyFill="1" applyBorder="1" applyAlignment="1">
      <alignment vertical="center"/>
    </xf>
    <xf numFmtId="165" fontId="11" fillId="6" borderId="4" xfId="2" applyNumberFormat="1" applyFont="1" applyFill="1" applyBorder="1" applyAlignment="1">
      <alignment horizontal="right" vertical="center"/>
    </xf>
    <xf numFmtId="0" fontId="8" fillId="5" borderId="2" xfId="1" applyFont="1" applyFill="1" applyBorder="1" applyAlignment="1">
      <alignment horizontal="left" wrapText="1"/>
    </xf>
    <xf numFmtId="0" fontId="0" fillId="7" borderId="7" xfId="0" applyFill="1" applyBorder="1"/>
    <xf numFmtId="0" fontId="0" fillId="7" borderId="12" xfId="0" applyFill="1" applyBorder="1"/>
    <xf numFmtId="0" fontId="0" fillId="7" borderId="13" xfId="0" applyFill="1" applyBorder="1"/>
    <xf numFmtId="165" fontId="10" fillId="0" borderId="5" xfId="2" applyNumberFormat="1" applyFont="1" applyBorder="1" applyAlignment="1">
      <alignment horizontal="right" vertical="center"/>
    </xf>
    <xf numFmtId="166" fontId="1" fillId="8" borderId="9" xfId="2" applyNumberFormat="1" applyFill="1" applyBorder="1" applyAlignment="1">
      <alignment horizontal="right" vertical="center"/>
    </xf>
    <xf numFmtId="165" fontId="10" fillId="0" borderId="4" xfId="2" applyNumberFormat="1" applyFont="1" applyBorder="1" applyAlignment="1">
      <alignment horizontal="right" vertical="center"/>
    </xf>
    <xf numFmtId="169" fontId="10" fillId="0" borderId="4" xfId="2" applyNumberFormat="1" applyFont="1" applyBorder="1" applyAlignment="1">
      <alignment horizontal="right" vertical="center"/>
    </xf>
    <xf numFmtId="167" fontId="9" fillId="3" borderId="2" xfId="0" applyNumberFormat="1" applyFont="1" applyFill="1" applyBorder="1" applyAlignment="1">
      <alignment vertical="center"/>
    </xf>
    <xf numFmtId="11" fontId="9" fillId="3" borderId="2" xfId="0" applyNumberFormat="1" applyFont="1" applyFill="1" applyBorder="1" applyAlignment="1">
      <alignment vertical="center"/>
    </xf>
    <xf numFmtId="1" fontId="9" fillId="3" borderId="2" xfId="0" applyNumberFormat="1" applyFont="1" applyFill="1" applyBorder="1" applyAlignment="1">
      <alignment vertical="center"/>
    </xf>
    <xf numFmtId="165" fontId="9" fillId="3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11" fillId="6" borderId="15" xfId="2" applyNumberFormat="1" applyFont="1" applyFill="1" applyBorder="1" applyAlignment="1">
      <alignment horizontal="right" vertical="center"/>
    </xf>
    <xf numFmtId="166" fontId="11" fillId="6" borderId="15" xfId="2" applyNumberFormat="1" applyFont="1" applyFill="1" applyBorder="1" applyAlignment="1">
      <alignment horizontal="right" vertical="center"/>
    </xf>
    <xf numFmtId="166" fontId="1" fillId="6" borderId="2" xfId="1" applyNumberFormat="1" applyFill="1" applyBorder="1" applyAlignment="1">
      <alignment horizontal="right" vertical="center"/>
    </xf>
    <xf numFmtId="2" fontId="9" fillId="8" borderId="2" xfId="0" applyNumberFormat="1" applyFont="1" applyFill="1" applyBorder="1" applyAlignment="1">
      <alignment vertical="center"/>
    </xf>
    <xf numFmtId="0" fontId="14" fillId="0" borderId="0" xfId="0" applyFont="1"/>
    <xf numFmtId="0" fontId="2" fillId="4" borderId="7" xfId="1" applyFont="1" applyFill="1" applyBorder="1" applyAlignment="1">
      <alignment horizontal="center" vertical="center" wrapText="1"/>
    </xf>
    <xf numFmtId="1" fontId="10" fillId="3" borderId="2" xfId="0" applyNumberFormat="1" applyFont="1" applyFill="1" applyBorder="1"/>
    <xf numFmtId="3" fontId="9" fillId="6" borderId="2" xfId="0" applyNumberFormat="1" applyFont="1" applyFill="1" applyBorder="1" applyAlignment="1">
      <alignment vertical="center"/>
    </xf>
    <xf numFmtId="3" fontId="10" fillId="3" borderId="2" xfId="0" applyNumberFormat="1" applyFont="1" applyFill="1" applyBorder="1"/>
    <xf numFmtId="0" fontId="16" fillId="0" borderId="0" xfId="0" applyFont="1" applyAlignment="1">
      <alignment vertical="top"/>
    </xf>
    <xf numFmtId="0" fontId="18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4" xfId="0" applyBorder="1"/>
    <xf numFmtId="165" fontId="11" fillId="6" borderId="5" xfId="2" applyNumberFormat="1" applyFont="1" applyFill="1" applyBorder="1" applyAlignment="1">
      <alignment horizontal="right" vertical="center"/>
    </xf>
    <xf numFmtId="166" fontId="11" fillId="6" borderId="5" xfId="2" applyNumberFormat="1" applyFont="1" applyFill="1" applyBorder="1" applyAlignment="1">
      <alignment horizontal="right" vertical="center"/>
    </xf>
    <xf numFmtId="166" fontId="1" fillId="6" borderId="6" xfId="1" applyNumberFormat="1" applyFill="1" applyBorder="1" applyAlignment="1">
      <alignment horizontal="right" vertical="center"/>
    </xf>
    <xf numFmtId="167" fontId="9" fillId="3" borderId="2" xfId="0" applyNumberFormat="1" applyFont="1" applyFill="1" applyBorder="1"/>
    <xf numFmtId="11" fontId="9" fillId="3" borderId="2" xfId="0" applyNumberFormat="1" applyFont="1" applyFill="1" applyBorder="1"/>
    <xf numFmtId="165" fontId="9" fillId="3" borderId="2" xfId="0" applyNumberFormat="1" applyFont="1" applyFill="1" applyBorder="1"/>
    <xf numFmtId="165" fontId="9" fillId="3" borderId="7" xfId="0" applyNumberFormat="1" applyFont="1" applyFill="1" applyBorder="1"/>
    <xf numFmtId="3" fontId="9" fillId="8" borderId="2" xfId="0" applyNumberFormat="1" applyFont="1" applyFill="1" applyBorder="1" applyAlignment="1">
      <alignment vertical="center"/>
    </xf>
    <xf numFmtId="0" fontId="8" fillId="5" borderId="18" xfId="1" applyFont="1" applyFill="1" applyBorder="1" applyAlignment="1">
      <alignment horizontal="left" vertical="top" wrapText="1"/>
    </xf>
    <xf numFmtId="0" fontId="8" fillId="5" borderId="19" xfId="1" applyFont="1" applyFill="1" applyBorder="1" applyAlignment="1">
      <alignment horizontal="left" vertical="center" wrapText="1"/>
    </xf>
    <xf numFmtId="3" fontId="10" fillId="0" borderId="4" xfId="2" applyNumberFormat="1" applyFont="1" applyBorder="1" applyAlignment="1">
      <alignment horizontal="right" vertical="center"/>
    </xf>
    <xf numFmtId="170" fontId="10" fillId="3" borderId="2" xfId="0" applyNumberFormat="1" applyFont="1" applyFill="1" applyBorder="1"/>
    <xf numFmtId="3" fontId="9" fillId="3" borderId="8" xfId="0" applyNumberFormat="1" applyFont="1" applyFill="1" applyBorder="1"/>
    <xf numFmtId="0" fontId="8" fillId="5" borderId="20" xfId="1" applyFont="1" applyFill="1" applyBorder="1" applyAlignment="1">
      <alignment horizontal="left" vertical="top" wrapText="1"/>
    </xf>
    <xf numFmtId="0" fontId="8" fillId="5" borderId="21" xfId="1" applyFont="1" applyFill="1" applyBorder="1" applyAlignment="1">
      <alignment horizontal="left" vertical="center" wrapText="1"/>
    </xf>
    <xf numFmtId="3" fontId="10" fillId="0" borderId="22" xfId="2" applyNumberFormat="1" applyFont="1" applyBorder="1" applyAlignment="1">
      <alignment horizontal="right" vertical="center"/>
    </xf>
    <xf numFmtId="169" fontId="10" fillId="0" borderId="22" xfId="2" applyNumberFormat="1" applyFont="1" applyBorder="1" applyAlignment="1">
      <alignment horizontal="right" vertical="center"/>
    </xf>
    <xf numFmtId="165" fontId="10" fillId="0" borderId="9" xfId="2" applyNumberFormat="1" applyFont="1" applyBorder="1" applyAlignment="1">
      <alignment horizontal="right" vertical="center"/>
    </xf>
    <xf numFmtId="166" fontId="10" fillId="3" borderId="23" xfId="1" applyNumberFormat="1" applyFont="1" applyFill="1" applyBorder="1" applyAlignment="1">
      <alignment horizontal="right" vertical="center"/>
    </xf>
    <xf numFmtId="167" fontId="9" fillId="3" borderId="8" xfId="0" applyNumberFormat="1" applyFont="1" applyFill="1" applyBorder="1"/>
    <xf numFmtId="11" fontId="9" fillId="3" borderId="8" xfId="0" applyNumberFormat="1" applyFont="1" applyFill="1" applyBorder="1"/>
    <xf numFmtId="165" fontId="9" fillId="3" borderId="8" xfId="0" applyNumberFormat="1" applyFont="1" applyFill="1" applyBorder="1"/>
    <xf numFmtId="2" fontId="10" fillId="3" borderId="8" xfId="0" applyNumberFormat="1" applyFont="1" applyFill="1" applyBorder="1"/>
    <xf numFmtId="170" fontId="10" fillId="3" borderId="8" xfId="0" applyNumberFormat="1" applyFont="1" applyFill="1" applyBorder="1"/>
    <xf numFmtId="165" fontId="9" fillId="3" borderId="16" xfId="0" applyNumberFormat="1" applyFont="1" applyFill="1" applyBorder="1"/>
    <xf numFmtId="0" fontId="8" fillId="9" borderId="7" xfId="1" applyFont="1" applyFill="1" applyBorder="1" applyAlignment="1">
      <alignment horizontal="left" vertical="top" wrapText="1"/>
    </xf>
    <xf numFmtId="0" fontId="8" fillId="9" borderId="12" xfId="1" applyFont="1" applyFill="1" applyBorder="1" applyAlignment="1">
      <alignment horizontal="left" vertical="center" wrapText="1"/>
    </xf>
    <xf numFmtId="3" fontId="10" fillId="9" borderId="12" xfId="2" applyNumberFormat="1" applyFont="1" applyFill="1" applyBorder="1" applyAlignment="1">
      <alignment horizontal="right" vertical="center"/>
    </xf>
    <xf numFmtId="169" fontId="10" fillId="9" borderId="12" xfId="2" applyNumberFormat="1" applyFont="1" applyFill="1" applyBorder="1" applyAlignment="1">
      <alignment horizontal="right" vertical="center"/>
    </xf>
    <xf numFmtId="166" fontId="1" fillId="9" borderId="12" xfId="2" applyNumberFormat="1" applyFill="1" applyBorder="1" applyAlignment="1">
      <alignment horizontal="right" vertical="center"/>
    </xf>
    <xf numFmtId="165" fontId="10" fillId="9" borderId="12" xfId="2" applyNumberFormat="1" applyFont="1" applyFill="1" applyBorder="1" applyAlignment="1">
      <alignment horizontal="right" vertical="center"/>
    </xf>
    <xf numFmtId="166" fontId="10" fillId="9" borderId="12" xfId="1" applyNumberFormat="1" applyFont="1" applyFill="1" applyBorder="1" applyAlignment="1">
      <alignment horizontal="right" vertical="center"/>
    </xf>
    <xf numFmtId="167" fontId="9" fillId="9" borderId="12" xfId="0" applyNumberFormat="1" applyFont="1" applyFill="1" applyBorder="1"/>
    <xf numFmtId="11" fontId="9" fillId="9" borderId="12" xfId="0" applyNumberFormat="1" applyFont="1" applyFill="1" applyBorder="1"/>
    <xf numFmtId="1" fontId="9" fillId="9" borderId="12" xfId="0" applyNumberFormat="1" applyFont="1" applyFill="1" applyBorder="1"/>
    <xf numFmtId="165" fontId="9" fillId="9" borderId="12" xfId="0" applyNumberFormat="1" applyFont="1" applyFill="1" applyBorder="1"/>
    <xf numFmtId="2" fontId="10" fillId="9" borderId="12" xfId="0" applyNumberFormat="1" applyFont="1" applyFill="1" applyBorder="1"/>
    <xf numFmtId="170" fontId="10" fillId="9" borderId="12" xfId="0" applyNumberFormat="1" applyFont="1" applyFill="1" applyBorder="1"/>
    <xf numFmtId="165" fontId="11" fillId="6" borderId="24" xfId="2" applyNumberFormat="1" applyFont="1" applyFill="1" applyBorder="1" applyAlignment="1">
      <alignment horizontal="right" vertical="center"/>
    </xf>
    <xf numFmtId="165" fontId="11" fillId="6" borderId="10" xfId="2" applyNumberFormat="1" applyFont="1" applyFill="1" applyBorder="1" applyAlignment="1">
      <alignment horizontal="right" vertical="center"/>
    </xf>
    <xf numFmtId="166" fontId="11" fillId="6" borderId="10" xfId="2" applyNumberFormat="1" applyFont="1" applyFill="1" applyBorder="1" applyAlignment="1">
      <alignment horizontal="right" vertical="center"/>
    </xf>
    <xf numFmtId="166" fontId="1" fillId="6" borderId="1" xfId="1" applyNumberFormat="1" applyFill="1" applyBorder="1" applyAlignment="1">
      <alignment horizontal="right" vertical="center"/>
    </xf>
    <xf numFmtId="167" fontId="9" fillId="3" borderId="1" xfId="0" applyNumberFormat="1" applyFont="1" applyFill="1" applyBorder="1"/>
    <xf numFmtId="11" fontId="9" fillId="3" borderId="1" xfId="0" applyNumberFormat="1" applyFont="1" applyFill="1" applyBorder="1"/>
    <xf numFmtId="1" fontId="9" fillId="3" borderId="1" xfId="0" applyNumberFormat="1" applyFont="1" applyFill="1" applyBorder="1"/>
    <xf numFmtId="165" fontId="9" fillId="3" borderId="1" xfId="0" applyNumberFormat="1" applyFont="1" applyFill="1" applyBorder="1"/>
    <xf numFmtId="2" fontId="9" fillId="6" borderId="1" xfId="0" applyNumberFormat="1" applyFont="1" applyFill="1" applyBorder="1" applyAlignment="1">
      <alignment vertical="center"/>
    </xf>
    <xf numFmtId="165" fontId="9" fillId="3" borderId="17" xfId="0" applyNumberFormat="1" applyFont="1" applyFill="1" applyBorder="1"/>
    <xf numFmtId="0" fontId="8" fillId="5" borderId="25" xfId="1" applyFont="1" applyFill="1" applyBorder="1" applyAlignment="1">
      <alignment horizontal="left" vertical="top" wrapText="1"/>
    </xf>
    <xf numFmtId="0" fontId="8" fillId="5" borderId="26" xfId="1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2" fontId="9" fillId="8" borderId="6" xfId="0" applyNumberFormat="1" applyFont="1" applyFill="1" applyBorder="1" applyAlignment="1">
      <alignment vertical="center"/>
    </xf>
    <xf numFmtId="2" fontId="9" fillId="9" borderId="13" xfId="0" applyNumberFormat="1" applyFont="1" applyFill="1" applyBorder="1"/>
    <xf numFmtId="2" fontId="9" fillId="8" borderId="1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8" fillId="5" borderId="18" xfId="1" applyFont="1" applyFill="1" applyBorder="1" applyAlignment="1">
      <alignment horizontal="left" vertical="center" wrapText="1"/>
    </xf>
    <xf numFmtId="0" fontId="8" fillId="5" borderId="25" xfId="1" applyFont="1" applyFill="1" applyBorder="1" applyAlignment="1">
      <alignment horizontal="left" vertical="center" wrapText="1"/>
    </xf>
    <xf numFmtId="0" fontId="8" fillId="7" borderId="7" xfId="1" applyFont="1" applyFill="1" applyBorder="1" applyAlignment="1">
      <alignment horizontal="left" vertical="top" wrapText="1"/>
    </xf>
    <xf numFmtId="0" fontId="8" fillId="7" borderId="12" xfId="1" applyFont="1" applyFill="1" applyBorder="1" applyAlignment="1">
      <alignment horizontal="left" vertical="center" wrapText="1"/>
    </xf>
    <xf numFmtId="3" fontId="10" fillId="7" borderId="12" xfId="2" applyNumberFormat="1" applyFont="1" applyFill="1" applyBorder="1" applyAlignment="1">
      <alignment horizontal="right" vertical="center"/>
    </xf>
    <xf numFmtId="167" fontId="9" fillId="7" borderId="12" xfId="0" applyNumberFormat="1" applyFont="1" applyFill="1" applyBorder="1"/>
    <xf numFmtId="11" fontId="9" fillId="7" borderId="12" xfId="0" applyNumberFormat="1" applyFont="1" applyFill="1" applyBorder="1"/>
    <xf numFmtId="1" fontId="9" fillId="7" borderId="12" xfId="0" applyNumberFormat="1" applyFont="1" applyFill="1" applyBorder="1"/>
    <xf numFmtId="165" fontId="9" fillId="7" borderId="12" xfId="0" applyNumberFormat="1" applyFont="1" applyFill="1" applyBorder="1"/>
    <xf numFmtId="2" fontId="10" fillId="7" borderId="12" xfId="0" applyNumberFormat="1" applyFont="1" applyFill="1" applyBorder="1"/>
    <xf numFmtId="170" fontId="10" fillId="7" borderId="12" xfId="0" applyNumberFormat="1" applyFont="1" applyFill="1" applyBorder="1"/>
    <xf numFmtId="171" fontId="27" fillId="0" borderId="35" xfId="1" applyNumberFormat="1" applyFont="1" applyBorder="1" applyAlignment="1">
      <alignment horizontal="right" vertical="top"/>
    </xf>
    <xf numFmtId="166" fontId="27" fillId="0" borderId="36" xfId="1" applyNumberFormat="1" applyFont="1" applyBorder="1" applyAlignment="1">
      <alignment horizontal="right" vertical="top"/>
    </xf>
    <xf numFmtId="171" fontId="27" fillId="0" borderId="36" xfId="1" applyNumberFormat="1" applyFont="1" applyBorder="1" applyAlignment="1">
      <alignment horizontal="right" vertical="top"/>
    </xf>
    <xf numFmtId="171" fontId="27" fillId="0" borderId="37" xfId="1" applyNumberFormat="1" applyFont="1" applyBorder="1" applyAlignment="1">
      <alignment horizontal="right" vertical="top"/>
    </xf>
    <xf numFmtId="168" fontId="27" fillId="0" borderId="39" xfId="1" applyNumberFormat="1" applyFont="1" applyBorder="1" applyAlignment="1">
      <alignment horizontal="right" vertical="top"/>
    </xf>
    <xf numFmtId="172" fontId="27" fillId="0" borderId="40" xfId="1" applyNumberFormat="1" applyFont="1" applyBorder="1" applyAlignment="1">
      <alignment horizontal="right" vertical="top"/>
    </xf>
    <xf numFmtId="168" fontId="27" fillId="0" borderId="40" xfId="1" applyNumberFormat="1" applyFont="1" applyBorder="1" applyAlignment="1">
      <alignment horizontal="right" vertical="top"/>
    </xf>
    <xf numFmtId="166" fontId="27" fillId="0" borderId="40" xfId="1" applyNumberFormat="1" applyFont="1" applyBorder="1" applyAlignment="1">
      <alignment horizontal="right" vertical="top"/>
    </xf>
    <xf numFmtId="0" fontId="27" fillId="0" borderId="40" xfId="1" applyFont="1" applyBorder="1" applyAlignment="1">
      <alignment horizontal="right" vertical="top"/>
    </xf>
    <xf numFmtId="171" fontId="27" fillId="0" borderId="41" xfId="1" applyNumberFormat="1" applyFont="1" applyBorder="1" applyAlignment="1">
      <alignment horizontal="right" vertical="top"/>
    </xf>
    <xf numFmtId="0" fontId="1" fillId="0" borderId="0" xfId="1"/>
    <xf numFmtId="0" fontId="8" fillId="0" borderId="0" xfId="1" applyFont="1" applyAlignment="1">
      <alignment horizontal="left"/>
    </xf>
    <xf numFmtId="0" fontId="8" fillId="0" borderId="28" xfId="1" applyFont="1" applyBorder="1" applyAlignment="1">
      <alignment horizontal="center"/>
    </xf>
    <xf numFmtId="0" fontId="8" fillId="0" borderId="29" xfId="1" applyFont="1" applyBorder="1" applyAlignment="1">
      <alignment horizontal="center"/>
    </xf>
    <xf numFmtId="0" fontId="8" fillId="0" borderId="30" xfId="1" applyFont="1" applyBorder="1" applyAlignment="1">
      <alignment horizontal="left"/>
    </xf>
    <xf numFmtId="0" fontId="8" fillId="0" borderId="10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5" borderId="33" xfId="1" applyFont="1" applyFill="1" applyBorder="1" applyAlignment="1">
      <alignment horizontal="left" vertical="top"/>
    </xf>
    <xf numFmtId="0" fontId="8" fillId="5" borderId="34" xfId="1" applyFont="1" applyFill="1" applyBorder="1" applyAlignment="1">
      <alignment horizontal="left" vertical="top"/>
    </xf>
    <xf numFmtId="0" fontId="8" fillId="5" borderId="38" xfId="1" applyFont="1" applyFill="1" applyBorder="1" applyAlignment="1">
      <alignment horizontal="left" vertical="top"/>
    </xf>
    <xf numFmtId="0" fontId="26" fillId="0" borderId="0" xfId="1" applyFont="1" applyAlignment="1">
      <alignment horizontal="center" vertical="center"/>
    </xf>
    <xf numFmtId="0" fontId="8" fillId="0" borderId="27" xfId="1" applyFont="1" applyBorder="1" applyAlignment="1">
      <alignment horizontal="center"/>
    </xf>
    <xf numFmtId="0" fontId="8" fillId="0" borderId="31" xfId="1" applyFont="1" applyBorder="1" applyAlignment="1">
      <alignment horizontal="center"/>
    </xf>
    <xf numFmtId="0" fontId="26" fillId="0" borderId="0" xfId="1" applyFont="1" applyAlignment="1">
      <alignment vertical="center"/>
    </xf>
    <xf numFmtId="0" fontId="8" fillId="0" borderId="27" xfId="1" applyFont="1" applyBorder="1"/>
    <xf numFmtId="0" fontId="8" fillId="0" borderId="31" xfId="1" applyFont="1" applyBorder="1"/>
    <xf numFmtId="0" fontId="8" fillId="0" borderId="28" xfId="1" applyFont="1" applyBorder="1"/>
    <xf numFmtId="0" fontId="8" fillId="0" borderId="10" xfId="1" applyFont="1" applyBorder="1"/>
    <xf numFmtId="165" fontId="27" fillId="0" borderId="5" xfId="2" applyNumberFormat="1" applyFont="1" applyBorder="1" applyAlignment="1">
      <alignment horizontal="right" vertical="center"/>
    </xf>
    <xf numFmtId="165" fontId="27" fillId="0" borderId="10" xfId="1" applyNumberFormat="1" applyFont="1" applyBorder="1" applyAlignment="1">
      <alignment horizontal="right" vertical="center"/>
    </xf>
    <xf numFmtId="0" fontId="8" fillId="0" borderId="2" xfId="1" applyFont="1" applyBorder="1" applyAlignment="1">
      <alignment horizontal="center" vertical="center"/>
    </xf>
    <xf numFmtId="3" fontId="9" fillId="6" borderId="7" xfId="0" applyNumberFormat="1" applyFont="1" applyFill="1" applyBorder="1" applyAlignment="1">
      <alignment vertical="center"/>
    </xf>
    <xf numFmtId="3" fontId="0" fillId="0" borderId="0" xfId="0" applyNumberFormat="1"/>
    <xf numFmtId="1" fontId="0" fillId="0" borderId="0" xfId="0" applyNumberFormat="1"/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2" fontId="9" fillId="6" borderId="6" xfId="0" applyNumberFormat="1" applyFont="1" applyFill="1" applyBorder="1" applyAlignment="1">
      <alignment horizontal="right" vertical="center"/>
    </xf>
    <xf numFmtId="165" fontId="9" fillId="10" borderId="7" xfId="0" applyNumberFormat="1" applyFont="1" applyFill="1" applyBorder="1"/>
    <xf numFmtId="2" fontId="9" fillId="8" borderId="42" xfId="0" applyNumberFormat="1" applyFont="1" applyFill="1" applyBorder="1" applyAlignment="1">
      <alignment vertical="center"/>
    </xf>
    <xf numFmtId="0" fontId="0" fillId="11" borderId="0" xfId="0" applyFill="1"/>
    <xf numFmtId="0" fontId="14" fillId="11" borderId="43" xfId="0" applyFont="1" applyFill="1" applyBorder="1" applyAlignment="1">
      <alignment horizontal="left" indent="1"/>
    </xf>
    <xf numFmtId="0" fontId="0" fillId="11" borderId="43" xfId="0" applyFill="1" applyBorder="1" applyAlignment="1">
      <alignment horizontal="left" indent="2"/>
    </xf>
    <xf numFmtId="0" fontId="0" fillId="11" borderId="44" xfId="0" applyFill="1" applyBorder="1" applyAlignment="1">
      <alignment horizontal="left" indent="2"/>
    </xf>
    <xf numFmtId="0" fontId="0" fillId="11" borderId="0" xfId="0" applyFill="1" applyAlignment="1">
      <alignment horizontal="right"/>
    </xf>
    <xf numFmtId="2" fontId="0" fillId="0" borderId="0" xfId="0" applyNumberFormat="1"/>
    <xf numFmtId="0" fontId="28" fillId="5" borderId="26" xfId="1" applyFont="1" applyFill="1" applyBorder="1" applyAlignment="1">
      <alignment horizontal="left" vertical="center" wrapText="1"/>
    </xf>
    <xf numFmtId="0" fontId="28" fillId="5" borderId="2" xfId="1" applyFont="1" applyFill="1" applyBorder="1" applyAlignment="1">
      <alignment horizontal="left" vertical="center"/>
    </xf>
    <xf numFmtId="0" fontId="28" fillId="5" borderId="3" xfId="1" applyFont="1" applyFill="1" applyBorder="1" applyAlignment="1">
      <alignment horizontal="left" vertical="center" wrapText="1"/>
    </xf>
    <xf numFmtId="3" fontId="14" fillId="11" borderId="0" xfId="0" applyNumberFormat="1" applyFont="1" applyFill="1"/>
    <xf numFmtId="3" fontId="14" fillId="11" borderId="14" xfId="0" applyNumberFormat="1" applyFont="1" applyFill="1" applyBorder="1"/>
    <xf numFmtId="0" fontId="14" fillId="11" borderId="13" xfId="0" applyFont="1" applyFill="1" applyBorder="1" applyAlignment="1">
      <alignment horizontal="center" vertical="center"/>
    </xf>
    <xf numFmtId="3" fontId="0" fillId="11" borderId="0" xfId="0" applyNumberFormat="1" applyFill="1"/>
    <xf numFmtId="165" fontId="0" fillId="0" borderId="0" xfId="0" applyNumberFormat="1"/>
    <xf numFmtId="165" fontId="0" fillId="12" borderId="0" xfId="0" applyNumberFormat="1" applyFill="1"/>
    <xf numFmtId="0" fontId="14" fillId="11" borderId="14" xfId="0" applyFont="1" applyFill="1" applyBorder="1" applyAlignment="1">
      <alignment horizontal="right" vertical="center" wrapText="1"/>
    </xf>
    <xf numFmtId="169" fontId="0" fillId="11" borderId="0" xfId="0" applyNumberFormat="1" applyFill="1"/>
    <xf numFmtId="166" fontId="30" fillId="8" borderId="9" xfId="2" applyNumberFormat="1" applyFont="1" applyFill="1" applyBorder="1" applyAlignment="1">
      <alignment horizontal="right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3" fontId="0" fillId="11" borderId="17" xfId="0" applyNumberFormat="1" applyFill="1" applyBorder="1"/>
    <xf numFmtId="3" fontId="0" fillId="11" borderId="14" xfId="0" applyNumberFormat="1" applyFill="1" applyBorder="1"/>
    <xf numFmtId="0" fontId="14" fillId="0" borderId="14" xfId="0" applyFont="1" applyBorder="1" applyAlignment="1">
      <alignment horizontal="center"/>
    </xf>
    <xf numFmtId="0" fontId="14" fillId="11" borderId="14" xfId="0" applyFont="1" applyFill="1" applyBorder="1" applyAlignment="1">
      <alignment horizontal="center" vertical="center" wrapText="1"/>
    </xf>
    <xf numFmtId="3" fontId="14" fillId="11" borderId="16" xfId="0" applyNumberFormat="1" applyFont="1" applyFill="1" applyBorder="1"/>
    <xf numFmtId="3" fontId="14" fillId="11" borderId="45" xfId="0" applyNumberFormat="1" applyFont="1" applyFill="1" applyBorder="1"/>
    <xf numFmtId="3" fontId="14" fillId="11" borderId="11" xfId="0" applyNumberFormat="1" applyFont="1" applyFill="1" applyBorder="1"/>
    <xf numFmtId="0" fontId="0" fillId="11" borderId="11" xfId="0" applyFill="1" applyBorder="1"/>
    <xf numFmtId="167" fontId="0" fillId="11" borderId="11" xfId="0" applyNumberFormat="1" applyFill="1" applyBorder="1"/>
    <xf numFmtId="10" fontId="0" fillId="11" borderId="11" xfId="5" applyNumberFormat="1" applyFont="1" applyFill="1" applyBorder="1"/>
    <xf numFmtId="10" fontId="0" fillId="11" borderId="0" xfId="5" applyNumberFormat="1" applyFont="1" applyFill="1" applyBorder="1"/>
    <xf numFmtId="3" fontId="14" fillId="11" borderId="17" xfId="0" applyNumberFormat="1" applyFont="1" applyFill="1" applyBorder="1"/>
    <xf numFmtId="0" fontId="0" fillId="11" borderId="14" xfId="0" applyFill="1" applyBorder="1"/>
    <xf numFmtId="10" fontId="0" fillId="11" borderId="14" xfId="5" applyNumberFormat="1" applyFont="1" applyFill="1" applyBorder="1"/>
    <xf numFmtId="173" fontId="0" fillId="11" borderId="11" xfId="5" applyNumberFormat="1" applyFont="1" applyFill="1" applyBorder="1"/>
    <xf numFmtId="173" fontId="0" fillId="11" borderId="0" xfId="5" applyNumberFormat="1" applyFont="1" applyFill="1" applyBorder="1"/>
    <xf numFmtId="173" fontId="0" fillId="11" borderId="14" xfId="5" applyNumberFormat="1" applyFont="1" applyFill="1" applyBorder="1"/>
    <xf numFmtId="0" fontId="0" fillId="11" borderId="16" xfId="0" applyFill="1" applyBorder="1"/>
    <xf numFmtId="0" fontId="0" fillId="11" borderId="45" xfId="0" applyFill="1" applyBorder="1"/>
    <xf numFmtId="0" fontId="0" fillId="11" borderId="17" xfId="0" applyFill="1" applyBorder="1"/>
    <xf numFmtId="165" fontId="11" fillId="14" borderId="24" xfId="2" applyNumberFormat="1" applyFont="1" applyFill="1" applyBorder="1" applyAlignment="1">
      <alignment horizontal="right" vertical="center"/>
    </xf>
    <xf numFmtId="165" fontId="11" fillId="14" borderId="10" xfId="2" applyNumberFormat="1" applyFont="1" applyFill="1" applyBorder="1" applyAlignment="1">
      <alignment horizontal="right" vertical="center"/>
    </xf>
    <xf numFmtId="166" fontId="11" fillId="14" borderId="10" xfId="2" applyNumberFormat="1" applyFont="1" applyFill="1" applyBorder="1" applyAlignment="1">
      <alignment horizontal="right" vertical="center"/>
    </xf>
    <xf numFmtId="0" fontId="14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wrapText="1"/>
    </xf>
    <xf numFmtId="3" fontId="14" fillId="11" borderId="0" xfId="0" applyNumberFormat="1" applyFont="1" applyFill="1" applyAlignment="1">
      <alignment horizontal="center"/>
    </xf>
    <xf numFmtId="0" fontId="0" fillId="11" borderId="14" xfId="0" applyFill="1" applyBorder="1" applyAlignment="1">
      <alignment horizontal="center"/>
    </xf>
    <xf numFmtId="0" fontId="14" fillId="11" borderId="12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 wrapText="1"/>
    </xf>
    <xf numFmtId="3" fontId="0" fillId="11" borderId="0" xfId="0" applyNumberFormat="1" applyFill="1" applyAlignment="1">
      <alignment horizontal="center"/>
    </xf>
    <xf numFmtId="170" fontId="0" fillId="11" borderId="0" xfId="0" applyNumberFormat="1" applyFill="1" applyAlignment="1">
      <alignment horizontal="center"/>
    </xf>
    <xf numFmtId="170" fontId="14" fillId="11" borderId="0" xfId="0" applyNumberFormat="1" applyFont="1" applyFill="1" applyAlignment="1">
      <alignment horizontal="center"/>
    </xf>
    <xf numFmtId="170" fontId="0" fillId="11" borderId="14" xfId="0" applyNumberFormat="1" applyFill="1" applyBorder="1" applyAlignment="1">
      <alignment horizontal="center"/>
    </xf>
    <xf numFmtId="4" fontId="14" fillId="11" borderId="0" xfId="0" applyNumberFormat="1" applyFont="1" applyFill="1" applyAlignment="1">
      <alignment horizontal="center"/>
    </xf>
    <xf numFmtId="3" fontId="0" fillId="11" borderId="14" xfId="0" applyNumberFormat="1" applyFill="1" applyBorder="1" applyAlignment="1">
      <alignment horizontal="center"/>
    </xf>
    <xf numFmtId="174" fontId="0" fillId="11" borderId="0" xfId="0" applyNumberFormat="1" applyFill="1"/>
    <xf numFmtId="0" fontId="14" fillId="0" borderId="14" xfId="0" applyFont="1" applyBorder="1" applyAlignment="1">
      <alignment horizontal="center" vertical="center"/>
    </xf>
    <xf numFmtId="0" fontId="32" fillId="11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176" fontId="1" fillId="6" borderId="2" xfId="1" applyNumberFormat="1" applyFill="1" applyBorder="1" applyAlignment="1">
      <alignment horizontal="right" vertical="center"/>
    </xf>
    <xf numFmtId="0" fontId="20" fillId="0" borderId="14" xfId="0" applyFont="1" applyBorder="1" applyAlignment="1">
      <alignment horizontal="center" vertical="center" wrapText="1"/>
    </xf>
    <xf numFmtId="0" fontId="35" fillId="11" borderId="2" xfId="1" applyFont="1" applyFill="1" applyBorder="1" applyAlignment="1">
      <alignment horizontal="center" vertical="center" wrapText="1"/>
    </xf>
    <xf numFmtId="0" fontId="35" fillId="15" borderId="2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38" fillId="0" borderId="0" xfId="0" applyFont="1"/>
    <xf numFmtId="2" fontId="9" fillId="11" borderId="2" xfId="0" applyNumberFormat="1" applyFont="1" applyFill="1" applyBorder="1" applyAlignment="1">
      <alignment vertical="center"/>
    </xf>
    <xf numFmtId="3" fontId="9" fillId="11" borderId="2" xfId="0" applyNumberFormat="1" applyFont="1" applyFill="1" applyBorder="1" applyAlignment="1">
      <alignment vertical="center"/>
    </xf>
    <xf numFmtId="166" fontId="1" fillId="11" borderId="6" xfId="1" applyNumberFormat="1" applyFill="1" applyBorder="1" applyAlignment="1">
      <alignment horizontal="right" vertical="center"/>
    </xf>
    <xf numFmtId="2" fontId="10" fillId="11" borderId="12" xfId="0" applyNumberFormat="1" applyFont="1" applyFill="1" applyBorder="1"/>
    <xf numFmtId="165" fontId="9" fillId="11" borderId="12" xfId="0" applyNumberFormat="1" applyFont="1" applyFill="1" applyBorder="1"/>
    <xf numFmtId="166" fontId="1" fillId="11" borderId="12" xfId="2" applyNumberFormat="1" applyFill="1" applyBorder="1" applyAlignment="1">
      <alignment horizontal="right" vertical="center"/>
    </xf>
    <xf numFmtId="166" fontId="10" fillId="11" borderId="12" xfId="1" applyNumberFormat="1" applyFont="1" applyFill="1" applyBorder="1" applyAlignment="1">
      <alignment horizontal="right" vertical="center"/>
    </xf>
    <xf numFmtId="0" fontId="0" fillId="13" borderId="2" xfId="0" applyFill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6" fontId="1" fillId="11" borderId="10" xfId="2" applyNumberFormat="1" applyFill="1" applyBorder="1" applyAlignment="1">
      <alignment horizontal="right" vertical="center"/>
    </xf>
    <xf numFmtId="166" fontId="1" fillId="11" borderId="0" xfId="2" applyNumberFormat="1" applyFill="1" applyAlignment="1">
      <alignment horizontal="right" vertical="center"/>
    </xf>
    <xf numFmtId="0" fontId="39" fillId="11" borderId="0" xfId="0" applyFont="1" applyFill="1"/>
    <xf numFmtId="165" fontId="9" fillId="11" borderId="0" xfId="0" applyNumberFormat="1" applyFont="1" applyFill="1"/>
    <xf numFmtId="2" fontId="10" fillId="11" borderId="0" xfId="0" applyNumberFormat="1" applyFont="1" applyFill="1"/>
    <xf numFmtId="166" fontId="10" fillId="11" borderId="0" xfId="1" applyNumberFormat="1" applyFont="1" applyFill="1" applyAlignment="1">
      <alignment horizontal="right" vertical="center"/>
    </xf>
    <xf numFmtId="165" fontId="9" fillId="11" borderId="2" xfId="0" applyNumberFormat="1" applyFont="1" applyFill="1" applyBorder="1"/>
    <xf numFmtId="166" fontId="1" fillId="11" borderId="2" xfId="2" applyNumberFormat="1" applyFill="1" applyBorder="1" applyAlignment="1">
      <alignment horizontal="right" vertical="center"/>
    </xf>
    <xf numFmtId="166" fontId="1" fillId="11" borderId="2" xfId="1" applyNumberFormat="1" applyFill="1" applyBorder="1" applyAlignment="1">
      <alignment horizontal="right" vertical="center"/>
    </xf>
    <xf numFmtId="2" fontId="10" fillId="0" borderId="48" xfId="0" applyNumberFormat="1" applyFont="1" applyBorder="1"/>
    <xf numFmtId="165" fontId="9" fillId="0" borderId="48" xfId="0" applyNumberFormat="1" applyFont="1" applyBorder="1"/>
    <xf numFmtId="166" fontId="1" fillId="0" borderId="48" xfId="2" applyNumberFormat="1" applyBorder="1" applyAlignment="1">
      <alignment horizontal="right" vertical="center"/>
    </xf>
    <xf numFmtId="166" fontId="10" fillId="0" borderId="48" xfId="1" applyNumberFormat="1" applyFont="1" applyBorder="1" applyAlignment="1">
      <alignment horizontal="right" vertical="center"/>
    </xf>
    <xf numFmtId="2" fontId="9" fillId="11" borderId="1" xfId="0" applyNumberFormat="1" applyFont="1" applyFill="1" applyBorder="1" applyAlignment="1">
      <alignment vertical="center"/>
    </xf>
    <xf numFmtId="3" fontId="9" fillId="11" borderId="1" xfId="0" applyNumberFormat="1" applyFont="1" applyFill="1" applyBorder="1" applyAlignment="1">
      <alignment vertical="center"/>
    </xf>
    <xf numFmtId="166" fontId="1" fillId="11" borderId="1" xfId="1" applyNumberFormat="1" applyFill="1" applyBorder="1" applyAlignment="1">
      <alignment horizontal="right" vertical="center"/>
    </xf>
    <xf numFmtId="0" fontId="0" fillId="0" borderId="43" xfId="0" applyBorder="1"/>
    <xf numFmtId="0" fontId="14" fillId="11" borderId="49" xfId="0" applyFont="1" applyFill="1" applyBorder="1" applyAlignment="1">
      <alignment vertical="center"/>
    </xf>
    <xf numFmtId="3" fontId="14" fillId="11" borderId="14" xfId="0" applyNumberFormat="1" applyFont="1" applyFill="1" applyBorder="1" applyAlignment="1">
      <alignment horizontal="center"/>
    </xf>
    <xf numFmtId="4" fontId="14" fillId="11" borderId="14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174" fontId="34" fillId="0" borderId="0" xfId="7" applyNumberFormat="1" applyFont="1" applyAlignment="1">
      <alignment horizontal="right" vertical="center"/>
    </xf>
    <xf numFmtId="3" fontId="14" fillId="0" borderId="0" xfId="0" applyNumberFormat="1" applyFont="1" applyAlignment="1">
      <alignment horizontal="center"/>
    </xf>
    <xf numFmtId="174" fontId="34" fillId="0" borderId="45" xfId="7" applyNumberFormat="1" applyFont="1" applyBorder="1" applyAlignment="1">
      <alignment horizontal="right" vertical="center"/>
    </xf>
    <xf numFmtId="175" fontId="33" fillId="0" borderId="0" xfId="6" applyNumberFormat="1" applyFont="1" applyAlignment="1">
      <alignment horizontal="right" vertical="center"/>
    </xf>
    <xf numFmtId="4" fontId="14" fillId="0" borderId="0" xfId="0" applyNumberFormat="1" applyFont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175" fontId="33" fillId="0" borderId="14" xfId="6" applyNumberFormat="1" applyFont="1" applyBorder="1" applyAlignment="1">
      <alignment horizontal="right" vertical="center"/>
    </xf>
    <xf numFmtId="4" fontId="14" fillId="0" borderId="14" xfId="0" applyNumberFormat="1" applyFont="1" applyBorder="1" applyAlignment="1">
      <alignment horizontal="center"/>
    </xf>
    <xf numFmtId="0" fontId="33" fillId="11" borderId="43" xfId="6" applyFont="1" applyFill="1" applyBorder="1" applyAlignment="1">
      <alignment horizontal="center" vertical="center" wrapText="1"/>
    </xf>
    <xf numFmtId="0" fontId="32" fillId="11" borderId="50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 wrapText="1"/>
    </xf>
    <xf numFmtId="0" fontId="32" fillId="11" borderId="44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14" fillId="11" borderId="46" xfId="0" applyFont="1" applyFill="1" applyBorder="1"/>
    <xf numFmtId="0" fontId="0" fillId="11" borderId="46" xfId="0" applyFill="1" applyBorder="1"/>
    <xf numFmtId="0" fontId="33" fillId="11" borderId="44" xfId="6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 wrapText="1"/>
    </xf>
    <xf numFmtId="0" fontId="32" fillId="11" borderId="47" xfId="0" applyFont="1" applyFill="1" applyBorder="1" applyAlignment="1">
      <alignment horizontal="center" vertical="center" wrapText="1"/>
    </xf>
    <xf numFmtId="174" fontId="0" fillId="11" borderId="14" xfId="0" applyNumberFormat="1" applyFill="1" applyBorder="1"/>
    <xf numFmtId="165" fontId="39" fillId="11" borderId="0" xfId="0" applyNumberFormat="1" applyFont="1" applyFill="1"/>
    <xf numFmtId="0" fontId="4" fillId="5" borderId="2" xfId="1" applyFont="1" applyFill="1" applyBorder="1" applyAlignment="1">
      <alignment horizontal="left" wrapText="1"/>
    </xf>
    <xf numFmtId="0" fontId="4" fillId="5" borderId="8" xfId="1" applyFont="1" applyFill="1" applyBorder="1" applyAlignment="1">
      <alignment horizontal="left" wrapText="1"/>
    </xf>
    <xf numFmtId="165" fontId="40" fillId="0" borderId="4" xfId="2" applyNumberFormat="1" applyFont="1" applyBorder="1" applyAlignment="1">
      <alignment horizontal="right" vertical="center"/>
    </xf>
    <xf numFmtId="169" fontId="40" fillId="0" borderId="4" xfId="2" applyNumberFormat="1" applyFont="1" applyBorder="1" applyAlignment="1">
      <alignment horizontal="right" vertical="center"/>
    </xf>
    <xf numFmtId="165" fontId="40" fillId="0" borderId="5" xfId="2" applyNumberFormat="1" applyFont="1" applyBorder="1" applyAlignment="1">
      <alignment horizontal="right" vertical="center"/>
    </xf>
    <xf numFmtId="166" fontId="40" fillId="3" borderId="6" xfId="1" applyNumberFormat="1" applyFont="1" applyFill="1" applyBorder="1" applyAlignment="1">
      <alignment horizontal="right" vertical="center"/>
    </xf>
    <xf numFmtId="167" fontId="41" fillId="3" borderId="2" xfId="0" applyNumberFormat="1" applyFont="1" applyFill="1" applyBorder="1" applyAlignment="1">
      <alignment vertical="center"/>
    </xf>
    <xf numFmtId="11" fontId="41" fillId="3" borderId="2" xfId="0" applyNumberFormat="1" applyFont="1" applyFill="1" applyBorder="1" applyAlignment="1">
      <alignment vertical="center"/>
    </xf>
    <xf numFmtId="1" fontId="41" fillId="3" borderId="2" xfId="0" applyNumberFormat="1" applyFont="1" applyFill="1" applyBorder="1" applyAlignment="1">
      <alignment vertical="center"/>
    </xf>
    <xf numFmtId="165" fontId="41" fillId="3" borderId="2" xfId="0" applyNumberFormat="1" applyFont="1" applyFill="1" applyBorder="1" applyAlignment="1">
      <alignment vertical="center"/>
    </xf>
    <xf numFmtId="1" fontId="41" fillId="3" borderId="8" xfId="0" applyNumberFormat="1" applyFont="1" applyFill="1" applyBorder="1"/>
    <xf numFmtId="2" fontId="40" fillId="3" borderId="2" xfId="0" applyNumberFormat="1" applyFont="1" applyFill="1" applyBorder="1"/>
    <xf numFmtId="1" fontId="40" fillId="3" borderId="2" xfId="0" applyNumberFormat="1" applyFont="1" applyFill="1" applyBorder="1"/>
    <xf numFmtId="3" fontId="40" fillId="3" borderId="2" xfId="0" applyNumberFormat="1" applyFont="1" applyFill="1" applyBorder="1"/>
    <xf numFmtId="2" fontId="41" fillId="3" borderId="8" xfId="0" applyNumberFormat="1" applyFont="1" applyFill="1" applyBorder="1"/>
    <xf numFmtId="2" fontId="41" fillId="11" borderId="2" xfId="0" applyNumberFormat="1" applyFont="1" applyFill="1" applyBorder="1" applyAlignment="1">
      <alignment vertical="center"/>
    </xf>
    <xf numFmtId="3" fontId="41" fillId="11" borderId="2" xfId="0" applyNumberFormat="1" applyFont="1" applyFill="1" applyBorder="1" applyAlignment="1">
      <alignment vertical="center"/>
    </xf>
    <xf numFmtId="165" fontId="41" fillId="11" borderId="2" xfId="0" applyNumberFormat="1" applyFont="1" applyFill="1" applyBorder="1"/>
    <xf numFmtId="166" fontId="29" fillId="11" borderId="2" xfId="2" applyNumberFormat="1" applyFont="1" applyFill="1" applyBorder="1" applyAlignment="1">
      <alignment horizontal="right" vertical="center"/>
    </xf>
    <xf numFmtId="166" fontId="29" fillId="11" borderId="2" xfId="1" applyNumberFormat="1" applyFont="1" applyFill="1" applyBorder="1" applyAlignment="1">
      <alignment horizontal="right" vertical="center"/>
    </xf>
    <xf numFmtId="173" fontId="9" fillId="8" borderId="2" xfId="0" applyNumberFormat="1" applyFont="1" applyFill="1" applyBorder="1" applyAlignment="1">
      <alignment vertical="center"/>
    </xf>
    <xf numFmtId="0" fontId="4" fillId="5" borderId="18" xfId="1" applyFont="1" applyFill="1" applyBorder="1" applyAlignment="1">
      <alignment horizontal="left" vertical="top" wrapText="1"/>
    </xf>
    <xf numFmtId="0" fontId="4" fillId="5" borderId="19" xfId="1" applyFont="1" applyFill="1" applyBorder="1" applyAlignment="1">
      <alignment horizontal="left" vertical="center" wrapText="1"/>
    </xf>
    <xf numFmtId="3" fontId="40" fillId="0" borderId="4" xfId="2" applyNumberFormat="1" applyFont="1" applyBorder="1" applyAlignment="1">
      <alignment horizontal="right" vertical="center"/>
    </xf>
    <xf numFmtId="167" fontId="41" fillId="3" borderId="2" xfId="0" applyNumberFormat="1" applyFont="1" applyFill="1" applyBorder="1"/>
    <xf numFmtId="11" fontId="41" fillId="3" borderId="2" xfId="0" applyNumberFormat="1" applyFont="1" applyFill="1" applyBorder="1"/>
    <xf numFmtId="1" fontId="41" fillId="3" borderId="2" xfId="0" applyNumberFormat="1" applyFont="1" applyFill="1" applyBorder="1"/>
    <xf numFmtId="165" fontId="41" fillId="3" borderId="2" xfId="0" applyNumberFormat="1" applyFont="1" applyFill="1" applyBorder="1"/>
    <xf numFmtId="170" fontId="40" fillId="3" borderId="2" xfId="0" applyNumberFormat="1" applyFont="1" applyFill="1" applyBorder="1"/>
    <xf numFmtId="165" fontId="41" fillId="3" borderId="7" xfId="0" applyNumberFormat="1" applyFont="1" applyFill="1" applyBorder="1"/>
    <xf numFmtId="3" fontId="41" fillId="3" borderId="8" xfId="0" applyNumberFormat="1" applyFont="1" applyFill="1" applyBorder="1"/>
    <xf numFmtId="2" fontId="14" fillId="0" borderId="0" xfId="0" applyNumberFormat="1" applyFont="1"/>
    <xf numFmtId="165" fontId="42" fillId="3" borderId="7" xfId="0" applyNumberFormat="1" applyFont="1" applyFill="1" applyBorder="1"/>
    <xf numFmtId="165" fontId="30" fillId="3" borderId="7" xfId="0" applyNumberFormat="1" applyFont="1" applyFill="1" applyBorder="1"/>
    <xf numFmtId="165" fontId="42" fillId="3" borderId="16" xfId="0" applyNumberFormat="1" applyFont="1" applyFill="1" applyBorder="1"/>
    <xf numFmtId="0" fontId="4" fillId="5" borderId="25" xfId="1" applyFont="1" applyFill="1" applyBorder="1" applyAlignment="1">
      <alignment horizontal="left" vertical="top" wrapText="1"/>
    </xf>
    <xf numFmtId="0" fontId="4" fillId="5" borderId="26" xfId="1" applyFont="1" applyFill="1" applyBorder="1" applyAlignment="1">
      <alignment horizontal="left" vertical="center" wrapText="1"/>
    </xf>
    <xf numFmtId="1" fontId="14" fillId="0" borderId="0" xfId="0" applyNumberFormat="1" applyFont="1"/>
    <xf numFmtId="0" fontId="14" fillId="10" borderId="0" xfId="0" applyFont="1" applyFill="1" applyAlignment="1">
      <alignment horizontal="center" vertical="center"/>
    </xf>
    <xf numFmtId="165" fontId="11" fillId="6" borderId="0" xfId="2" applyNumberFormat="1" applyFont="1" applyFill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165" fontId="40" fillId="0" borderId="0" xfId="2" applyNumberFormat="1" applyFont="1" applyAlignment="1">
      <alignment horizontal="right" vertical="center"/>
    </xf>
    <xf numFmtId="165" fontId="10" fillId="9" borderId="46" xfId="2" applyNumberFormat="1" applyFont="1" applyFill="1" applyBorder="1" applyAlignment="1">
      <alignment horizontal="right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6" xfId="0" applyFont="1" applyFill="1" applyBorder="1" applyAlignment="1">
      <alignment horizontal="center" vertical="center" wrapText="1"/>
    </xf>
    <xf numFmtId="165" fontId="25" fillId="7" borderId="2" xfId="0" applyNumberFormat="1" applyFont="1" applyFill="1" applyBorder="1" applyAlignment="1">
      <alignment horizontal="center" vertical="center"/>
    </xf>
    <xf numFmtId="169" fontId="25" fillId="7" borderId="12" xfId="2" applyNumberFormat="1" applyFont="1" applyFill="1" applyBorder="1" applyAlignment="1">
      <alignment horizontal="center" vertical="center"/>
    </xf>
    <xf numFmtId="169" fontId="25" fillId="7" borderId="46" xfId="2" applyNumberFormat="1" applyFont="1" applyFill="1" applyBorder="1" applyAlignment="1">
      <alignment horizontal="center" vertical="center"/>
    </xf>
    <xf numFmtId="165" fontId="25" fillId="7" borderId="12" xfId="0" applyNumberFormat="1" applyFont="1" applyFill="1" applyBorder="1" applyAlignment="1">
      <alignment horizontal="center" vertical="center"/>
    </xf>
    <xf numFmtId="165" fontId="25" fillId="7" borderId="1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4" fillId="9" borderId="20" xfId="1" applyFont="1" applyFill="1" applyBorder="1" applyAlignment="1">
      <alignment horizontal="center" vertical="center" wrapText="1"/>
    </xf>
    <xf numFmtId="0" fontId="4" fillId="9" borderId="0" xfId="1" applyFont="1" applyFill="1" applyAlignment="1">
      <alignment horizontal="center" vertical="center" wrapText="1"/>
    </xf>
    <xf numFmtId="0" fontId="4" fillId="9" borderId="43" xfId="1" applyFont="1" applyFill="1" applyBorder="1" applyAlignment="1">
      <alignment horizontal="center" vertical="center" wrapText="1"/>
    </xf>
    <xf numFmtId="165" fontId="25" fillId="7" borderId="4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9" fillId="9" borderId="20" xfId="1" applyFont="1" applyFill="1" applyBorder="1" applyAlignment="1">
      <alignment horizontal="center" vertical="center" wrapText="1"/>
    </xf>
    <xf numFmtId="0" fontId="29" fillId="9" borderId="0" xfId="1" applyFont="1" applyFill="1" applyAlignment="1">
      <alignment horizontal="center" vertical="center" wrapText="1"/>
    </xf>
    <xf numFmtId="0" fontId="29" fillId="9" borderId="43" xfId="1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48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46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 wrapText="1"/>
    </xf>
    <xf numFmtId="0" fontId="32" fillId="11" borderId="17" xfId="0" applyFont="1" applyFill="1" applyBorder="1" applyAlignment="1">
      <alignment horizontal="center" vertical="center" wrapText="1"/>
    </xf>
    <xf numFmtId="0" fontId="32" fillId="11" borderId="47" xfId="0" applyFont="1" applyFill="1" applyBorder="1" applyAlignment="1">
      <alignment horizontal="center" vertical="center" wrapText="1"/>
    </xf>
    <xf numFmtId="0" fontId="32" fillId="11" borderId="50" xfId="0" applyFont="1" applyFill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0" fontId="33" fillId="11" borderId="43" xfId="6" applyFont="1" applyFill="1" applyBorder="1" applyAlignment="1">
      <alignment horizontal="center" vertical="center" wrapText="1"/>
    </xf>
    <xf numFmtId="0" fontId="33" fillId="11" borderId="44" xfId="6" applyFont="1" applyFill="1" applyBorder="1" applyAlignment="1">
      <alignment horizontal="center" vertical="center" wrapText="1"/>
    </xf>
    <xf numFmtId="0" fontId="32" fillId="11" borderId="44" xfId="0" applyFont="1" applyFill="1" applyBorder="1" applyAlignment="1">
      <alignment horizontal="center" vertical="center" wrapText="1"/>
    </xf>
  </cellXfs>
  <cellStyles count="8">
    <cellStyle name="Millares 2" xfId="3" xr:uid="{00000000-0005-0000-0000-000000000000}"/>
    <cellStyle name="Millares 3" xfId="4" xr:uid="{00000000-0005-0000-0000-000001000000}"/>
    <cellStyle name="Normal" xfId="0" builtinId="0"/>
    <cellStyle name="Normal_C1Total" xfId="6" xr:uid="{00000000-0005-0000-0000-000003000000}"/>
    <cellStyle name="Normal_Hoja1" xfId="1" xr:uid="{00000000-0005-0000-0000-000004000000}"/>
    <cellStyle name="Normal_Hoja2" xfId="2" xr:uid="{00000000-0005-0000-0000-000005000000}"/>
    <cellStyle name="Normal_Hoja3" xfId="7" xr:uid="{00000000-0005-0000-0000-000006000000}"/>
    <cellStyle name="Porcentaje" xfId="5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sz val="10"/>
        <color theme="1"/>
        <name val="Arial"/>
        <scheme val="none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Other2 2" pivot="0" table="0" count="2" xr9:uid="{00000000-0011-0000-FFFF-FFFF00000000}">
      <tableStyleElement type="wholeTable" dxfId="8"/>
      <tableStyleElement type="headerRow" dxfId="7"/>
    </tableStyle>
  </tableStyles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464820</xdr:colOff>
      <xdr:row>3</xdr:row>
      <xdr:rowOff>22860</xdr:rowOff>
    </xdr:from>
    <xdr:to>
      <xdr:col>19</xdr:col>
      <xdr:colOff>226066</xdr:colOff>
      <xdr:row>3</xdr:row>
      <xdr:rowOff>289681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8820" y="2175510"/>
          <a:ext cx="296110" cy="266821"/>
        </a:xfrm>
        <a:prstGeom prst="rect">
          <a:avLst/>
        </a:prstGeom>
      </xdr:spPr>
    </xdr:pic>
    <xdr:clientData/>
  </xdr:twoCellAnchor>
  <xdr:twoCellAnchor editAs="oneCell">
    <xdr:from>
      <xdr:col>24</xdr:col>
      <xdr:colOff>696536</xdr:colOff>
      <xdr:row>0</xdr:row>
      <xdr:rowOff>152400</xdr:rowOff>
    </xdr:from>
    <xdr:to>
      <xdr:col>27</xdr:col>
      <xdr:colOff>355689</xdr:colOff>
      <xdr:row>2</xdr:row>
      <xdr:rowOff>20349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03486" y="1295400"/>
          <a:ext cx="1329690" cy="248949"/>
        </a:xfrm>
        <a:prstGeom prst="rect">
          <a:avLst/>
        </a:prstGeom>
      </xdr:spPr>
    </xdr:pic>
    <xdr:clientData/>
  </xdr:twoCellAnchor>
  <xdr:twoCellAnchor editAs="oneCell">
    <xdr:from>
      <xdr:col>15</xdr:col>
      <xdr:colOff>124691</xdr:colOff>
      <xdr:row>0</xdr:row>
      <xdr:rowOff>152399</xdr:rowOff>
    </xdr:from>
    <xdr:to>
      <xdr:col>17</xdr:col>
      <xdr:colOff>226219</xdr:colOff>
      <xdr:row>3</xdr:row>
      <xdr:rowOff>51900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902" t="32098" r="21705" b="12534"/>
        <a:stretch/>
      </xdr:blipFill>
      <xdr:spPr>
        <a:xfrm>
          <a:off x="10554566" y="152399"/>
          <a:ext cx="1625527" cy="1018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246529</xdr:colOff>
      <xdr:row>1</xdr:row>
      <xdr:rowOff>0</xdr:rowOff>
    </xdr:from>
    <xdr:to>
      <xdr:col>12</xdr:col>
      <xdr:colOff>362785</xdr:colOff>
      <xdr:row>2</xdr:row>
      <xdr:rowOff>286232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1941" y="0"/>
          <a:ext cx="833432" cy="723261"/>
        </a:xfrm>
        <a:prstGeom prst="rect">
          <a:avLst/>
        </a:prstGeom>
      </xdr:spPr>
    </xdr:pic>
    <xdr:clientData/>
  </xdr:twoCellAnchor>
  <xdr:twoCellAnchor editAs="oneCell">
    <xdr:from>
      <xdr:col>6</xdr:col>
      <xdr:colOff>160020</xdr:colOff>
      <xdr:row>1</xdr:row>
      <xdr:rowOff>0</xdr:rowOff>
    </xdr:from>
    <xdr:to>
      <xdr:col>8</xdr:col>
      <xdr:colOff>345105</xdr:colOff>
      <xdr:row>1</xdr:row>
      <xdr:rowOff>265700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620" y="0"/>
          <a:ext cx="1613835" cy="26570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56029</xdr:colOff>
      <xdr:row>1</xdr:row>
      <xdr:rowOff>145641</xdr:rowOff>
    </xdr:from>
    <xdr:to>
      <xdr:col>15</xdr:col>
      <xdr:colOff>201703</xdr:colOff>
      <xdr:row>3</xdr:row>
      <xdr:rowOff>26675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2970" y="145641"/>
          <a:ext cx="862851" cy="777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opLeftCell="F1" workbookViewId="0">
      <selection activeCell="L4" sqref="L4"/>
    </sheetView>
  </sheetViews>
  <sheetFormatPr baseColWidth="10" defaultRowHeight="15"/>
  <sheetData>
    <row r="1" spans="1:14">
      <c r="A1" s="136" t="s">
        <v>55</v>
      </c>
      <c r="B1" s="136"/>
      <c r="C1" s="136"/>
      <c r="D1" s="136"/>
      <c r="E1" s="136"/>
      <c r="F1" s="136"/>
      <c r="G1" s="136"/>
      <c r="H1" s="136"/>
      <c r="I1" s="136"/>
      <c r="J1" s="136"/>
      <c r="K1" s="123"/>
    </row>
    <row r="2" spans="1:14">
      <c r="A2" s="124" t="s">
        <v>54</v>
      </c>
      <c r="B2" s="124"/>
      <c r="C2" s="137" t="s">
        <v>2</v>
      </c>
      <c r="D2" s="125" t="s">
        <v>3</v>
      </c>
      <c r="E2" s="125" t="s">
        <v>56</v>
      </c>
      <c r="F2" s="125"/>
      <c r="G2" s="125" t="s">
        <v>6</v>
      </c>
      <c r="H2" s="125" t="s">
        <v>7</v>
      </c>
      <c r="I2" s="125" t="s">
        <v>8</v>
      </c>
      <c r="J2" s="126" t="s">
        <v>9</v>
      </c>
      <c r="K2" s="123"/>
    </row>
    <row r="3" spans="1:14">
      <c r="A3" s="127"/>
      <c r="B3" s="127"/>
      <c r="C3" s="138"/>
      <c r="D3" s="128"/>
      <c r="E3" s="128" t="s">
        <v>57</v>
      </c>
      <c r="F3" s="128" t="s">
        <v>58</v>
      </c>
      <c r="G3" s="128"/>
      <c r="H3" s="128"/>
      <c r="I3" s="128"/>
      <c r="J3" s="129"/>
      <c r="K3" s="123"/>
    </row>
    <row r="4" spans="1:14">
      <c r="A4" s="130" t="s">
        <v>59</v>
      </c>
      <c r="B4" s="131" t="s">
        <v>60</v>
      </c>
      <c r="C4" s="113">
        <v>199606</v>
      </c>
      <c r="D4" s="114">
        <v>14835.746762172463</v>
      </c>
      <c r="E4" s="115">
        <v>170299.65676641875</v>
      </c>
      <c r="F4" s="115">
        <v>228912.34323358125</v>
      </c>
      <c r="G4" s="114">
        <v>7.4325154364961288E-2</v>
      </c>
      <c r="H4" s="114">
        <v>2.0133236626050386</v>
      </c>
      <c r="I4" s="114">
        <v>1673057</v>
      </c>
      <c r="J4" s="116">
        <v>2687</v>
      </c>
      <c r="K4" s="123"/>
      <c r="L4">
        <f>I4/I5</f>
        <v>0.53229738788649505</v>
      </c>
    </row>
    <row r="5" spans="1:14">
      <c r="A5" s="132"/>
      <c r="B5" s="132" t="s">
        <v>61</v>
      </c>
      <c r="C5" s="117">
        <v>3143087</v>
      </c>
      <c r="D5" s="118">
        <v>57256.311469229018</v>
      </c>
      <c r="E5" s="119">
        <v>3029983.6191520281</v>
      </c>
      <c r="F5" s="119">
        <v>3256190.3808479719</v>
      </c>
      <c r="G5" s="120">
        <v>1.8216584990879674E-2</v>
      </c>
      <c r="H5" s="121"/>
      <c r="I5" s="120">
        <v>3143087</v>
      </c>
      <c r="J5" s="122">
        <v>5095</v>
      </c>
      <c r="K5" s="123"/>
    </row>
    <row r="6" spans="1:14">
      <c r="A6" s="123"/>
      <c r="B6" s="123"/>
      <c r="C6" s="123"/>
      <c r="D6" s="123"/>
      <c r="E6" s="123"/>
      <c r="F6" s="123"/>
      <c r="G6" s="123"/>
      <c r="H6" s="123"/>
      <c r="I6" s="123"/>
      <c r="J6" s="123"/>
      <c r="K6" s="123"/>
    </row>
    <row r="7" spans="1:14">
      <c r="A7" s="133" t="s">
        <v>55</v>
      </c>
      <c r="B7" s="133"/>
      <c r="C7" s="133"/>
      <c r="D7" s="133"/>
      <c r="E7" s="133"/>
      <c r="F7" s="133"/>
      <c r="G7" s="133"/>
      <c r="H7" s="133"/>
      <c r="I7" s="133"/>
      <c r="J7" s="133"/>
      <c r="K7" s="123"/>
    </row>
    <row r="8" spans="1:14">
      <c r="A8" s="124" t="s">
        <v>54</v>
      </c>
      <c r="B8" s="124"/>
      <c r="C8" s="134" t="s">
        <v>2</v>
      </c>
      <c r="D8" s="125" t="s">
        <v>3</v>
      </c>
      <c r="E8" s="125" t="s">
        <v>56</v>
      </c>
      <c r="F8" s="125"/>
      <c r="G8" s="125" t="s">
        <v>6</v>
      </c>
      <c r="H8" s="125" t="s">
        <v>7</v>
      </c>
      <c r="I8" s="139" t="s">
        <v>8</v>
      </c>
      <c r="J8" s="126" t="s">
        <v>9</v>
      </c>
      <c r="K8" s="123"/>
    </row>
    <row r="9" spans="1:14">
      <c r="A9" s="127"/>
      <c r="B9" s="127"/>
      <c r="C9" s="135"/>
      <c r="D9" s="128"/>
      <c r="E9" s="128" t="s">
        <v>57</v>
      </c>
      <c r="F9" s="128" t="s">
        <v>58</v>
      </c>
      <c r="G9" s="128"/>
      <c r="H9" s="128"/>
      <c r="I9" s="140"/>
      <c r="J9" s="129"/>
      <c r="K9" s="123"/>
    </row>
    <row r="10" spans="1:14">
      <c r="A10" s="130" t="s">
        <v>59</v>
      </c>
      <c r="B10" s="131" t="s">
        <v>60</v>
      </c>
      <c r="C10" s="113">
        <v>24587</v>
      </c>
      <c r="D10" s="114">
        <v>1694.8773841261268</v>
      </c>
      <c r="E10" s="115">
        <v>21231.26073428282</v>
      </c>
      <c r="F10" s="115">
        <v>27942.73926571718</v>
      </c>
      <c r="G10" s="114">
        <v>6.8933883114089836E-2</v>
      </c>
      <c r="H10" s="114">
        <v>1.4713348478354908</v>
      </c>
      <c r="I10" s="114">
        <v>161985</v>
      </c>
      <c r="J10" s="116">
        <v>1713</v>
      </c>
      <c r="K10" s="123"/>
      <c r="L10">
        <f>I10/I11</f>
        <v>0.41488446190649381</v>
      </c>
    </row>
    <row r="11" spans="1:14">
      <c r="A11" s="132"/>
      <c r="B11" s="132" t="s">
        <v>61</v>
      </c>
      <c r="C11" s="117">
        <v>390434</v>
      </c>
      <c r="D11" s="118">
        <v>6755.4753163637561</v>
      </c>
      <c r="E11" s="119">
        <v>377058.6290203504</v>
      </c>
      <c r="F11" s="119">
        <v>403809.3709796496</v>
      </c>
      <c r="G11" s="120">
        <v>1.7302477029059345E-2</v>
      </c>
      <c r="H11" s="121"/>
      <c r="I11" s="120">
        <v>390434</v>
      </c>
      <c r="J11" s="122">
        <v>4080</v>
      </c>
      <c r="K11" s="123"/>
    </row>
    <row r="12" spans="1:14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</row>
    <row r="13" spans="1:14">
      <c r="A13" s="133" t="s">
        <v>55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23"/>
    </row>
    <row r="14" spans="1:14">
      <c r="A14" s="124" t="s">
        <v>54</v>
      </c>
      <c r="B14" s="124"/>
      <c r="C14" s="134" t="s">
        <v>2</v>
      </c>
      <c r="D14" s="125" t="s">
        <v>3</v>
      </c>
      <c r="E14" s="125" t="s">
        <v>56</v>
      </c>
      <c r="F14" s="125"/>
      <c r="G14" s="125" t="s">
        <v>6</v>
      </c>
      <c r="H14" s="125" t="s">
        <v>7</v>
      </c>
      <c r="I14" s="125" t="s">
        <v>8</v>
      </c>
      <c r="J14" s="126" t="s">
        <v>9</v>
      </c>
      <c r="K14" s="123"/>
    </row>
    <row r="15" spans="1:14">
      <c r="A15" s="127"/>
      <c r="B15" s="127"/>
      <c r="C15" s="135"/>
      <c r="D15" s="128"/>
      <c r="E15" s="128" t="s">
        <v>57</v>
      </c>
      <c r="F15" s="128" t="s">
        <v>58</v>
      </c>
      <c r="G15" s="128"/>
      <c r="H15" s="128"/>
      <c r="I15" s="128"/>
      <c r="J15" s="129"/>
      <c r="K15" s="123"/>
    </row>
    <row r="16" spans="1:14">
      <c r="A16" s="130" t="s">
        <v>59</v>
      </c>
      <c r="B16" s="131" t="s">
        <v>60</v>
      </c>
      <c r="C16" s="113">
        <v>18134</v>
      </c>
      <c r="D16" s="114">
        <v>1448.9168964185878</v>
      </c>
      <c r="E16" s="115">
        <v>15259.034532686885</v>
      </c>
      <c r="F16" s="115">
        <v>21008.965467313115</v>
      </c>
      <c r="G16" s="114">
        <v>7.9900567796326677E-2</v>
      </c>
      <c r="H16" s="114">
        <v>1.3662269041107376</v>
      </c>
      <c r="I16" s="114">
        <v>119210</v>
      </c>
      <c r="J16" s="116">
        <v>1182</v>
      </c>
      <c r="K16" s="123"/>
      <c r="L16">
        <f>I16/I17</f>
        <v>0.39754953945481586</v>
      </c>
      <c r="N16" s="142"/>
    </row>
    <row r="17" spans="1:17">
      <c r="A17" s="132"/>
      <c r="B17" s="132" t="s">
        <v>61</v>
      </c>
      <c r="C17" s="117">
        <v>299862</v>
      </c>
      <c r="D17" s="118">
        <v>5861.2128716906973</v>
      </c>
      <c r="E17" s="119">
        <v>288232.08206313738</v>
      </c>
      <c r="F17" s="119">
        <v>311491.91793686262</v>
      </c>
      <c r="G17" s="120">
        <v>1.9546367568050293E-2</v>
      </c>
      <c r="H17" s="121"/>
      <c r="I17" s="120">
        <v>299862</v>
      </c>
      <c r="J17" s="122">
        <v>3054</v>
      </c>
      <c r="K17" s="123"/>
      <c r="N17" s="142"/>
    </row>
    <row r="18" spans="1:17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N18" s="142"/>
    </row>
    <row r="19" spans="1:17">
      <c r="A19" s="133" t="s">
        <v>55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23"/>
      <c r="N19" s="142"/>
    </row>
    <row r="20" spans="1:17">
      <c r="A20" s="124" t="s">
        <v>54</v>
      </c>
      <c r="B20" s="124"/>
      <c r="C20" s="134" t="s">
        <v>2</v>
      </c>
      <c r="D20" s="125" t="s">
        <v>3</v>
      </c>
      <c r="E20" s="125" t="s">
        <v>56</v>
      </c>
      <c r="F20" s="125"/>
      <c r="G20" s="125" t="s">
        <v>6</v>
      </c>
      <c r="H20" s="125" t="s">
        <v>7</v>
      </c>
      <c r="I20" s="125" t="s">
        <v>8</v>
      </c>
      <c r="J20" s="126" t="s">
        <v>9</v>
      </c>
      <c r="K20" s="123"/>
      <c r="N20" s="143" t="s">
        <v>68</v>
      </c>
    </row>
    <row r="21" spans="1:17">
      <c r="A21" s="127"/>
      <c r="B21" s="127"/>
      <c r="C21" s="135"/>
      <c r="D21" s="128"/>
      <c r="E21" s="128" t="s">
        <v>57</v>
      </c>
      <c r="F21" s="128" t="s">
        <v>58</v>
      </c>
      <c r="G21" s="128"/>
      <c r="H21" s="128"/>
      <c r="I21" s="128"/>
      <c r="J21" s="129"/>
      <c r="K21" s="123"/>
      <c r="N21" s="141">
        <v>2511347</v>
      </c>
      <c r="O21" s="120">
        <v>3143087</v>
      </c>
      <c r="P21" s="114">
        <v>1673057</v>
      </c>
      <c r="Q21">
        <f t="shared" ref="Q21:Q26" si="0">+P21/N21</f>
        <v>0.66619905572587146</v>
      </c>
    </row>
    <row r="22" spans="1:17">
      <c r="A22" s="130" t="s">
        <v>59</v>
      </c>
      <c r="B22" s="131" t="s">
        <v>60</v>
      </c>
      <c r="C22" s="113">
        <v>26152</v>
      </c>
      <c r="D22" s="114">
        <v>1840.1047329275657</v>
      </c>
      <c r="E22" s="115">
        <v>22513.31946719384</v>
      </c>
      <c r="F22" s="115">
        <v>29790.68053280616</v>
      </c>
      <c r="G22" s="114">
        <v>7.0361912393987674E-2</v>
      </c>
      <c r="H22" s="114">
        <v>1.7900077882805123</v>
      </c>
      <c r="I22" s="114">
        <v>158657</v>
      </c>
      <c r="J22" s="116">
        <v>1812</v>
      </c>
      <c r="K22" s="123"/>
      <c r="L22">
        <f>I22/I23</f>
        <v>0.43078431053114596</v>
      </c>
      <c r="N22" s="141">
        <v>295527</v>
      </c>
      <c r="O22" s="120">
        <v>390434</v>
      </c>
      <c r="P22" s="114">
        <v>161985</v>
      </c>
      <c r="Q22">
        <f t="shared" si="0"/>
        <v>0.54812250657300343</v>
      </c>
    </row>
    <row r="23" spans="1:17">
      <c r="A23" s="132"/>
      <c r="B23" s="132" t="s">
        <v>61</v>
      </c>
      <c r="C23" s="117">
        <v>368298</v>
      </c>
      <c r="D23" s="118">
        <v>6405.5097791746866</v>
      </c>
      <c r="E23" s="119">
        <v>355631.54503191751</v>
      </c>
      <c r="F23" s="119">
        <v>380964.45496808249</v>
      </c>
      <c r="G23" s="120">
        <v>1.7392192678685973E-2</v>
      </c>
      <c r="H23" s="121"/>
      <c r="I23" s="120">
        <v>368298</v>
      </c>
      <c r="J23" s="122">
        <v>4301</v>
      </c>
      <c r="K23" s="123"/>
      <c r="N23" s="141">
        <v>230331</v>
      </c>
      <c r="O23" s="120">
        <v>299862</v>
      </c>
      <c r="P23" s="114">
        <v>119210</v>
      </c>
      <c r="Q23">
        <f t="shared" si="0"/>
        <v>0.51755951218029705</v>
      </c>
    </row>
    <row r="24" spans="1:17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N24" s="141">
        <v>279357</v>
      </c>
      <c r="O24" s="120">
        <v>368298</v>
      </c>
      <c r="P24" s="114">
        <v>158657</v>
      </c>
      <c r="Q24">
        <f t="shared" si="0"/>
        <v>0.56793636815973825</v>
      </c>
    </row>
    <row r="25" spans="1:17">
      <c r="A25" s="133" t="s">
        <v>55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23"/>
      <c r="N25" s="141">
        <v>338321</v>
      </c>
      <c r="O25" s="120">
        <v>456908</v>
      </c>
      <c r="P25" s="114">
        <v>195068</v>
      </c>
      <c r="Q25">
        <f t="shared" si="0"/>
        <v>0.5765766830909107</v>
      </c>
    </row>
    <row r="26" spans="1:17">
      <c r="A26" s="124" t="s">
        <v>54</v>
      </c>
      <c r="B26" s="124"/>
      <c r="C26" s="134" t="s">
        <v>2</v>
      </c>
      <c r="D26" s="125" t="s">
        <v>3</v>
      </c>
      <c r="E26" s="125" t="s">
        <v>56</v>
      </c>
      <c r="F26" s="125"/>
      <c r="G26" s="125" t="s">
        <v>6</v>
      </c>
      <c r="H26" s="125" t="s">
        <v>7</v>
      </c>
      <c r="I26" s="125" t="s">
        <v>8</v>
      </c>
      <c r="J26" s="126" t="s">
        <v>9</v>
      </c>
      <c r="K26" s="123"/>
      <c r="N26" s="141">
        <v>308775</v>
      </c>
      <c r="O26" s="120">
        <v>416783</v>
      </c>
      <c r="P26" s="114">
        <v>184306</v>
      </c>
      <c r="Q26">
        <f t="shared" si="0"/>
        <v>0.5968941786090195</v>
      </c>
    </row>
    <row r="27" spans="1:17">
      <c r="A27" s="127"/>
      <c r="B27" s="127"/>
      <c r="C27" s="135"/>
      <c r="D27" s="128"/>
      <c r="E27" s="128" t="s">
        <v>57</v>
      </c>
      <c r="F27" s="128" t="s">
        <v>58</v>
      </c>
      <c r="G27" s="128"/>
      <c r="H27" s="128"/>
      <c r="I27" s="128"/>
      <c r="J27" s="129"/>
      <c r="K27" s="123"/>
    </row>
    <row r="28" spans="1:17">
      <c r="A28" s="130" t="s">
        <v>59</v>
      </c>
      <c r="B28" s="131" t="s">
        <v>60</v>
      </c>
      <c r="C28" s="113">
        <v>18935</v>
      </c>
      <c r="D28" s="114">
        <v>1502.2124010414891</v>
      </c>
      <c r="E28" s="115">
        <v>15966.277816026814</v>
      </c>
      <c r="F28" s="115">
        <v>21903.722183973186</v>
      </c>
      <c r="G28" s="114">
        <v>7.933522054615734E-2</v>
      </c>
      <c r="H28" s="114">
        <v>1.3341555894635977</v>
      </c>
      <c r="I28" s="114">
        <v>195068</v>
      </c>
      <c r="J28" s="116">
        <v>1953</v>
      </c>
      <c r="K28" s="123"/>
      <c r="L28">
        <f>I28/I29</f>
        <v>0.42693058558834601</v>
      </c>
    </row>
    <row r="29" spans="1:17">
      <c r="A29" s="132"/>
      <c r="B29" s="132" t="s">
        <v>61</v>
      </c>
      <c r="C29" s="117">
        <v>456908</v>
      </c>
      <c r="D29" s="118">
        <v>6991.3936961331074</v>
      </c>
      <c r="E29" s="119">
        <v>443091.37490210385</v>
      </c>
      <c r="F29" s="119">
        <v>470724.62509789615</v>
      </c>
      <c r="G29" s="120">
        <v>1.5301534873832604E-2</v>
      </c>
      <c r="H29" s="121"/>
      <c r="I29" s="120">
        <v>456908</v>
      </c>
      <c r="J29" s="122">
        <v>4622</v>
      </c>
      <c r="K29" s="123"/>
    </row>
    <row r="30" spans="1:17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</row>
    <row r="31" spans="1:17">
      <c r="A31" s="133" t="s">
        <v>55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23"/>
    </row>
    <row r="32" spans="1:17">
      <c r="A32" s="124" t="s">
        <v>54</v>
      </c>
      <c r="B32" s="124"/>
      <c r="C32" s="134" t="s">
        <v>2</v>
      </c>
      <c r="D32" s="125" t="s">
        <v>3</v>
      </c>
      <c r="E32" s="125" t="s">
        <v>56</v>
      </c>
      <c r="F32" s="125"/>
      <c r="G32" s="125" t="s">
        <v>6</v>
      </c>
      <c r="H32" s="125" t="s">
        <v>7</v>
      </c>
      <c r="I32" s="125" t="s">
        <v>8</v>
      </c>
      <c r="J32" s="126" t="s">
        <v>9</v>
      </c>
      <c r="K32" s="123"/>
    </row>
    <row r="33" spans="1:12">
      <c r="A33" s="127"/>
      <c r="B33" s="127"/>
      <c r="C33" s="135"/>
      <c r="D33" s="128"/>
      <c r="E33" s="128" t="s">
        <v>57</v>
      </c>
      <c r="F33" s="128" t="s">
        <v>58</v>
      </c>
      <c r="G33" s="128"/>
      <c r="H33" s="128"/>
      <c r="I33" s="128"/>
      <c r="J33" s="129"/>
      <c r="K33" s="123"/>
    </row>
    <row r="34" spans="1:12">
      <c r="A34" s="130" t="s">
        <v>59</v>
      </c>
      <c r="B34" s="131" t="s">
        <v>60</v>
      </c>
      <c r="C34" s="113">
        <v>22051</v>
      </c>
      <c r="D34" s="114">
        <v>1642.8822765581469</v>
      </c>
      <c r="E34" s="115">
        <v>18798.750444958347</v>
      </c>
      <c r="F34" s="115">
        <v>25303.249555041653</v>
      </c>
      <c r="G34" s="114">
        <v>7.4503753868674749E-2</v>
      </c>
      <c r="H34" s="114">
        <v>1.4135983542191408</v>
      </c>
      <c r="I34" s="114">
        <v>184306</v>
      </c>
      <c r="J34" s="116">
        <v>1856</v>
      </c>
      <c r="K34" s="123"/>
      <c r="L34">
        <f>I34/I35</f>
        <v>0.44221093470702982</v>
      </c>
    </row>
    <row r="35" spans="1:12">
      <c r="A35" s="132"/>
      <c r="B35" s="132" t="s">
        <v>61</v>
      </c>
      <c r="C35" s="117">
        <v>416783</v>
      </c>
      <c r="D35" s="118">
        <v>7835.6560171541032</v>
      </c>
      <c r="E35" s="119">
        <v>401271.536300582</v>
      </c>
      <c r="F35" s="119">
        <v>432294.463699418</v>
      </c>
      <c r="G35" s="120">
        <v>1.8800325390320869E-2</v>
      </c>
      <c r="H35" s="121"/>
      <c r="I35" s="120">
        <v>416783</v>
      </c>
      <c r="J35" s="122">
        <v>4190</v>
      </c>
      <c r="K35" s="1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B2" sqref="B2"/>
    </sheetView>
  </sheetViews>
  <sheetFormatPr baseColWidth="10" defaultRowHeight="15"/>
  <cols>
    <col min="1" max="1" width="21.5703125" style="42" customWidth="1"/>
    <col min="2" max="2" width="11.42578125" style="42"/>
    <col min="3" max="3" width="12.7109375" style="42" bestFit="1" customWidth="1"/>
    <col min="4" max="4" width="5.5703125" style="42" customWidth="1"/>
    <col min="5" max="6" width="11.42578125" style="42"/>
    <col min="7" max="7" width="12.7109375" style="42" bestFit="1" customWidth="1"/>
    <col min="8" max="16384" width="11.42578125" style="42"/>
  </cols>
  <sheetData>
    <row r="1" spans="1:7" ht="90">
      <c r="A1" s="228" t="s">
        <v>109</v>
      </c>
      <c r="B1" s="228" t="s">
        <v>110</v>
      </c>
      <c r="C1" s="228" t="s">
        <v>111</v>
      </c>
      <c r="E1" s="228" t="s">
        <v>109</v>
      </c>
      <c r="F1" s="228" t="s">
        <v>112</v>
      </c>
      <c r="G1" s="228" t="s">
        <v>113</v>
      </c>
    </row>
    <row r="2" spans="1:7">
      <c r="A2" s="229">
        <v>6</v>
      </c>
      <c r="B2" s="229">
        <v>1500.0979672694973</v>
      </c>
      <c r="C2" s="230">
        <v>51858.347600506677</v>
      </c>
      <c r="E2" s="229">
        <v>6</v>
      </c>
      <c r="F2" s="229">
        <v>941.11201077412568</v>
      </c>
      <c r="G2" s="230">
        <v>63108.945607766218</v>
      </c>
    </row>
    <row r="3" spans="1:7">
      <c r="A3" s="229">
        <v>8</v>
      </c>
      <c r="B3" s="229">
        <v>1416.2905766367087</v>
      </c>
      <c r="C3" s="230">
        <v>59973.279177035707</v>
      </c>
      <c r="E3" s="229">
        <v>8</v>
      </c>
      <c r="F3" s="229">
        <v>826.52920152044828</v>
      </c>
      <c r="G3" s="230">
        <v>69463.914837116841</v>
      </c>
    </row>
    <row r="4" spans="1:7">
      <c r="A4" s="229">
        <v>9</v>
      </c>
      <c r="B4" s="229">
        <v>1356.1827814513911</v>
      </c>
      <c r="C4" s="230">
        <v>70384.693237593223</v>
      </c>
      <c r="E4" s="229">
        <v>9</v>
      </c>
      <c r="F4" s="229">
        <v>744.64226216087025</v>
      </c>
      <c r="G4" s="230">
        <v>75203.787534622956</v>
      </c>
    </row>
    <row r="5" spans="1:7">
      <c r="A5" s="229">
        <v>10</v>
      </c>
      <c r="B5" s="229">
        <v>1310.8877876283875</v>
      </c>
      <c r="C5" s="230">
        <v>78509.224578074194</v>
      </c>
      <c r="E5" s="229">
        <v>10</v>
      </c>
      <c r="F5" s="229">
        <v>683.19030558108898</v>
      </c>
      <c r="G5" s="230">
        <v>91423.100799360458</v>
      </c>
    </row>
    <row r="6" spans="1:7">
      <c r="A6" s="229">
        <v>12</v>
      </c>
      <c r="B6" s="229">
        <v>1275.4684856485762</v>
      </c>
      <c r="C6" s="230">
        <v>87792.538654201751</v>
      </c>
      <c r="E6" s="229">
        <v>12</v>
      </c>
      <c r="F6" s="229">
        <v>635.36172769653649</v>
      </c>
      <c r="G6" s="230">
        <v>97005.316245239315</v>
      </c>
    </row>
    <row r="7" spans="1:7">
      <c r="A7" s="229">
        <v>13</v>
      </c>
      <c r="B7" s="229">
        <v>1246.9626082824009</v>
      </c>
      <c r="C7" s="230">
        <v>95932.533321852854</v>
      </c>
      <c r="E7" s="229">
        <v>13</v>
      </c>
      <c r="F7" s="229">
        <v>597.06956593785765</v>
      </c>
      <c r="G7" s="230">
        <v>102119.14017890862</v>
      </c>
    </row>
    <row r="8" spans="1:7">
      <c r="A8" s="229">
        <v>14</v>
      </c>
      <c r="B8" s="229">
        <v>1223.4850750096257</v>
      </c>
      <c r="C8" s="230">
        <v>105306.16453368633</v>
      </c>
      <c r="E8" s="229">
        <v>14</v>
      </c>
      <c r="F8" s="229">
        <v>565.71302583521549</v>
      </c>
      <c r="G8" s="230">
        <v>109466.75173158226</v>
      </c>
    </row>
    <row r="9" spans="1:7">
      <c r="A9" s="229">
        <v>16</v>
      </c>
      <c r="B9" s="229">
        <v>1203.7791642291861</v>
      </c>
      <c r="C9" s="230">
        <v>114899.41161386519</v>
      </c>
      <c r="E9" s="229">
        <v>16</v>
      </c>
      <c r="F9" s="229">
        <v>539.55824431044459</v>
      </c>
      <c r="G9" s="230">
        <v>113936.02715378767</v>
      </c>
    </row>
    <row r="10" spans="1:7">
      <c r="A10" s="229">
        <v>17</v>
      </c>
      <c r="B10" s="229">
        <v>1186.9748367567763</v>
      </c>
      <c r="C10" s="230">
        <v>124395.7783824088</v>
      </c>
      <c r="E10" s="229">
        <v>17</v>
      </c>
      <c r="F10" s="229">
        <v>517.4048545266711</v>
      </c>
      <c r="G10" s="230">
        <v>132692.40340595858</v>
      </c>
    </row>
    <row r="11" spans="1:7">
      <c r="A11" s="229">
        <v>18</v>
      </c>
      <c r="B11" s="229">
        <v>1172.4506349663002</v>
      </c>
      <c r="C11" s="230">
        <v>132675.88686173441</v>
      </c>
      <c r="E11" s="229">
        <v>18</v>
      </c>
      <c r="F11" s="229">
        <v>498.39545151666499</v>
      </c>
      <c r="G11" s="230">
        <v>137094.82366682522</v>
      </c>
    </row>
    <row r="12" spans="1:7">
      <c r="A12" s="229">
        <v>19</v>
      </c>
      <c r="B12" s="229">
        <v>1159.750822274724</v>
      </c>
      <c r="C12" s="230">
        <v>142277.64144399232</v>
      </c>
      <c r="E12" s="229">
        <v>19</v>
      </c>
      <c r="F12" s="229">
        <v>481.90127155985118</v>
      </c>
      <c r="G12" s="230">
        <v>141196.16746529957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22"/>
  <sheetViews>
    <sheetView showGridLines="0" tabSelected="1" zoomScale="87" zoomScaleNormal="87" workbookViewId="0">
      <pane ySplit="4" topLeftCell="A87" activePane="bottomLeft" state="frozen"/>
      <selection pane="bottomLeft" activeCell="A97" sqref="A97"/>
    </sheetView>
  </sheetViews>
  <sheetFormatPr baseColWidth="10" defaultRowHeight="15"/>
  <cols>
    <col min="8" max="8" width="7.85546875" customWidth="1"/>
    <col min="18" max="19" width="8" customWidth="1"/>
    <col min="20" max="22" width="8.140625" customWidth="1"/>
    <col min="23" max="23" width="7.42578125" customWidth="1"/>
    <col min="24" max="26" width="7.5703125" customWidth="1"/>
    <col min="27" max="28" width="7" customWidth="1"/>
    <col min="29" max="29" width="18.140625" bestFit="1" customWidth="1"/>
    <col min="30" max="30" width="16.85546875" customWidth="1"/>
    <col min="31" max="32" width="11.140625" customWidth="1"/>
    <col min="33" max="33" width="11.42578125" customWidth="1"/>
    <col min="34" max="34" width="15.85546875" customWidth="1"/>
    <col min="35" max="35" width="11.7109375" customWidth="1"/>
    <col min="36" max="36" width="11.85546875" customWidth="1"/>
    <col min="37" max="37" width="10.28515625" customWidth="1"/>
  </cols>
  <sheetData>
    <row r="1" spans="1:38" ht="15" customHeight="1">
      <c r="A1" s="219" t="s">
        <v>107</v>
      </c>
      <c r="J1" s="211"/>
      <c r="K1" s="211"/>
      <c r="M1" s="96"/>
      <c r="N1" s="96"/>
      <c r="O1" s="96"/>
      <c r="P1" s="96"/>
      <c r="Q1" s="96"/>
      <c r="R1" s="96"/>
      <c r="T1" s="324" t="s">
        <v>48</v>
      </c>
      <c r="U1" s="324"/>
      <c r="V1" s="324"/>
      <c r="W1" s="40" t="s">
        <v>31</v>
      </c>
      <c r="X1" s="148" t="s">
        <v>71</v>
      </c>
      <c r="AA1" s="42"/>
      <c r="AC1" s="42"/>
      <c r="AH1" s="217" t="s">
        <v>105</v>
      </c>
      <c r="AJ1" s="42"/>
    </row>
    <row r="2" spans="1:38" ht="15" customHeight="1">
      <c r="A2" s="220" t="s">
        <v>108</v>
      </c>
      <c r="L2" s="324" t="s">
        <v>39</v>
      </c>
      <c r="M2" s="324"/>
      <c r="N2" s="324"/>
      <c r="O2" s="324"/>
      <c r="P2" s="324"/>
      <c r="Q2" s="324"/>
      <c r="R2" s="324"/>
      <c r="S2" s="147" t="s">
        <v>40</v>
      </c>
      <c r="T2" s="97" t="s">
        <v>41</v>
      </c>
      <c r="U2" s="97" t="s">
        <v>49</v>
      </c>
      <c r="V2" s="97" t="s">
        <v>42</v>
      </c>
      <c r="W2" s="95" t="s">
        <v>35</v>
      </c>
      <c r="X2" s="94" t="s">
        <v>32</v>
      </c>
      <c r="Y2" s="326" t="s">
        <v>43</v>
      </c>
      <c r="Z2" s="326"/>
      <c r="AA2" s="41" t="s">
        <v>34</v>
      </c>
      <c r="AB2" s="43"/>
      <c r="AC2" s="41" t="s">
        <v>33</v>
      </c>
      <c r="AD2" s="101" t="s">
        <v>50</v>
      </c>
      <c r="AH2" s="218" t="s">
        <v>106</v>
      </c>
      <c r="AI2" s="216"/>
      <c r="AJ2" s="216"/>
      <c r="AK2" s="216"/>
    </row>
    <row r="3" spans="1:38" ht="58.5" customHeight="1">
      <c r="A3" s="220"/>
      <c r="C3" s="325" t="s">
        <v>70</v>
      </c>
      <c r="D3" s="325"/>
      <c r="E3" s="325"/>
      <c r="F3" s="325"/>
      <c r="G3" s="325"/>
      <c r="H3" s="325"/>
      <c r="I3" s="325"/>
      <c r="J3" s="325"/>
      <c r="K3" s="312"/>
      <c r="L3" s="147"/>
      <c r="M3" s="147"/>
      <c r="N3" s="147"/>
      <c r="O3" s="147"/>
      <c r="P3" s="147"/>
      <c r="Q3" s="147"/>
      <c r="R3" s="147"/>
      <c r="S3" s="147"/>
      <c r="T3" s="97"/>
      <c r="U3" s="97"/>
      <c r="V3" s="97"/>
      <c r="W3" s="95"/>
      <c r="X3" s="94"/>
      <c r="Y3" s="213"/>
      <c r="Z3" s="213"/>
      <c r="AA3" s="41"/>
      <c r="AB3" s="43"/>
      <c r="AC3" s="41"/>
      <c r="AD3" s="101"/>
      <c r="AH3" s="214" t="s">
        <v>36</v>
      </c>
      <c r="AI3" s="214" t="s">
        <v>24</v>
      </c>
      <c r="AJ3" s="214" t="s">
        <v>37</v>
      </c>
      <c r="AK3" s="215" t="s">
        <v>25</v>
      </c>
      <c r="AL3" s="214" t="s">
        <v>10</v>
      </c>
    </row>
    <row r="4" spans="1:38" ht="61.5" customHeight="1">
      <c r="A4" s="12" t="s">
        <v>0</v>
      </c>
      <c r="B4" s="12" t="s">
        <v>1</v>
      </c>
      <c r="C4" s="12" t="s">
        <v>2</v>
      </c>
      <c r="D4" s="12" t="s">
        <v>3</v>
      </c>
      <c r="E4" s="13" t="s">
        <v>4</v>
      </c>
      <c r="F4" s="13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127</v>
      </c>
      <c r="L4" s="14" t="s">
        <v>10</v>
      </c>
      <c r="M4" s="2" t="s">
        <v>11</v>
      </c>
      <c r="N4" s="2" t="s">
        <v>12</v>
      </c>
      <c r="O4" s="2" t="s">
        <v>13</v>
      </c>
      <c r="P4" s="14" t="s">
        <v>14</v>
      </c>
      <c r="Q4" s="14" t="s">
        <v>15</v>
      </c>
      <c r="R4" s="1" t="s">
        <v>28</v>
      </c>
      <c r="S4" s="1" t="s">
        <v>16</v>
      </c>
      <c r="T4" s="2" t="s">
        <v>44</v>
      </c>
      <c r="U4" s="2" t="s">
        <v>45</v>
      </c>
      <c r="V4" s="2" t="s">
        <v>46</v>
      </c>
      <c r="W4" s="2" t="s">
        <v>51</v>
      </c>
      <c r="X4" s="9" t="s">
        <v>38</v>
      </c>
      <c r="Y4" s="2" t="s">
        <v>17</v>
      </c>
      <c r="Z4" s="2" t="s">
        <v>18</v>
      </c>
      <c r="AA4" s="9" t="s">
        <v>29</v>
      </c>
      <c r="AB4" s="9" t="s">
        <v>19</v>
      </c>
      <c r="AC4" s="9" t="s">
        <v>30</v>
      </c>
      <c r="AD4" s="9" t="s">
        <v>20</v>
      </c>
      <c r="AG4" s="247"/>
      <c r="AH4" s="317" t="s">
        <v>21</v>
      </c>
      <c r="AI4" s="317"/>
      <c r="AJ4" s="317"/>
      <c r="AK4" s="317"/>
      <c r="AL4" s="317"/>
    </row>
    <row r="5" spans="1:38" ht="17.25" customHeight="1" thickBot="1">
      <c r="A5" s="102" t="s">
        <v>47</v>
      </c>
      <c r="B5" s="53" t="s">
        <v>21</v>
      </c>
      <c r="C5" s="192">
        <v>296971</v>
      </c>
      <c r="D5" s="193">
        <v>15455.222</v>
      </c>
      <c r="E5" s="83">
        <v>266632</v>
      </c>
      <c r="F5" s="83">
        <v>327310</v>
      </c>
      <c r="G5" s="194">
        <v>5.1999999999999998E-2</v>
      </c>
      <c r="H5" s="194">
        <v>3.855</v>
      </c>
      <c r="I5" s="83">
        <v>2484855</v>
      </c>
      <c r="J5" s="83">
        <v>23484</v>
      </c>
      <c r="K5" s="313">
        <v>10461</v>
      </c>
      <c r="L5" s="46">
        <v>2.5499999999999998E-2</v>
      </c>
      <c r="M5" s="47">
        <f>C5/I5</f>
        <v>0.11951240615649605</v>
      </c>
      <c r="N5" s="47">
        <f>1-M5</f>
        <v>0.88048759384350395</v>
      </c>
      <c r="O5" s="47">
        <f>M5*N5</f>
        <v>0.10522919093118077</v>
      </c>
      <c r="P5" s="48">
        <f>(I5^2)*(O5*H5)</f>
        <v>2504740373048.2202</v>
      </c>
      <c r="Q5" s="3">
        <f>(L5^2)*(C5^2)</f>
        <v>57346701.590360239</v>
      </c>
      <c r="R5" s="49">
        <f>P5/Q5</f>
        <v>43677.148006525582</v>
      </c>
      <c r="S5" s="49">
        <f>R5/(1+(R5/I5))</f>
        <v>42922.681325337464</v>
      </c>
      <c r="T5" s="15">
        <v>0.60493799999999998</v>
      </c>
      <c r="U5" s="15">
        <v>0.78714499999999998</v>
      </c>
      <c r="V5" s="15">
        <v>3.040368</v>
      </c>
      <c r="W5" s="306">
        <f>S5/(T5*U5*V5)</f>
        <v>29647.978276584199</v>
      </c>
      <c r="X5" s="15">
        <v>10.059061</v>
      </c>
      <c r="Y5" s="15">
        <v>8.2696535119857695E-2</v>
      </c>
      <c r="Z5" s="15">
        <v>0.88930731484651204</v>
      </c>
      <c r="AA5" s="15">
        <f>X5/((1-Y5)*Z5)</f>
        <v>12.3308366140126</v>
      </c>
      <c r="AB5" s="51">
        <f t="shared" ref="AB5:AB16" si="0">W5/X5</f>
        <v>2947.3902461257767</v>
      </c>
      <c r="AC5" s="150">
        <f>AA5*AB5</f>
        <v>36343.787562711339</v>
      </c>
      <c r="AD5" s="151">
        <f>(H5-1)/(X5-1)</f>
        <v>0.31515407612334218</v>
      </c>
      <c r="AE5" s="157"/>
      <c r="AF5" s="157"/>
      <c r="AG5" s="248"/>
      <c r="AH5" s="221">
        <f>+AA5</f>
        <v>12.3308366140126</v>
      </c>
      <c r="AI5" s="222">
        <f>+AB5</f>
        <v>2947.3902461257767</v>
      </c>
      <c r="AJ5" s="222">
        <f>+AC5</f>
        <v>36343.787562711339</v>
      </c>
      <c r="AK5" s="238">
        <f>+H5</f>
        <v>3.855</v>
      </c>
      <c r="AL5" s="239">
        <f>+L5</f>
        <v>2.5499999999999998E-2</v>
      </c>
    </row>
    <row r="6" spans="1:38">
      <c r="A6" s="52"/>
      <c r="B6" s="53"/>
      <c r="C6" s="54">
        <f>C5</f>
        <v>296971</v>
      </c>
      <c r="D6" s="54">
        <f t="shared" ref="D6:G16" si="1">D5</f>
        <v>15455.222</v>
      </c>
      <c r="E6" s="54">
        <f t="shared" si="1"/>
        <v>266632</v>
      </c>
      <c r="F6" s="54">
        <f t="shared" si="1"/>
        <v>327310</v>
      </c>
      <c r="G6" s="24">
        <f t="shared" si="1"/>
        <v>5.1999999999999998E-2</v>
      </c>
      <c r="H6" s="22">
        <f>1+(X6-1)*$AD$5</f>
        <v>2.2606163044933689</v>
      </c>
      <c r="I6" s="21">
        <f>I5</f>
        <v>2484855</v>
      </c>
      <c r="J6" s="21">
        <f>J5</f>
        <v>23484</v>
      </c>
      <c r="K6" s="314"/>
      <c r="L6" s="11">
        <f>L5</f>
        <v>2.5499999999999998E-2</v>
      </c>
      <c r="M6" s="47">
        <f t="shared" ref="M6:M16" si="2">C6/I6</f>
        <v>0.11951240615649605</v>
      </c>
      <c r="N6" s="47">
        <f t="shared" ref="N6:N16" si="3">1-M6</f>
        <v>0.88048759384350395</v>
      </c>
      <c r="O6" s="47">
        <f>M6*N6</f>
        <v>0.10522919093118077</v>
      </c>
      <c r="P6" s="48">
        <f>(I6^2)*(O6*H6)</f>
        <v>1468808541072.7908</v>
      </c>
      <c r="Q6" s="3">
        <f>(L6^2)*(C6^2)</f>
        <v>57346701.590360239</v>
      </c>
      <c r="R6" s="49">
        <f>P6/Q6</f>
        <v>25612.781560913554</v>
      </c>
      <c r="S6" s="49">
        <f>R6/(1+(R6/I6))</f>
        <v>25351.469870675814</v>
      </c>
      <c r="T6" s="10">
        <f>T5</f>
        <v>0.60493799999999998</v>
      </c>
      <c r="U6" s="10">
        <f>U5</f>
        <v>0.78714499999999998</v>
      </c>
      <c r="V6" s="55">
        <f>V5</f>
        <v>3.040368</v>
      </c>
      <c r="W6" s="306">
        <f>S6/(T6*U6*V6)</f>
        <v>17511.017597160004</v>
      </c>
      <c r="X6" s="7">
        <v>5</v>
      </c>
      <c r="Y6" s="10">
        <f>Y5</f>
        <v>8.2696535119857695E-2</v>
      </c>
      <c r="Z6" s="10">
        <f>Z5</f>
        <v>0.88930731484651204</v>
      </c>
      <c r="AA6" s="7">
        <f>ROUNDUP(X6/((1-Y6)*Z6),0)</f>
        <v>7</v>
      </c>
      <c r="AB6" s="56">
        <f t="shared" si="0"/>
        <v>3502.2035194320006</v>
      </c>
      <c r="AC6" s="50">
        <f>AA6*AB6</f>
        <v>24515.424636024003</v>
      </c>
      <c r="AD6" s="8"/>
      <c r="AE6" s="157"/>
      <c r="AF6" s="157"/>
      <c r="AH6" s="221">
        <f t="shared" ref="AH6:AH16" si="4">+AA6</f>
        <v>7</v>
      </c>
      <c r="AI6" s="222">
        <f t="shared" ref="AI6:AI16" si="5">+AB6</f>
        <v>3502.2035194320006</v>
      </c>
      <c r="AJ6" s="222">
        <f t="shared" ref="AJ6:AJ16" si="6">+AC6</f>
        <v>24515.424636024003</v>
      </c>
      <c r="AK6" s="238">
        <f t="shared" ref="AK6:AK16" si="7">+H6</f>
        <v>2.2606163044933689</v>
      </c>
      <c r="AL6" s="239">
        <f t="shared" ref="AL6:AL16" si="8">+L6</f>
        <v>2.5499999999999998E-2</v>
      </c>
    </row>
    <row r="7" spans="1:38">
      <c r="A7" s="52"/>
      <c r="B7" s="53"/>
      <c r="C7" s="54">
        <f t="shared" ref="C7:C16" si="9">C6</f>
        <v>296971</v>
      </c>
      <c r="D7" s="54">
        <f t="shared" si="1"/>
        <v>15455.222</v>
      </c>
      <c r="E7" s="54">
        <f t="shared" si="1"/>
        <v>266632</v>
      </c>
      <c r="F7" s="54">
        <f t="shared" si="1"/>
        <v>327310</v>
      </c>
      <c r="G7" s="24">
        <f t="shared" si="1"/>
        <v>5.1999999999999998E-2</v>
      </c>
      <c r="H7" s="22">
        <f>1+(X7-1)*$AD$5</f>
        <v>2.5757703806167109</v>
      </c>
      <c r="I7" s="21">
        <f t="shared" ref="I7:L16" si="10">I6</f>
        <v>2484855</v>
      </c>
      <c r="J7" s="21">
        <f t="shared" si="10"/>
        <v>23484</v>
      </c>
      <c r="K7" s="314"/>
      <c r="L7" s="11">
        <f t="shared" si="10"/>
        <v>2.5499999999999998E-2</v>
      </c>
      <c r="M7" s="47">
        <f>C7/I7</f>
        <v>0.11951240615649605</v>
      </c>
      <c r="N7" s="47">
        <f t="shared" si="3"/>
        <v>0.88048759384350395</v>
      </c>
      <c r="O7" s="47">
        <f t="shared" ref="O7:O16" si="11">M7*N7</f>
        <v>0.10522919093118077</v>
      </c>
      <c r="P7" s="48">
        <f>(I7^2)*(O7*H7)</f>
        <v>1673576151499.9885</v>
      </c>
      <c r="Q7" s="3">
        <f t="shared" ref="Q7:Q16" si="12">(L7^2)*(C7^2)</f>
        <v>57346701.590360239</v>
      </c>
      <c r="R7" s="49">
        <f t="shared" ref="R7:R16" si="13">P7/Q7</f>
        <v>29183.477080420442</v>
      </c>
      <c r="S7" s="49">
        <f t="shared" ref="S7:S16" si="14">R7/(1+(R7/I7))</f>
        <v>28844.709260330237</v>
      </c>
      <c r="T7" s="10">
        <f t="shared" ref="T7:V16" si="15">T6</f>
        <v>0.60493799999999998</v>
      </c>
      <c r="U7" s="10">
        <f t="shared" si="15"/>
        <v>0.78714499999999998</v>
      </c>
      <c r="V7" s="55">
        <f t="shared" si="15"/>
        <v>3.040368</v>
      </c>
      <c r="W7" s="306">
        <f t="shared" ref="W7:W16" si="16">S7/(T7*U7*V7)</f>
        <v>19923.902401685162</v>
      </c>
      <c r="X7" s="7">
        <v>6</v>
      </c>
      <c r="Y7" s="10">
        <f t="shared" ref="Y7:Z16" si="17">Y6</f>
        <v>8.2696535119857695E-2</v>
      </c>
      <c r="Z7" s="10">
        <f t="shared" si="17"/>
        <v>0.88930731484651204</v>
      </c>
      <c r="AA7" s="7">
        <f t="shared" ref="AA7:AA16" si="18">ROUNDUP(X7/((1-Y7)*Z7),0)</f>
        <v>8</v>
      </c>
      <c r="AB7" s="56">
        <f>W7/X7</f>
        <v>3320.6504002808601</v>
      </c>
      <c r="AC7" s="50">
        <f t="shared" ref="AC7:AC16" si="19">AA7*AB7</f>
        <v>26565.203202246881</v>
      </c>
      <c r="AD7" s="8"/>
      <c r="AE7" s="157"/>
      <c r="AF7" s="157"/>
      <c r="AH7" s="221">
        <f t="shared" si="4"/>
        <v>8</v>
      </c>
      <c r="AI7" s="222">
        <f t="shared" si="5"/>
        <v>3320.6504002808601</v>
      </c>
      <c r="AJ7" s="222">
        <f t="shared" si="6"/>
        <v>26565.203202246881</v>
      </c>
      <c r="AK7" s="238">
        <f t="shared" si="7"/>
        <v>2.5757703806167109</v>
      </c>
      <c r="AL7" s="239">
        <f t="shared" si="8"/>
        <v>2.5499999999999998E-2</v>
      </c>
    </row>
    <row r="8" spans="1:38">
      <c r="A8" s="52"/>
      <c r="B8" s="53"/>
      <c r="C8" s="54">
        <f t="shared" si="9"/>
        <v>296971</v>
      </c>
      <c r="D8" s="54">
        <f t="shared" si="1"/>
        <v>15455.222</v>
      </c>
      <c r="E8" s="54">
        <f t="shared" si="1"/>
        <v>266632</v>
      </c>
      <c r="F8" s="54">
        <f t="shared" si="1"/>
        <v>327310</v>
      </c>
      <c r="G8" s="24">
        <f t="shared" si="1"/>
        <v>5.1999999999999998E-2</v>
      </c>
      <c r="H8" s="22">
        <f t="shared" ref="H8:H16" si="20">1+(X8-1)*$AD$5</f>
        <v>2.8909244567400529</v>
      </c>
      <c r="I8" s="21">
        <f t="shared" si="10"/>
        <v>2484855</v>
      </c>
      <c r="J8" s="21">
        <f t="shared" si="10"/>
        <v>23484</v>
      </c>
      <c r="K8" s="314"/>
      <c r="L8" s="11">
        <f t="shared" si="10"/>
        <v>2.5499999999999998E-2</v>
      </c>
      <c r="M8" s="47">
        <f t="shared" si="2"/>
        <v>0.11951240615649605</v>
      </c>
      <c r="N8" s="47">
        <f t="shared" si="3"/>
        <v>0.88048759384350395</v>
      </c>
      <c r="O8" s="47">
        <f t="shared" si="11"/>
        <v>0.10522919093118077</v>
      </c>
      <c r="P8" s="48">
        <f t="shared" ref="P8:P16" si="21">(I8^2)*(O8*H8)</f>
        <v>1878343761927.186</v>
      </c>
      <c r="Q8" s="3">
        <f t="shared" si="12"/>
        <v>57346701.590360239</v>
      </c>
      <c r="R8" s="49">
        <f t="shared" si="13"/>
        <v>32754.172599927322</v>
      </c>
      <c r="S8" s="49">
        <f t="shared" si="14"/>
        <v>32328.039809190024</v>
      </c>
      <c r="T8" s="10">
        <f t="shared" si="15"/>
        <v>0.60493799999999998</v>
      </c>
      <c r="U8" s="10">
        <f t="shared" si="15"/>
        <v>0.78714499999999998</v>
      </c>
      <c r="V8" s="55">
        <f t="shared" si="15"/>
        <v>3.040368</v>
      </c>
      <c r="W8" s="306">
        <f t="shared" si="16"/>
        <v>22329.942873853757</v>
      </c>
      <c r="X8" s="7">
        <v>7</v>
      </c>
      <c r="Y8" s="10">
        <f t="shared" si="17"/>
        <v>8.2696535119857695E-2</v>
      </c>
      <c r="Z8" s="10">
        <f t="shared" si="17"/>
        <v>0.88930731484651204</v>
      </c>
      <c r="AA8" s="7">
        <f t="shared" si="18"/>
        <v>9</v>
      </c>
      <c r="AB8" s="56">
        <f t="shared" si="0"/>
        <v>3189.9918391219653</v>
      </c>
      <c r="AC8" s="50">
        <f t="shared" si="19"/>
        <v>28709.926552097688</v>
      </c>
      <c r="AD8" s="8"/>
      <c r="AE8" s="157"/>
      <c r="AF8" s="157"/>
      <c r="AH8" s="221">
        <f t="shared" si="4"/>
        <v>9</v>
      </c>
      <c r="AI8" s="222">
        <f t="shared" si="5"/>
        <v>3189.9918391219653</v>
      </c>
      <c r="AJ8" s="222">
        <f t="shared" si="6"/>
        <v>28709.926552097688</v>
      </c>
      <c r="AK8" s="238">
        <f t="shared" si="7"/>
        <v>2.8909244567400529</v>
      </c>
      <c r="AL8" s="239">
        <f t="shared" si="8"/>
        <v>2.5499999999999998E-2</v>
      </c>
    </row>
    <row r="9" spans="1:38" s="34" customFormat="1">
      <c r="A9" s="295"/>
      <c r="B9" s="296"/>
      <c r="C9" s="297">
        <f t="shared" si="9"/>
        <v>296971</v>
      </c>
      <c r="D9" s="297">
        <f t="shared" si="1"/>
        <v>15455.222</v>
      </c>
      <c r="E9" s="297">
        <f t="shared" si="1"/>
        <v>266632</v>
      </c>
      <c r="F9" s="297">
        <f t="shared" si="1"/>
        <v>327310</v>
      </c>
      <c r="G9" s="277">
        <f t="shared" si="1"/>
        <v>5.1999999999999998E-2</v>
      </c>
      <c r="H9" s="169">
        <f t="shared" si="20"/>
        <v>3.2060785328633954</v>
      </c>
      <c r="I9" s="278">
        <f t="shared" si="10"/>
        <v>2484855</v>
      </c>
      <c r="J9" s="278">
        <f t="shared" si="10"/>
        <v>23484</v>
      </c>
      <c r="K9" s="315"/>
      <c r="L9" s="279">
        <f t="shared" si="10"/>
        <v>2.5499999999999998E-2</v>
      </c>
      <c r="M9" s="298">
        <f t="shared" si="2"/>
        <v>0.11951240615649605</v>
      </c>
      <c r="N9" s="298">
        <f t="shared" si="3"/>
        <v>0.88048759384350395</v>
      </c>
      <c r="O9" s="298">
        <f t="shared" si="11"/>
        <v>0.10522919093118077</v>
      </c>
      <c r="P9" s="299">
        <f t="shared" si="21"/>
        <v>2083111372354.384</v>
      </c>
      <c r="Q9" s="300">
        <f t="shared" si="12"/>
        <v>57346701.590360239</v>
      </c>
      <c r="R9" s="301">
        <f t="shared" si="13"/>
        <v>36324.868119434213</v>
      </c>
      <c r="S9" s="301">
        <f t="shared" si="14"/>
        <v>35801.503618321287</v>
      </c>
      <c r="T9" s="285">
        <f t="shared" si="15"/>
        <v>0.60493799999999998</v>
      </c>
      <c r="U9" s="285">
        <f t="shared" si="15"/>
        <v>0.78714499999999998</v>
      </c>
      <c r="V9" s="302">
        <f t="shared" si="15"/>
        <v>3.040368</v>
      </c>
      <c r="W9" s="307">
        <f t="shared" si="16"/>
        <v>24729.168094129891</v>
      </c>
      <c r="X9" s="284">
        <v>8</v>
      </c>
      <c r="Y9" s="285">
        <f t="shared" si="17"/>
        <v>8.2696535119857695E-2</v>
      </c>
      <c r="Z9" s="285">
        <f t="shared" si="17"/>
        <v>0.88930731484651204</v>
      </c>
      <c r="AA9" s="284">
        <f t="shared" si="18"/>
        <v>10</v>
      </c>
      <c r="AB9" s="304">
        <f t="shared" si="0"/>
        <v>3091.1460117662364</v>
      </c>
      <c r="AC9" s="303">
        <f t="shared" si="19"/>
        <v>30911.460117662362</v>
      </c>
      <c r="AD9" s="288"/>
      <c r="AE9" s="305"/>
      <c r="AF9" s="305"/>
      <c r="AH9" s="289">
        <f t="shared" si="4"/>
        <v>10</v>
      </c>
      <c r="AI9" s="290">
        <f t="shared" si="5"/>
        <v>3091.1460117662364</v>
      </c>
      <c r="AJ9" s="290">
        <f t="shared" si="6"/>
        <v>30911.460117662362</v>
      </c>
      <c r="AK9" s="292">
        <f t="shared" si="7"/>
        <v>3.2060785328633954</v>
      </c>
      <c r="AL9" s="293">
        <f t="shared" si="8"/>
        <v>2.5499999999999998E-2</v>
      </c>
    </row>
    <row r="10" spans="1:38">
      <c r="A10" s="52"/>
      <c r="B10" s="53"/>
      <c r="C10" s="54">
        <f t="shared" si="9"/>
        <v>296971</v>
      </c>
      <c r="D10" s="54">
        <f t="shared" si="1"/>
        <v>15455.222</v>
      </c>
      <c r="E10" s="54">
        <f t="shared" si="1"/>
        <v>266632</v>
      </c>
      <c r="F10" s="54">
        <f t="shared" si="1"/>
        <v>327310</v>
      </c>
      <c r="G10" s="24">
        <f t="shared" si="1"/>
        <v>5.1999999999999998E-2</v>
      </c>
      <c r="H10" s="169">
        <f t="shared" si="20"/>
        <v>3.5212326089867374</v>
      </c>
      <c r="I10" s="21">
        <f t="shared" si="10"/>
        <v>2484855</v>
      </c>
      <c r="J10" s="21">
        <f t="shared" si="10"/>
        <v>23484</v>
      </c>
      <c r="K10" s="314"/>
      <c r="L10" s="11">
        <f t="shared" si="10"/>
        <v>2.5499999999999998E-2</v>
      </c>
      <c r="M10" s="47">
        <f t="shared" si="2"/>
        <v>0.11951240615649605</v>
      </c>
      <c r="N10" s="47">
        <f t="shared" si="3"/>
        <v>0.88048759384350395</v>
      </c>
      <c r="O10" s="47">
        <f t="shared" si="11"/>
        <v>0.10522919093118077</v>
      </c>
      <c r="P10" s="48">
        <f t="shared" si="21"/>
        <v>2287878982781.5815</v>
      </c>
      <c r="Q10" s="3">
        <f t="shared" si="12"/>
        <v>57346701.590360239</v>
      </c>
      <c r="R10" s="49">
        <f t="shared" si="13"/>
        <v>39895.563638941094</v>
      </c>
      <c r="S10" s="49">
        <f t="shared" si="14"/>
        <v>39265.142550619901</v>
      </c>
      <c r="T10" s="10">
        <f t="shared" si="15"/>
        <v>0.60493799999999998</v>
      </c>
      <c r="U10" s="10">
        <f t="shared" si="15"/>
        <v>0.78714499999999998</v>
      </c>
      <c r="V10" s="55">
        <f t="shared" si="15"/>
        <v>3.040368</v>
      </c>
      <c r="W10" s="306">
        <f t="shared" si="16"/>
        <v>27121.60697846637</v>
      </c>
      <c r="X10" s="7">
        <v>9</v>
      </c>
      <c r="Y10" s="10">
        <f t="shared" si="17"/>
        <v>8.2696535119857695E-2</v>
      </c>
      <c r="Z10" s="10">
        <f t="shared" si="17"/>
        <v>0.88930731484651204</v>
      </c>
      <c r="AA10" s="7">
        <f t="shared" si="18"/>
        <v>12</v>
      </c>
      <c r="AB10" s="56">
        <f t="shared" si="0"/>
        <v>3013.5118864962633</v>
      </c>
      <c r="AC10" s="50">
        <f t="shared" si="19"/>
        <v>36162.142637955156</v>
      </c>
      <c r="AD10" s="4"/>
      <c r="AE10" s="157"/>
      <c r="AF10" s="157"/>
      <c r="AH10" s="221">
        <f t="shared" si="4"/>
        <v>12</v>
      </c>
      <c r="AI10" s="222">
        <f t="shared" si="5"/>
        <v>3013.5118864962633</v>
      </c>
      <c r="AJ10" s="222">
        <f t="shared" si="6"/>
        <v>36162.142637955156</v>
      </c>
      <c r="AK10" s="238">
        <f t="shared" si="7"/>
        <v>3.5212326089867374</v>
      </c>
      <c r="AL10" s="239">
        <f t="shared" si="8"/>
        <v>2.5499999999999998E-2</v>
      </c>
    </row>
    <row r="11" spans="1:38">
      <c r="A11" s="52"/>
      <c r="B11" s="53"/>
      <c r="C11" s="54">
        <f t="shared" si="9"/>
        <v>296971</v>
      </c>
      <c r="D11" s="54">
        <f t="shared" si="1"/>
        <v>15455.222</v>
      </c>
      <c r="E11" s="54">
        <f t="shared" si="1"/>
        <v>266632</v>
      </c>
      <c r="F11" s="54">
        <f t="shared" si="1"/>
        <v>327310</v>
      </c>
      <c r="G11" s="24">
        <f t="shared" si="1"/>
        <v>5.1999999999999998E-2</v>
      </c>
      <c r="H11" s="169">
        <f t="shared" si="20"/>
        <v>3.8363866851100794</v>
      </c>
      <c r="I11" s="21">
        <f t="shared" si="10"/>
        <v>2484855</v>
      </c>
      <c r="J11" s="21">
        <f t="shared" si="10"/>
        <v>23484</v>
      </c>
      <c r="K11" s="314"/>
      <c r="L11" s="11">
        <f t="shared" si="10"/>
        <v>2.5499999999999998E-2</v>
      </c>
      <c r="M11" s="47">
        <f t="shared" si="2"/>
        <v>0.11951240615649605</v>
      </c>
      <c r="N11" s="47">
        <f t="shared" si="3"/>
        <v>0.88048759384350395</v>
      </c>
      <c r="O11" s="47">
        <f t="shared" si="11"/>
        <v>0.10522919093118077</v>
      </c>
      <c r="P11" s="48">
        <f t="shared" si="21"/>
        <v>2492646593208.7793</v>
      </c>
      <c r="Q11" s="3">
        <f t="shared" si="12"/>
        <v>57346701.590360239</v>
      </c>
      <c r="R11" s="49">
        <f t="shared" si="13"/>
        <v>43466.259158447981</v>
      </c>
      <c r="S11" s="49">
        <f t="shared" si="14"/>
        <v>42718.998232493417</v>
      </c>
      <c r="T11" s="10">
        <f t="shared" si="15"/>
        <v>0.60493799999999998</v>
      </c>
      <c r="U11" s="10">
        <f t="shared" si="15"/>
        <v>0.78714499999999998</v>
      </c>
      <c r="V11" s="55">
        <f t="shared" si="15"/>
        <v>3.040368</v>
      </c>
      <c r="W11" s="306">
        <f t="shared" si="16"/>
        <v>29507.288279466451</v>
      </c>
      <c r="X11" s="7">
        <v>10</v>
      </c>
      <c r="Y11" s="10">
        <f t="shared" si="17"/>
        <v>8.2696535119857695E-2</v>
      </c>
      <c r="Z11" s="10">
        <f t="shared" si="17"/>
        <v>0.88930731484651204</v>
      </c>
      <c r="AA11" s="7">
        <f t="shared" si="18"/>
        <v>13</v>
      </c>
      <c r="AB11" s="56">
        <f t="shared" si="0"/>
        <v>2950.7288279466452</v>
      </c>
      <c r="AC11" s="50">
        <f t="shared" si="19"/>
        <v>38359.474763306389</v>
      </c>
      <c r="AD11" s="4"/>
      <c r="AE11" s="157"/>
      <c r="AF11" s="157"/>
      <c r="AH11" s="221">
        <f t="shared" si="4"/>
        <v>13</v>
      </c>
      <c r="AI11" s="222">
        <f t="shared" si="5"/>
        <v>2950.7288279466452</v>
      </c>
      <c r="AJ11" s="222">
        <f t="shared" si="6"/>
        <v>38359.474763306389</v>
      </c>
      <c r="AK11" s="238">
        <f t="shared" si="7"/>
        <v>3.8363866851100794</v>
      </c>
      <c r="AL11" s="239">
        <f t="shared" si="8"/>
        <v>2.5499999999999998E-2</v>
      </c>
    </row>
    <row r="12" spans="1:38">
      <c r="A12" s="52"/>
      <c r="B12" s="53"/>
      <c r="C12" s="54">
        <f t="shared" si="9"/>
        <v>296971</v>
      </c>
      <c r="D12" s="54">
        <f t="shared" si="1"/>
        <v>15455.222</v>
      </c>
      <c r="E12" s="54">
        <f t="shared" si="1"/>
        <v>266632</v>
      </c>
      <c r="F12" s="54">
        <f t="shared" si="1"/>
        <v>327310</v>
      </c>
      <c r="G12" s="24">
        <f t="shared" si="1"/>
        <v>5.1999999999999998E-2</v>
      </c>
      <c r="H12" s="169">
        <f t="shared" si="20"/>
        <v>4.1515407612334219</v>
      </c>
      <c r="I12" s="21">
        <f t="shared" si="10"/>
        <v>2484855</v>
      </c>
      <c r="J12" s="21">
        <f t="shared" si="10"/>
        <v>23484</v>
      </c>
      <c r="K12" s="314"/>
      <c r="L12" s="11">
        <f t="shared" si="10"/>
        <v>2.5499999999999998E-2</v>
      </c>
      <c r="M12" s="47">
        <f t="shared" si="2"/>
        <v>0.11951240615649605</v>
      </c>
      <c r="N12" s="47">
        <f t="shared" si="3"/>
        <v>0.88048759384350395</v>
      </c>
      <c r="O12" s="47">
        <f t="shared" si="11"/>
        <v>0.10522919093118077</v>
      </c>
      <c r="P12" s="48">
        <f t="shared" si="21"/>
        <v>2697414203635.9771</v>
      </c>
      <c r="Q12" s="3">
        <f t="shared" si="12"/>
        <v>57346701.590360239</v>
      </c>
      <c r="R12" s="49">
        <f t="shared" si="13"/>
        <v>47036.954677954869</v>
      </c>
      <c r="S12" s="49">
        <f t="shared" si="14"/>
        <v>46163.112055528509</v>
      </c>
      <c r="T12" s="10">
        <f t="shared" si="15"/>
        <v>0.60493799999999998</v>
      </c>
      <c r="U12" s="10">
        <f t="shared" si="15"/>
        <v>0.78714499999999998</v>
      </c>
      <c r="V12" s="55">
        <f t="shared" si="15"/>
        <v>3.040368</v>
      </c>
      <c r="W12" s="306">
        <f t="shared" si="16"/>
        <v>31886.240587535591</v>
      </c>
      <c r="X12" s="7">
        <v>11</v>
      </c>
      <c r="Y12" s="10">
        <f t="shared" si="17"/>
        <v>8.2696535119857695E-2</v>
      </c>
      <c r="Z12" s="10">
        <f t="shared" si="17"/>
        <v>0.88930731484651204</v>
      </c>
      <c r="AA12" s="7">
        <f t="shared" si="18"/>
        <v>14</v>
      </c>
      <c r="AB12" s="56">
        <f t="shared" si="0"/>
        <v>2898.7491443214171</v>
      </c>
      <c r="AC12" s="50">
        <f t="shared" si="19"/>
        <v>40582.488020499841</v>
      </c>
      <c r="AD12" s="4"/>
      <c r="AE12" s="157"/>
      <c r="AF12" s="157"/>
      <c r="AH12" s="221">
        <f t="shared" si="4"/>
        <v>14</v>
      </c>
      <c r="AI12" s="222">
        <f t="shared" si="5"/>
        <v>2898.7491443214171</v>
      </c>
      <c r="AJ12" s="222">
        <f t="shared" si="6"/>
        <v>40582.488020499841</v>
      </c>
      <c r="AK12" s="238">
        <f t="shared" si="7"/>
        <v>4.1515407612334219</v>
      </c>
      <c r="AL12" s="239">
        <f t="shared" si="8"/>
        <v>2.5499999999999998E-2</v>
      </c>
    </row>
    <row r="13" spans="1:38">
      <c r="A13" s="52"/>
      <c r="B13" s="53"/>
      <c r="C13" s="54">
        <f t="shared" si="9"/>
        <v>296971</v>
      </c>
      <c r="D13" s="54">
        <f t="shared" si="1"/>
        <v>15455.222</v>
      </c>
      <c r="E13" s="54">
        <f t="shared" si="1"/>
        <v>266632</v>
      </c>
      <c r="F13" s="54">
        <f t="shared" si="1"/>
        <v>327310</v>
      </c>
      <c r="G13" s="24">
        <f t="shared" si="1"/>
        <v>5.1999999999999998E-2</v>
      </c>
      <c r="H13" s="169">
        <f t="shared" si="20"/>
        <v>4.4666948373567639</v>
      </c>
      <c r="I13" s="21">
        <f t="shared" si="10"/>
        <v>2484855</v>
      </c>
      <c r="J13" s="21">
        <f t="shared" si="10"/>
        <v>23484</v>
      </c>
      <c r="K13" s="314"/>
      <c r="L13" s="11">
        <f t="shared" si="10"/>
        <v>2.5499999999999998E-2</v>
      </c>
      <c r="M13" s="47">
        <f t="shared" si="2"/>
        <v>0.11951240615649605</v>
      </c>
      <c r="N13" s="47">
        <f t="shared" si="3"/>
        <v>0.88048759384350395</v>
      </c>
      <c r="O13" s="47">
        <f t="shared" si="11"/>
        <v>0.10522919093118077</v>
      </c>
      <c r="P13" s="48">
        <f t="shared" si="21"/>
        <v>2902181814063.1748</v>
      </c>
      <c r="Q13" s="3">
        <f t="shared" si="12"/>
        <v>57346701.590360239</v>
      </c>
      <c r="R13" s="49">
        <f t="shared" si="13"/>
        <v>50607.650197461757</v>
      </c>
      <c r="S13" s="49">
        <f t="shared" si="14"/>
        <v>49597.525178144599</v>
      </c>
      <c r="T13" s="10">
        <f t="shared" si="15"/>
        <v>0.60493799999999998</v>
      </c>
      <c r="U13" s="10">
        <f t="shared" si="15"/>
        <v>0.78714499999999998</v>
      </c>
      <c r="V13" s="55">
        <f t="shared" si="15"/>
        <v>3.040368</v>
      </c>
      <c r="W13" s="306">
        <f t="shared" si="16"/>
        <v>34258.49233202367</v>
      </c>
      <c r="X13" s="7">
        <v>12</v>
      </c>
      <c r="Y13" s="10">
        <f t="shared" si="17"/>
        <v>8.2696535119857695E-2</v>
      </c>
      <c r="Z13" s="10">
        <f t="shared" si="17"/>
        <v>0.88930731484651204</v>
      </c>
      <c r="AA13" s="7">
        <f t="shared" si="18"/>
        <v>15</v>
      </c>
      <c r="AB13" s="56">
        <f t="shared" si="0"/>
        <v>2854.8743610019724</v>
      </c>
      <c r="AC13" s="50">
        <f t="shared" si="19"/>
        <v>42823.115415029584</v>
      </c>
      <c r="AD13" s="4"/>
      <c r="AE13" s="157"/>
      <c r="AF13" s="157"/>
      <c r="AH13" s="221">
        <f t="shared" si="4"/>
        <v>15</v>
      </c>
      <c r="AI13" s="222">
        <f t="shared" si="5"/>
        <v>2854.8743610019724</v>
      </c>
      <c r="AJ13" s="222">
        <f t="shared" si="6"/>
        <v>42823.115415029584</v>
      </c>
      <c r="AK13" s="238">
        <f t="shared" si="7"/>
        <v>4.4666948373567639</v>
      </c>
      <c r="AL13" s="239">
        <f t="shared" si="8"/>
        <v>2.5499999999999998E-2</v>
      </c>
    </row>
    <row r="14" spans="1:38">
      <c r="A14" s="52"/>
      <c r="B14" s="53"/>
      <c r="C14" s="54">
        <f t="shared" si="9"/>
        <v>296971</v>
      </c>
      <c r="D14" s="54">
        <f t="shared" si="1"/>
        <v>15455.222</v>
      </c>
      <c r="E14" s="54">
        <f t="shared" si="1"/>
        <v>266632</v>
      </c>
      <c r="F14" s="54">
        <f t="shared" si="1"/>
        <v>327310</v>
      </c>
      <c r="G14" s="24">
        <f t="shared" si="1"/>
        <v>5.1999999999999998E-2</v>
      </c>
      <c r="H14" s="169">
        <f t="shared" si="20"/>
        <v>4.7818489134801059</v>
      </c>
      <c r="I14" s="21">
        <f t="shared" si="10"/>
        <v>2484855</v>
      </c>
      <c r="J14" s="21">
        <f t="shared" si="10"/>
        <v>23484</v>
      </c>
      <c r="K14" s="314"/>
      <c r="L14" s="11">
        <f t="shared" si="10"/>
        <v>2.5499999999999998E-2</v>
      </c>
      <c r="M14" s="47">
        <f t="shared" si="2"/>
        <v>0.11951240615649605</v>
      </c>
      <c r="N14" s="47">
        <f t="shared" si="3"/>
        <v>0.88048759384350395</v>
      </c>
      <c r="O14" s="47">
        <f t="shared" si="11"/>
        <v>0.10522919093118077</v>
      </c>
      <c r="P14" s="48">
        <f t="shared" si="21"/>
        <v>3106949424490.3721</v>
      </c>
      <c r="Q14" s="3">
        <f t="shared" si="12"/>
        <v>57346701.590360239</v>
      </c>
      <c r="R14" s="49">
        <f t="shared" si="13"/>
        <v>54178.345716968637</v>
      </c>
      <c r="S14" s="49">
        <f t="shared" si="14"/>
        <v>53022.278527233284</v>
      </c>
      <c r="T14" s="10">
        <f t="shared" si="15"/>
        <v>0.60493799999999998</v>
      </c>
      <c r="U14" s="10">
        <f t="shared" si="15"/>
        <v>0.78714499999999998</v>
      </c>
      <c r="V14" s="55">
        <f t="shared" si="15"/>
        <v>3.040368</v>
      </c>
      <c r="W14" s="306">
        <f t="shared" si="16"/>
        <v>36624.071782357365</v>
      </c>
      <c r="X14" s="7">
        <v>13</v>
      </c>
      <c r="Y14" s="10">
        <f t="shared" si="17"/>
        <v>8.2696535119857695E-2</v>
      </c>
      <c r="Z14" s="10">
        <f t="shared" si="17"/>
        <v>0.88930731484651204</v>
      </c>
      <c r="AA14" s="7">
        <f t="shared" si="18"/>
        <v>16</v>
      </c>
      <c r="AB14" s="56">
        <f t="shared" si="0"/>
        <v>2817.2362909505664</v>
      </c>
      <c r="AC14" s="50">
        <f t="shared" si="19"/>
        <v>45075.780655209062</v>
      </c>
      <c r="AD14" s="4"/>
      <c r="AE14" s="157"/>
      <c r="AF14" s="157"/>
      <c r="AH14" s="221">
        <f t="shared" si="4"/>
        <v>16</v>
      </c>
      <c r="AI14" s="222">
        <f t="shared" si="5"/>
        <v>2817.2362909505664</v>
      </c>
      <c r="AJ14" s="222">
        <f t="shared" si="6"/>
        <v>45075.780655209062</v>
      </c>
      <c r="AK14" s="238">
        <f t="shared" si="7"/>
        <v>4.7818489134801059</v>
      </c>
      <c r="AL14" s="239">
        <f t="shared" si="8"/>
        <v>2.5499999999999998E-2</v>
      </c>
    </row>
    <row r="15" spans="1:38">
      <c r="A15" s="52"/>
      <c r="B15" s="53"/>
      <c r="C15" s="54">
        <f t="shared" si="9"/>
        <v>296971</v>
      </c>
      <c r="D15" s="54">
        <f t="shared" si="1"/>
        <v>15455.222</v>
      </c>
      <c r="E15" s="54">
        <f t="shared" si="1"/>
        <v>266632</v>
      </c>
      <c r="F15" s="54">
        <f t="shared" si="1"/>
        <v>327310</v>
      </c>
      <c r="G15" s="24">
        <f t="shared" si="1"/>
        <v>5.1999999999999998E-2</v>
      </c>
      <c r="H15" s="169">
        <f t="shared" si="20"/>
        <v>5.0970029896034479</v>
      </c>
      <c r="I15" s="21">
        <f t="shared" si="10"/>
        <v>2484855</v>
      </c>
      <c r="J15" s="21">
        <f t="shared" si="10"/>
        <v>23484</v>
      </c>
      <c r="K15" s="314"/>
      <c r="L15" s="11">
        <f t="shared" si="10"/>
        <v>2.5499999999999998E-2</v>
      </c>
      <c r="M15" s="47">
        <f t="shared" si="2"/>
        <v>0.11951240615649605</v>
      </c>
      <c r="N15" s="47">
        <f t="shared" si="3"/>
        <v>0.88048759384350395</v>
      </c>
      <c r="O15" s="47">
        <f t="shared" si="11"/>
        <v>0.10522919093118077</v>
      </c>
      <c r="P15" s="48">
        <f t="shared" si="21"/>
        <v>3311717034917.5698</v>
      </c>
      <c r="Q15" s="3">
        <f t="shared" si="12"/>
        <v>57346701.590360239</v>
      </c>
      <c r="R15" s="49">
        <f t="shared" si="13"/>
        <v>57749.041236475525</v>
      </c>
      <c r="S15" s="49">
        <f t="shared" si="14"/>
        <v>56437.412799784157</v>
      </c>
      <c r="T15" s="10">
        <f t="shared" si="15"/>
        <v>0.60493799999999998</v>
      </c>
      <c r="U15" s="10">
        <f t="shared" si="15"/>
        <v>0.78714499999999998</v>
      </c>
      <c r="V15" s="55">
        <f t="shared" si="15"/>
        <v>3.040368</v>
      </c>
      <c r="W15" s="306">
        <f t="shared" si="16"/>
        <v>38983.007049163192</v>
      </c>
      <c r="X15" s="7">
        <v>14</v>
      </c>
      <c r="Y15" s="10">
        <f t="shared" si="17"/>
        <v>8.2696535119857695E-2</v>
      </c>
      <c r="Z15" s="10">
        <f t="shared" si="17"/>
        <v>0.88930731484651204</v>
      </c>
      <c r="AA15" s="7">
        <f t="shared" si="18"/>
        <v>18</v>
      </c>
      <c r="AB15" s="56">
        <f t="shared" si="0"/>
        <v>2784.5005035116565</v>
      </c>
      <c r="AC15" s="50">
        <f t="shared" si="19"/>
        <v>50121.009063209814</v>
      </c>
      <c r="AD15" s="4"/>
      <c r="AE15" s="157"/>
      <c r="AF15" s="157"/>
      <c r="AH15" s="221">
        <f t="shared" si="4"/>
        <v>18</v>
      </c>
      <c r="AI15" s="222">
        <f t="shared" si="5"/>
        <v>2784.5005035116565</v>
      </c>
      <c r="AJ15" s="222">
        <f t="shared" si="6"/>
        <v>50121.009063209814</v>
      </c>
      <c r="AK15" s="238">
        <f t="shared" si="7"/>
        <v>5.0970029896034479</v>
      </c>
      <c r="AL15" s="239">
        <f t="shared" si="8"/>
        <v>2.5499999999999998E-2</v>
      </c>
    </row>
    <row r="16" spans="1:38">
      <c r="A16" s="57"/>
      <c r="B16" s="58"/>
      <c r="C16" s="59">
        <f t="shared" si="9"/>
        <v>296971</v>
      </c>
      <c r="D16" s="59">
        <f t="shared" si="1"/>
        <v>15455.222</v>
      </c>
      <c r="E16" s="59">
        <f t="shared" si="1"/>
        <v>266632</v>
      </c>
      <c r="F16" s="59">
        <f t="shared" si="1"/>
        <v>327310</v>
      </c>
      <c r="G16" s="60">
        <f t="shared" si="1"/>
        <v>5.1999999999999998E-2</v>
      </c>
      <c r="H16" s="169">
        <f t="shared" si="20"/>
        <v>5.4121570657267908</v>
      </c>
      <c r="I16" s="61">
        <f t="shared" si="10"/>
        <v>2484855</v>
      </c>
      <c r="J16" s="61">
        <f t="shared" si="10"/>
        <v>23484</v>
      </c>
      <c r="K16" s="314"/>
      <c r="L16" s="62">
        <f t="shared" si="10"/>
        <v>2.5499999999999998E-2</v>
      </c>
      <c r="M16" s="63">
        <f t="shared" si="2"/>
        <v>0.11951240615649605</v>
      </c>
      <c r="N16" s="63">
        <f t="shared" si="3"/>
        <v>0.88048759384350395</v>
      </c>
      <c r="O16" s="63">
        <f t="shared" si="11"/>
        <v>0.10522919093118077</v>
      </c>
      <c r="P16" s="64">
        <f t="shared" si="21"/>
        <v>3516484645344.7681</v>
      </c>
      <c r="Q16" s="7">
        <f t="shared" si="12"/>
        <v>57346701.590360239</v>
      </c>
      <c r="R16" s="65">
        <f t="shared" si="13"/>
        <v>61319.73675598242</v>
      </c>
      <c r="S16" s="65">
        <f t="shared" si="14"/>
        <v>59842.9684644968</v>
      </c>
      <c r="T16" s="66">
        <f t="shared" si="15"/>
        <v>0.60493799999999998</v>
      </c>
      <c r="U16" s="66">
        <f t="shared" si="15"/>
        <v>0.78714499999999998</v>
      </c>
      <c r="V16" s="67">
        <f t="shared" si="15"/>
        <v>3.040368</v>
      </c>
      <c r="W16" s="308">
        <f t="shared" si="16"/>
        <v>41335.326085380926</v>
      </c>
      <c r="X16" s="7">
        <v>15</v>
      </c>
      <c r="Y16" s="66">
        <f t="shared" si="17"/>
        <v>8.2696535119857695E-2</v>
      </c>
      <c r="Z16" s="66">
        <f t="shared" si="17"/>
        <v>0.88930731484651204</v>
      </c>
      <c r="AA16" s="7">
        <f t="shared" si="18"/>
        <v>19</v>
      </c>
      <c r="AB16" s="56">
        <f t="shared" si="0"/>
        <v>2755.6884056920617</v>
      </c>
      <c r="AC16" s="68">
        <f t="shared" si="19"/>
        <v>52358.079708149169</v>
      </c>
      <c r="AD16" s="8"/>
      <c r="AE16" s="157"/>
      <c r="AF16" s="157"/>
      <c r="AH16" s="221">
        <f t="shared" si="4"/>
        <v>19</v>
      </c>
      <c r="AI16" s="222">
        <f t="shared" si="5"/>
        <v>2755.6884056920617</v>
      </c>
      <c r="AJ16" s="222">
        <f t="shared" si="6"/>
        <v>52358.079708149169</v>
      </c>
      <c r="AK16" s="238">
        <f t="shared" si="7"/>
        <v>5.4121570657267908</v>
      </c>
      <c r="AL16" s="239">
        <f t="shared" si="8"/>
        <v>2.5499999999999998E-2</v>
      </c>
    </row>
    <row r="17" spans="1:38">
      <c r="A17" s="104"/>
      <c r="B17" s="105"/>
      <c r="C17" s="106"/>
      <c r="D17" s="106"/>
      <c r="E17" s="106"/>
      <c r="F17" s="106"/>
      <c r="G17" s="320" t="s">
        <v>22</v>
      </c>
      <c r="H17" s="320"/>
      <c r="I17" s="320"/>
      <c r="J17" s="320"/>
      <c r="K17" s="321"/>
      <c r="L17" s="320"/>
      <c r="M17" s="107"/>
      <c r="N17" s="107"/>
      <c r="O17" s="107"/>
      <c r="P17" s="108"/>
      <c r="Q17" s="109"/>
      <c r="R17" s="110"/>
      <c r="S17" s="110"/>
      <c r="T17" s="111"/>
      <c r="U17" s="111"/>
      <c r="V17" s="112"/>
      <c r="W17" s="110"/>
      <c r="X17" s="322" t="s">
        <v>22</v>
      </c>
      <c r="Y17" s="322"/>
      <c r="Z17" s="322"/>
      <c r="AA17" s="322"/>
      <c r="AB17" s="322"/>
      <c r="AC17" s="322"/>
      <c r="AD17" s="323"/>
      <c r="AG17" s="146"/>
      <c r="AH17" s="317" t="s">
        <v>22</v>
      </c>
      <c r="AI17" s="317"/>
      <c r="AJ17" s="317"/>
      <c r="AK17" s="317"/>
      <c r="AL17" s="317"/>
    </row>
    <row r="18" spans="1:38" ht="17.25" customHeight="1">
      <c r="A18" s="102" t="s">
        <v>47</v>
      </c>
      <c r="B18" s="53" t="s">
        <v>22</v>
      </c>
      <c r="C18" s="82">
        <v>219933</v>
      </c>
      <c r="D18" s="83">
        <v>14966.984</v>
      </c>
      <c r="E18" s="83">
        <v>190517</v>
      </c>
      <c r="F18" s="83">
        <v>249349</v>
      </c>
      <c r="G18" s="84">
        <v>6.8000000000000005E-2</v>
      </c>
      <c r="H18" s="84">
        <v>3.6709999999999998</v>
      </c>
      <c r="I18" s="83">
        <v>1862283</v>
      </c>
      <c r="J18" s="83">
        <v>12798</v>
      </c>
      <c r="K18" s="313">
        <v>6745</v>
      </c>
      <c r="L18" s="85">
        <v>3.1E-2</v>
      </c>
      <c r="M18" s="86">
        <f t="shared" ref="M18:M42" si="22">C18/I18</f>
        <v>0.11809859188963225</v>
      </c>
      <c r="N18" s="86">
        <f t="shared" ref="N18:N42" si="23">1-M18</f>
        <v>0.88190140811036777</v>
      </c>
      <c r="O18" s="86">
        <f t="shared" ref="O18:O42" si="24">M18*N18</f>
        <v>0.10415131448331834</v>
      </c>
      <c r="P18" s="87">
        <f t="shared" ref="P18:P42" si="25">(I18^2)*(O18*H18)</f>
        <v>1325990759521.05</v>
      </c>
      <c r="Q18" s="88">
        <f t="shared" ref="Q18:Q42" si="26">(L18^2)*(C18^2)</f>
        <v>46484074.033928998</v>
      </c>
      <c r="R18" s="89">
        <f t="shared" ref="R18:R42" si="27">P18/Q18</f>
        <v>28525.700190417941</v>
      </c>
      <c r="S18" s="89">
        <f t="shared" ref="S18:S42" si="28">R18/(1+(R18/I18))</f>
        <v>28095.34699219558</v>
      </c>
      <c r="T18" s="90">
        <v>0.61756100000000003</v>
      </c>
      <c r="U18" s="90">
        <v>0.79715599999999998</v>
      </c>
      <c r="V18" s="90">
        <v>3.031809</v>
      </c>
      <c r="W18" s="91">
        <f t="shared" ref="W18:W42" si="29">S18/(T18*U18*V18)</f>
        <v>18823.890217640146</v>
      </c>
      <c r="X18" s="90">
        <v>9.8381779999999992</v>
      </c>
      <c r="Y18" s="90">
        <v>8.2046511627906979E-2</v>
      </c>
      <c r="Z18" s="90">
        <v>0.86826104580462105</v>
      </c>
      <c r="AA18" s="15">
        <f>X18/((1-Y18)*Z18)</f>
        <v>12.343652369281045</v>
      </c>
      <c r="AB18" s="51">
        <f t="shared" ref="AB18:AB29" si="30">W18/X18</f>
        <v>1913.3512544335088</v>
      </c>
      <c r="AC18" s="144">
        <f t="shared" ref="AC18:AC29" si="31">AA18*AB18</f>
        <v>23617.742745055042</v>
      </c>
      <c r="AD18" s="100">
        <f>(H18-1)/(X18-1)</f>
        <v>0.30221160967792232</v>
      </c>
      <c r="AG18" s="146"/>
      <c r="AH18" s="221">
        <f>+AA18</f>
        <v>12.343652369281045</v>
      </c>
      <c r="AI18" s="222">
        <f>+AB18</f>
        <v>1913.3512544335088</v>
      </c>
      <c r="AJ18" s="222">
        <f>+AC18</f>
        <v>23617.742745055042</v>
      </c>
      <c r="AK18" s="238">
        <f>+H18</f>
        <v>3.6709999999999998</v>
      </c>
      <c r="AL18" s="239">
        <f>+L18</f>
        <v>3.1E-2</v>
      </c>
    </row>
    <row r="19" spans="1:38">
      <c r="A19" s="92"/>
      <c r="B19" s="93"/>
      <c r="C19" s="54">
        <f>C18</f>
        <v>219933</v>
      </c>
      <c r="D19" s="54">
        <f t="shared" ref="D19:G29" si="32">D18</f>
        <v>14966.984</v>
      </c>
      <c r="E19" s="54">
        <f t="shared" si="32"/>
        <v>190517</v>
      </c>
      <c r="F19" s="54">
        <f t="shared" si="32"/>
        <v>249349</v>
      </c>
      <c r="G19" s="24">
        <f t="shared" si="32"/>
        <v>6.8000000000000005E-2</v>
      </c>
      <c r="H19" s="22">
        <f>1+(X19-1)*$AD$18</f>
        <v>2.2088464387116895</v>
      </c>
      <c r="I19" s="21">
        <f>I18</f>
        <v>1862283</v>
      </c>
      <c r="J19" s="21">
        <f>J18</f>
        <v>12798</v>
      </c>
      <c r="K19" s="314"/>
      <c r="L19" s="11">
        <f>L18</f>
        <v>3.1E-2</v>
      </c>
      <c r="M19" s="47">
        <f t="shared" si="22"/>
        <v>0.11809859188963225</v>
      </c>
      <c r="N19" s="47">
        <f t="shared" si="23"/>
        <v>0.88190140811036777</v>
      </c>
      <c r="O19" s="47">
        <f t="shared" si="24"/>
        <v>0.10415131448331834</v>
      </c>
      <c r="P19" s="48">
        <f t="shared" si="25"/>
        <v>797850712866.4342</v>
      </c>
      <c r="Q19" s="3">
        <f t="shared" si="26"/>
        <v>46484074.033928998</v>
      </c>
      <c r="R19" s="49">
        <f t="shared" si="27"/>
        <v>17163.958397538012</v>
      </c>
      <c r="S19" s="49">
        <f t="shared" si="28"/>
        <v>17007.209378069223</v>
      </c>
      <c r="T19" s="10">
        <f>T18</f>
        <v>0.61756100000000003</v>
      </c>
      <c r="U19" s="10">
        <f>U18</f>
        <v>0.79715599999999998</v>
      </c>
      <c r="V19" s="55">
        <f>V18</f>
        <v>3.031809</v>
      </c>
      <c r="W19" s="50">
        <f t="shared" si="29"/>
        <v>11394.834964313668</v>
      </c>
      <c r="X19" s="7">
        <v>5</v>
      </c>
      <c r="Y19" s="10">
        <f>Y18</f>
        <v>8.2046511627906979E-2</v>
      </c>
      <c r="Z19" s="10">
        <f>Z18</f>
        <v>0.86826104580462105</v>
      </c>
      <c r="AA19" s="7">
        <f>ROUNDUP(X19/((1-Y19)*Z19),0)</f>
        <v>7</v>
      </c>
      <c r="AB19" s="56">
        <f t="shared" si="30"/>
        <v>2278.9669928627336</v>
      </c>
      <c r="AC19" s="50">
        <f t="shared" si="31"/>
        <v>15952.768950039135</v>
      </c>
      <c r="AD19" s="8"/>
      <c r="AG19" s="146"/>
      <c r="AH19" s="221">
        <f t="shared" ref="AH19:AH29" si="33">+AA19</f>
        <v>7</v>
      </c>
      <c r="AI19" s="222">
        <f t="shared" ref="AI19:AI29" si="34">+AB19</f>
        <v>2278.9669928627336</v>
      </c>
      <c r="AJ19" s="222">
        <f t="shared" ref="AJ19:AJ29" si="35">+AC19</f>
        <v>15952.768950039135</v>
      </c>
      <c r="AK19" s="238">
        <f t="shared" ref="AK19:AK29" si="36">+H19</f>
        <v>2.2088464387116895</v>
      </c>
      <c r="AL19" s="239">
        <f t="shared" ref="AL19:AL29" si="37">+L19</f>
        <v>3.1E-2</v>
      </c>
    </row>
    <row r="20" spans="1:38">
      <c r="A20" s="92"/>
      <c r="B20" s="93"/>
      <c r="C20" s="54">
        <f t="shared" ref="C20:C29" si="38">C19</f>
        <v>219933</v>
      </c>
      <c r="D20" s="54">
        <f t="shared" si="32"/>
        <v>14966.984</v>
      </c>
      <c r="E20" s="54">
        <f t="shared" si="32"/>
        <v>190517</v>
      </c>
      <c r="F20" s="54">
        <f t="shared" si="32"/>
        <v>249349</v>
      </c>
      <c r="G20" s="24">
        <f t="shared" si="32"/>
        <v>6.8000000000000005E-2</v>
      </c>
      <c r="H20" s="22">
        <f t="shared" ref="H20:H29" si="39">1+(X20-1)*$AD$18</f>
        <v>2.5110580483896117</v>
      </c>
      <c r="I20" s="21">
        <f t="shared" ref="I20:L29" si="40">I19</f>
        <v>1862283</v>
      </c>
      <c r="J20" s="21">
        <f t="shared" si="40"/>
        <v>12798</v>
      </c>
      <c r="K20" s="314"/>
      <c r="L20" s="11">
        <f t="shared" si="40"/>
        <v>3.1E-2</v>
      </c>
      <c r="M20" s="47">
        <f t="shared" si="22"/>
        <v>0.11809859188963225</v>
      </c>
      <c r="N20" s="47">
        <f t="shared" si="23"/>
        <v>0.88190140811036777</v>
      </c>
      <c r="O20" s="47">
        <f t="shared" si="24"/>
        <v>0.10415131448331834</v>
      </c>
      <c r="P20" s="48">
        <f t="shared" si="25"/>
        <v>907011650445.54248</v>
      </c>
      <c r="Q20" s="3">
        <f t="shared" si="26"/>
        <v>46484074.033928998</v>
      </c>
      <c r="R20" s="49">
        <f t="shared" si="27"/>
        <v>19512.309738245174</v>
      </c>
      <c r="S20" s="49">
        <f t="shared" si="28"/>
        <v>19309.986866383952</v>
      </c>
      <c r="T20" s="10">
        <f t="shared" ref="T20:V29" si="41">T19</f>
        <v>0.61756100000000003</v>
      </c>
      <c r="U20" s="10">
        <f t="shared" si="41"/>
        <v>0.79715599999999998</v>
      </c>
      <c r="V20" s="55">
        <f t="shared" si="41"/>
        <v>3.031809</v>
      </c>
      <c r="W20" s="50">
        <f t="shared" si="29"/>
        <v>12937.69651529329</v>
      </c>
      <c r="X20" s="7">
        <v>6</v>
      </c>
      <c r="Y20" s="10">
        <f t="shared" ref="Y20:Z29" si="42">Y19</f>
        <v>8.2046511627906979E-2</v>
      </c>
      <c r="Z20" s="10">
        <f t="shared" si="42"/>
        <v>0.86826104580462105</v>
      </c>
      <c r="AA20" s="7">
        <f t="shared" ref="AA20:AA29" si="43">ROUNDUP(X20/((1-Y20)*Z20),0)</f>
        <v>8</v>
      </c>
      <c r="AB20" s="56">
        <f t="shared" si="30"/>
        <v>2156.2827525488815</v>
      </c>
      <c r="AC20" s="50">
        <f t="shared" si="31"/>
        <v>17250.262020391052</v>
      </c>
      <c r="AD20" s="8"/>
      <c r="AG20" s="146"/>
      <c r="AH20" s="221">
        <f t="shared" si="33"/>
        <v>8</v>
      </c>
      <c r="AI20" s="222">
        <f t="shared" si="34"/>
        <v>2156.2827525488815</v>
      </c>
      <c r="AJ20" s="222">
        <f t="shared" si="35"/>
        <v>17250.262020391052</v>
      </c>
      <c r="AK20" s="238">
        <f t="shared" si="36"/>
        <v>2.5110580483896117</v>
      </c>
      <c r="AL20" s="239">
        <f t="shared" si="37"/>
        <v>3.1E-2</v>
      </c>
    </row>
    <row r="21" spans="1:38">
      <c r="A21" s="92"/>
      <c r="B21" s="93"/>
      <c r="C21" s="54">
        <f t="shared" si="38"/>
        <v>219933</v>
      </c>
      <c r="D21" s="54">
        <f t="shared" si="32"/>
        <v>14966.984</v>
      </c>
      <c r="E21" s="54">
        <f t="shared" si="32"/>
        <v>190517</v>
      </c>
      <c r="F21" s="54">
        <f t="shared" si="32"/>
        <v>249349</v>
      </c>
      <c r="G21" s="24">
        <f t="shared" si="32"/>
        <v>6.8000000000000005E-2</v>
      </c>
      <c r="H21" s="22">
        <f t="shared" si="39"/>
        <v>2.8132696580675338</v>
      </c>
      <c r="I21" s="21">
        <f t="shared" si="40"/>
        <v>1862283</v>
      </c>
      <c r="J21" s="21">
        <f t="shared" si="40"/>
        <v>12798</v>
      </c>
      <c r="K21" s="314"/>
      <c r="L21" s="11">
        <f t="shared" si="40"/>
        <v>3.1E-2</v>
      </c>
      <c r="M21" s="47">
        <f t="shared" si="22"/>
        <v>0.11809859188963225</v>
      </c>
      <c r="N21" s="47">
        <f t="shared" si="23"/>
        <v>0.88190140811036777</v>
      </c>
      <c r="O21" s="47">
        <f t="shared" si="24"/>
        <v>0.10415131448331834</v>
      </c>
      <c r="P21" s="48">
        <f t="shared" si="25"/>
        <v>1016172588024.6511</v>
      </c>
      <c r="Q21" s="3">
        <f t="shared" si="26"/>
        <v>46484074.033928998</v>
      </c>
      <c r="R21" s="49">
        <f t="shared" si="27"/>
        <v>21860.661078952347</v>
      </c>
      <c r="S21" s="49">
        <f t="shared" si="28"/>
        <v>21607.024101751169</v>
      </c>
      <c r="T21" s="10">
        <f t="shared" si="41"/>
        <v>0.61756100000000003</v>
      </c>
      <c r="U21" s="10">
        <f t="shared" si="41"/>
        <v>0.79715599999999998</v>
      </c>
      <c r="V21" s="55">
        <f t="shared" si="41"/>
        <v>3.031809</v>
      </c>
      <c r="W21" s="50">
        <f t="shared" si="29"/>
        <v>14476.712095218154</v>
      </c>
      <c r="X21" s="7">
        <v>7</v>
      </c>
      <c r="Y21" s="10">
        <f t="shared" si="42"/>
        <v>8.2046511627906979E-2</v>
      </c>
      <c r="Z21" s="10">
        <f t="shared" si="42"/>
        <v>0.86826104580462105</v>
      </c>
      <c r="AA21" s="7">
        <f>ROUNDUP(X21/((1-Y21)*Z21),0)</f>
        <v>9</v>
      </c>
      <c r="AB21" s="56">
        <f t="shared" si="30"/>
        <v>2068.1017278883078</v>
      </c>
      <c r="AC21" s="50">
        <f t="shared" si="31"/>
        <v>18612.91555099477</v>
      </c>
      <c r="AD21" s="8"/>
      <c r="AG21" s="146"/>
      <c r="AH21" s="221">
        <f t="shared" si="33"/>
        <v>9</v>
      </c>
      <c r="AI21" s="222">
        <f t="shared" si="34"/>
        <v>2068.1017278883078</v>
      </c>
      <c r="AJ21" s="222">
        <f t="shared" si="35"/>
        <v>18612.91555099477</v>
      </c>
      <c r="AK21" s="238">
        <f t="shared" si="36"/>
        <v>2.8132696580675338</v>
      </c>
      <c r="AL21" s="239">
        <f t="shared" si="37"/>
        <v>3.1E-2</v>
      </c>
    </row>
    <row r="22" spans="1:38" s="34" customFormat="1">
      <c r="A22" s="309"/>
      <c r="B22" s="310"/>
      <c r="C22" s="297">
        <f t="shared" si="38"/>
        <v>219933</v>
      </c>
      <c r="D22" s="297">
        <f t="shared" si="32"/>
        <v>14966.984</v>
      </c>
      <c r="E22" s="297">
        <f t="shared" si="32"/>
        <v>190517</v>
      </c>
      <c r="F22" s="297">
        <f t="shared" si="32"/>
        <v>249349</v>
      </c>
      <c r="G22" s="277">
        <f t="shared" si="32"/>
        <v>6.8000000000000005E-2</v>
      </c>
      <c r="H22" s="169">
        <f t="shared" si="39"/>
        <v>3.1154812677454564</v>
      </c>
      <c r="I22" s="278">
        <f t="shared" si="40"/>
        <v>1862283</v>
      </c>
      <c r="J22" s="278">
        <f t="shared" si="40"/>
        <v>12798</v>
      </c>
      <c r="K22" s="315"/>
      <c r="L22" s="279">
        <f t="shared" si="40"/>
        <v>3.1E-2</v>
      </c>
      <c r="M22" s="298">
        <f t="shared" si="22"/>
        <v>0.11809859188963225</v>
      </c>
      <c r="N22" s="298">
        <f t="shared" si="23"/>
        <v>0.88190140811036777</v>
      </c>
      <c r="O22" s="298">
        <f t="shared" si="24"/>
        <v>0.10415131448331834</v>
      </c>
      <c r="P22" s="299">
        <f t="shared" si="25"/>
        <v>1125333525603.7598</v>
      </c>
      <c r="Q22" s="300">
        <f t="shared" si="26"/>
        <v>46484074.033928998</v>
      </c>
      <c r="R22" s="301">
        <f t="shared" si="27"/>
        <v>24209.012419659521</v>
      </c>
      <c r="S22" s="301">
        <f t="shared" si="28"/>
        <v>23898.342520992148</v>
      </c>
      <c r="T22" s="285">
        <f t="shared" si="41"/>
        <v>0.61756100000000003</v>
      </c>
      <c r="U22" s="285">
        <f t="shared" si="41"/>
        <v>0.79715599999999998</v>
      </c>
      <c r="V22" s="302">
        <f t="shared" si="41"/>
        <v>3.031809</v>
      </c>
      <c r="W22" s="303">
        <f t="shared" si="29"/>
        <v>16011.896066764408</v>
      </c>
      <c r="X22" s="284">
        <v>8</v>
      </c>
      <c r="Y22" s="285">
        <f t="shared" si="42"/>
        <v>8.2046511627906979E-2</v>
      </c>
      <c r="Z22" s="285">
        <f t="shared" si="42"/>
        <v>0.86826104580462105</v>
      </c>
      <c r="AA22" s="284">
        <f t="shared" si="43"/>
        <v>11</v>
      </c>
      <c r="AB22" s="304">
        <f t="shared" si="30"/>
        <v>2001.487008345551</v>
      </c>
      <c r="AC22" s="303">
        <f t="shared" si="31"/>
        <v>22016.357091801059</v>
      </c>
      <c r="AD22" s="288"/>
      <c r="AG22" s="311"/>
      <c r="AH22" s="289">
        <f t="shared" si="33"/>
        <v>11</v>
      </c>
      <c r="AI22" s="290">
        <f t="shared" si="34"/>
        <v>2001.487008345551</v>
      </c>
      <c r="AJ22" s="290">
        <f t="shared" si="35"/>
        <v>22016.357091801059</v>
      </c>
      <c r="AK22" s="292">
        <f t="shared" si="36"/>
        <v>3.1154812677454564</v>
      </c>
      <c r="AL22" s="293">
        <f t="shared" si="37"/>
        <v>3.1E-2</v>
      </c>
    </row>
    <row r="23" spans="1:38">
      <c r="A23" s="92"/>
      <c r="B23" s="93"/>
      <c r="C23" s="54">
        <f t="shared" si="38"/>
        <v>219933</v>
      </c>
      <c r="D23" s="54">
        <f t="shared" si="32"/>
        <v>14966.984</v>
      </c>
      <c r="E23" s="54">
        <f t="shared" si="32"/>
        <v>190517</v>
      </c>
      <c r="F23" s="54">
        <f t="shared" si="32"/>
        <v>249349</v>
      </c>
      <c r="G23" s="24">
        <f t="shared" si="32"/>
        <v>6.8000000000000005E-2</v>
      </c>
      <c r="H23" s="169">
        <f t="shared" si="39"/>
        <v>3.4176928774233786</v>
      </c>
      <c r="I23" s="21">
        <f t="shared" si="40"/>
        <v>1862283</v>
      </c>
      <c r="J23" s="21">
        <f t="shared" si="40"/>
        <v>12798</v>
      </c>
      <c r="K23" s="314"/>
      <c r="L23" s="11">
        <f t="shared" si="40"/>
        <v>3.1E-2</v>
      </c>
      <c r="M23" s="47">
        <f t="shared" si="22"/>
        <v>0.11809859188963225</v>
      </c>
      <c r="N23" s="47">
        <f t="shared" si="23"/>
        <v>0.88190140811036777</v>
      </c>
      <c r="O23" s="47">
        <f t="shared" si="24"/>
        <v>0.10415131448331834</v>
      </c>
      <c r="P23" s="48">
        <f t="shared" si="25"/>
        <v>1234494463182.8682</v>
      </c>
      <c r="Q23" s="3">
        <f t="shared" si="26"/>
        <v>46484074.033928998</v>
      </c>
      <c r="R23" s="49">
        <f t="shared" si="27"/>
        <v>26557.36376036669</v>
      </c>
      <c r="S23" s="49">
        <f t="shared" si="28"/>
        <v>26183.963454320543</v>
      </c>
      <c r="T23" s="10">
        <f t="shared" si="41"/>
        <v>0.61756100000000003</v>
      </c>
      <c r="U23" s="10">
        <f t="shared" si="41"/>
        <v>0.79715599999999998</v>
      </c>
      <c r="V23" s="55">
        <f t="shared" si="41"/>
        <v>3.031809</v>
      </c>
      <c r="W23" s="50">
        <f t="shared" si="29"/>
        <v>17543.262721181076</v>
      </c>
      <c r="X23" s="7">
        <v>9</v>
      </c>
      <c r="Y23" s="10">
        <f t="shared" si="42"/>
        <v>8.2046511627906979E-2</v>
      </c>
      <c r="Z23" s="10">
        <f t="shared" si="42"/>
        <v>0.86826104580462105</v>
      </c>
      <c r="AA23" s="7">
        <f t="shared" si="43"/>
        <v>12</v>
      </c>
      <c r="AB23" s="56">
        <f t="shared" si="30"/>
        <v>1949.2514134645639</v>
      </c>
      <c r="AC23" s="50">
        <f t="shared" si="31"/>
        <v>23391.016961574765</v>
      </c>
      <c r="AD23" s="4"/>
      <c r="AG23" s="146"/>
      <c r="AH23" s="221">
        <f t="shared" si="33"/>
        <v>12</v>
      </c>
      <c r="AI23" s="222">
        <f t="shared" si="34"/>
        <v>1949.2514134645639</v>
      </c>
      <c r="AJ23" s="222">
        <f t="shared" si="35"/>
        <v>23391.016961574765</v>
      </c>
      <c r="AK23" s="238">
        <f t="shared" si="36"/>
        <v>3.4176928774233786</v>
      </c>
      <c r="AL23" s="239">
        <f t="shared" si="37"/>
        <v>3.1E-2</v>
      </c>
    </row>
    <row r="24" spans="1:38">
      <c r="A24" s="92"/>
      <c r="B24" s="93"/>
      <c r="C24" s="54">
        <f t="shared" si="38"/>
        <v>219933</v>
      </c>
      <c r="D24" s="54">
        <f t="shared" si="32"/>
        <v>14966.984</v>
      </c>
      <c r="E24" s="54">
        <f t="shared" si="32"/>
        <v>190517</v>
      </c>
      <c r="F24" s="54">
        <f t="shared" si="32"/>
        <v>249349</v>
      </c>
      <c r="G24" s="24">
        <f t="shared" si="32"/>
        <v>6.8000000000000005E-2</v>
      </c>
      <c r="H24" s="169">
        <f t="shared" si="39"/>
        <v>3.7199044871013007</v>
      </c>
      <c r="I24" s="21">
        <f t="shared" si="40"/>
        <v>1862283</v>
      </c>
      <c r="J24" s="21">
        <f t="shared" si="40"/>
        <v>12798</v>
      </c>
      <c r="K24" s="314"/>
      <c r="L24" s="11">
        <f t="shared" si="40"/>
        <v>3.1E-2</v>
      </c>
      <c r="M24" s="47">
        <f t="shared" si="22"/>
        <v>0.11809859188963225</v>
      </c>
      <c r="N24" s="47">
        <f t="shared" si="23"/>
        <v>0.88190140811036777</v>
      </c>
      <c r="O24" s="47">
        <f t="shared" si="24"/>
        <v>0.10415131448331834</v>
      </c>
      <c r="P24" s="48">
        <f t="shared" si="25"/>
        <v>1343655400761.9766</v>
      </c>
      <c r="Q24" s="3">
        <f t="shared" si="26"/>
        <v>46484074.033928998</v>
      </c>
      <c r="R24" s="49">
        <f t="shared" si="27"/>
        <v>28905.715101073856</v>
      </c>
      <c r="S24" s="49">
        <f t="shared" si="28"/>
        <v>28463.90812600432</v>
      </c>
      <c r="T24" s="10">
        <f t="shared" si="41"/>
        <v>0.61756100000000003</v>
      </c>
      <c r="U24" s="10">
        <f t="shared" si="41"/>
        <v>0.79715599999999998</v>
      </c>
      <c r="V24" s="55">
        <f t="shared" si="41"/>
        <v>3.031809</v>
      </c>
      <c r="W24" s="50">
        <f t="shared" si="29"/>
        <v>19070.826278733533</v>
      </c>
      <c r="X24" s="7">
        <v>10</v>
      </c>
      <c r="Y24" s="10">
        <f t="shared" si="42"/>
        <v>8.2046511627906979E-2</v>
      </c>
      <c r="Z24" s="10">
        <f t="shared" si="42"/>
        <v>0.86826104580462105</v>
      </c>
      <c r="AA24" s="7">
        <f t="shared" si="43"/>
        <v>13</v>
      </c>
      <c r="AB24" s="56">
        <f t="shared" si="30"/>
        <v>1907.0826278733534</v>
      </c>
      <c r="AC24" s="50">
        <f t="shared" si="31"/>
        <v>24792.074162353594</v>
      </c>
      <c r="AD24" s="4"/>
      <c r="AG24" s="146"/>
      <c r="AH24" s="221">
        <f t="shared" si="33"/>
        <v>13</v>
      </c>
      <c r="AI24" s="222">
        <f t="shared" si="34"/>
        <v>1907.0826278733534</v>
      </c>
      <c r="AJ24" s="222">
        <f t="shared" si="35"/>
        <v>24792.074162353594</v>
      </c>
      <c r="AK24" s="238">
        <f t="shared" si="36"/>
        <v>3.7199044871013007</v>
      </c>
      <c r="AL24" s="239">
        <f t="shared" si="37"/>
        <v>3.1E-2</v>
      </c>
    </row>
    <row r="25" spans="1:38">
      <c r="A25" s="92"/>
      <c r="B25" s="93"/>
      <c r="C25" s="54">
        <f t="shared" si="38"/>
        <v>219933</v>
      </c>
      <c r="D25" s="54">
        <f t="shared" si="32"/>
        <v>14966.984</v>
      </c>
      <c r="E25" s="54">
        <f t="shared" si="32"/>
        <v>190517</v>
      </c>
      <c r="F25" s="54">
        <f t="shared" si="32"/>
        <v>249349</v>
      </c>
      <c r="G25" s="24">
        <f t="shared" si="32"/>
        <v>6.8000000000000005E-2</v>
      </c>
      <c r="H25" s="169">
        <f t="shared" si="39"/>
        <v>4.0221160967792233</v>
      </c>
      <c r="I25" s="21">
        <f t="shared" si="40"/>
        <v>1862283</v>
      </c>
      <c r="J25" s="21">
        <f t="shared" si="40"/>
        <v>12798</v>
      </c>
      <c r="K25" s="314"/>
      <c r="L25" s="11">
        <f t="shared" si="40"/>
        <v>3.1E-2</v>
      </c>
      <c r="M25" s="47">
        <f t="shared" si="22"/>
        <v>0.11809859188963225</v>
      </c>
      <c r="N25" s="47">
        <f t="shared" si="23"/>
        <v>0.88190140811036777</v>
      </c>
      <c r="O25" s="47">
        <f t="shared" si="24"/>
        <v>0.10415131448331834</v>
      </c>
      <c r="P25" s="48">
        <f t="shared" si="25"/>
        <v>1452816338341.0852</v>
      </c>
      <c r="Q25" s="3">
        <f t="shared" si="26"/>
        <v>46484074.033928998</v>
      </c>
      <c r="R25" s="49">
        <f t="shared" si="27"/>
        <v>31254.066441781029</v>
      </c>
      <c r="S25" s="49">
        <f t="shared" si="28"/>
        <v>30738.19765502269</v>
      </c>
      <c r="T25" s="10">
        <f t="shared" si="41"/>
        <v>0.61756100000000003</v>
      </c>
      <c r="U25" s="10">
        <f t="shared" si="41"/>
        <v>0.79715599999999998</v>
      </c>
      <c r="V25" s="55">
        <f t="shared" si="41"/>
        <v>3.031809</v>
      </c>
      <c r="W25" s="50">
        <f t="shared" si="29"/>
        <v>20594.600889143665</v>
      </c>
      <c r="X25" s="7">
        <v>11</v>
      </c>
      <c r="Y25" s="10">
        <f t="shared" si="42"/>
        <v>8.2046511627906979E-2</v>
      </c>
      <c r="Z25" s="10">
        <f t="shared" si="42"/>
        <v>0.86826104580462105</v>
      </c>
      <c r="AA25" s="7">
        <f t="shared" si="43"/>
        <v>14</v>
      </c>
      <c r="AB25" s="56">
        <f t="shared" si="30"/>
        <v>1872.2364444676059</v>
      </c>
      <c r="AC25" s="50">
        <f t="shared" si="31"/>
        <v>26211.310222546483</v>
      </c>
      <c r="AD25" s="4"/>
      <c r="AG25" s="146"/>
      <c r="AH25" s="221">
        <f t="shared" si="33"/>
        <v>14</v>
      </c>
      <c r="AI25" s="222">
        <f t="shared" si="34"/>
        <v>1872.2364444676059</v>
      </c>
      <c r="AJ25" s="222">
        <f t="shared" si="35"/>
        <v>26211.310222546483</v>
      </c>
      <c r="AK25" s="238">
        <f t="shared" si="36"/>
        <v>4.0221160967792233</v>
      </c>
      <c r="AL25" s="239">
        <f t="shared" si="37"/>
        <v>3.1E-2</v>
      </c>
    </row>
    <row r="26" spans="1:38">
      <c r="A26" s="92"/>
      <c r="B26" s="93"/>
      <c r="C26" s="54">
        <f t="shared" si="38"/>
        <v>219933</v>
      </c>
      <c r="D26" s="54">
        <f t="shared" si="32"/>
        <v>14966.984</v>
      </c>
      <c r="E26" s="54">
        <f t="shared" si="32"/>
        <v>190517</v>
      </c>
      <c r="F26" s="54">
        <f t="shared" si="32"/>
        <v>249349</v>
      </c>
      <c r="G26" s="24">
        <f t="shared" si="32"/>
        <v>6.8000000000000005E-2</v>
      </c>
      <c r="H26" s="169">
        <f t="shared" si="39"/>
        <v>4.3243277064571455</v>
      </c>
      <c r="I26" s="21">
        <f t="shared" si="40"/>
        <v>1862283</v>
      </c>
      <c r="J26" s="21">
        <f t="shared" si="40"/>
        <v>12798</v>
      </c>
      <c r="K26" s="314"/>
      <c r="L26" s="11">
        <f t="shared" si="40"/>
        <v>3.1E-2</v>
      </c>
      <c r="M26" s="47">
        <f t="shared" si="22"/>
        <v>0.11809859188963225</v>
      </c>
      <c r="N26" s="47">
        <f t="shared" si="23"/>
        <v>0.88190140811036777</v>
      </c>
      <c r="O26" s="47">
        <f t="shared" si="24"/>
        <v>0.10415131448331834</v>
      </c>
      <c r="P26" s="48">
        <f t="shared" si="25"/>
        <v>1561977275920.1936</v>
      </c>
      <c r="Q26" s="3">
        <f t="shared" si="26"/>
        <v>46484074.033928998</v>
      </c>
      <c r="R26" s="49">
        <f t="shared" si="27"/>
        <v>33602.417782488199</v>
      </c>
      <c r="S26" s="49">
        <f t="shared" si="28"/>
        <v>33006.85305571818</v>
      </c>
      <c r="T26" s="10">
        <f t="shared" si="41"/>
        <v>0.61756100000000003</v>
      </c>
      <c r="U26" s="10">
        <f t="shared" si="41"/>
        <v>0.79715599999999998</v>
      </c>
      <c r="V26" s="55">
        <f t="shared" si="41"/>
        <v>3.031809</v>
      </c>
      <c r="W26" s="50">
        <f t="shared" si="29"/>
        <v>22114.600632026752</v>
      </c>
      <c r="X26" s="7">
        <v>12</v>
      </c>
      <c r="Y26" s="10">
        <f t="shared" si="42"/>
        <v>8.2046511627906979E-2</v>
      </c>
      <c r="Z26" s="10">
        <f t="shared" si="42"/>
        <v>0.86826104580462105</v>
      </c>
      <c r="AA26" s="7">
        <f t="shared" si="43"/>
        <v>16</v>
      </c>
      <c r="AB26" s="56">
        <f t="shared" si="30"/>
        <v>1842.8833860022294</v>
      </c>
      <c r="AC26" s="50">
        <f t="shared" si="31"/>
        <v>29486.13417603567</v>
      </c>
      <c r="AD26" s="4"/>
      <c r="AG26" s="146"/>
      <c r="AH26" s="221">
        <f t="shared" si="33"/>
        <v>16</v>
      </c>
      <c r="AI26" s="222">
        <f t="shared" si="34"/>
        <v>1842.8833860022294</v>
      </c>
      <c r="AJ26" s="222">
        <f t="shared" si="35"/>
        <v>29486.13417603567</v>
      </c>
      <c r="AK26" s="238">
        <f t="shared" si="36"/>
        <v>4.3243277064571455</v>
      </c>
      <c r="AL26" s="239">
        <f t="shared" si="37"/>
        <v>3.1E-2</v>
      </c>
    </row>
    <row r="27" spans="1:38">
      <c r="A27" s="92"/>
      <c r="B27" s="93"/>
      <c r="C27" s="54">
        <f t="shared" si="38"/>
        <v>219933</v>
      </c>
      <c r="D27" s="54">
        <f t="shared" si="32"/>
        <v>14966.984</v>
      </c>
      <c r="E27" s="54">
        <f t="shared" si="32"/>
        <v>190517</v>
      </c>
      <c r="F27" s="54">
        <f t="shared" si="32"/>
        <v>249349</v>
      </c>
      <c r="G27" s="24">
        <f t="shared" si="32"/>
        <v>6.8000000000000005E-2</v>
      </c>
      <c r="H27" s="169">
        <f t="shared" si="39"/>
        <v>4.6265393161350676</v>
      </c>
      <c r="I27" s="21">
        <f t="shared" si="40"/>
        <v>1862283</v>
      </c>
      <c r="J27" s="21">
        <f t="shared" si="40"/>
        <v>12798</v>
      </c>
      <c r="K27" s="314"/>
      <c r="L27" s="11">
        <f t="shared" si="40"/>
        <v>3.1E-2</v>
      </c>
      <c r="M27" s="47">
        <f t="shared" si="22"/>
        <v>0.11809859188963225</v>
      </c>
      <c r="N27" s="47">
        <f t="shared" si="23"/>
        <v>0.88190140811036777</v>
      </c>
      <c r="O27" s="47">
        <f t="shared" si="24"/>
        <v>0.10415131448331834</v>
      </c>
      <c r="P27" s="48">
        <f t="shared" si="25"/>
        <v>1671138213499.302</v>
      </c>
      <c r="Q27" s="3">
        <f t="shared" si="26"/>
        <v>46484074.033928998</v>
      </c>
      <c r="R27" s="49">
        <f t="shared" si="27"/>
        <v>35950.769123195365</v>
      </c>
      <c r="S27" s="49">
        <f t="shared" si="28"/>
        <v>35269.895238443918</v>
      </c>
      <c r="T27" s="10">
        <f t="shared" si="41"/>
        <v>0.61756100000000003</v>
      </c>
      <c r="U27" s="10">
        <f t="shared" si="41"/>
        <v>0.79715599999999998</v>
      </c>
      <c r="V27" s="55">
        <f t="shared" si="41"/>
        <v>3.031809</v>
      </c>
      <c r="W27" s="50">
        <f t="shared" si="29"/>
        <v>23630.839517325137</v>
      </c>
      <c r="X27" s="7">
        <v>13</v>
      </c>
      <c r="Y27" s="10">
        <f t="shared" si="42"/>
        <v>8.2046511627906979E-2</v>
      </c>
      <c r="Z27" s="10">
        <f t="shared" si="42"/>
        <v>0.86826104580462105</v>
      </c>
      <c r="AA27" s="7">
        <f t="shared" si="43"/>
        <v>17</v>
      </c>
      <c r="AB27" s="56">
        <f t="shared" si="30"/>
        <v>1817.7568859480875</v>
      </c>
      <c r="AC27" s="50">
        <f t="shared" si="31"/>
        <v>30901.867061117489</v>
      </c>
      <c r="AD27" s="4"/>
      <c r="AG27" s="146"/>
      <c r="AH27" s="221">
        <f t="shared" si="33"/>
        <v>17</v>
      </c>
      <c r="AI27" s="222">
        <f t="shared" si="34"/>
        <v>1817.7568859480875</v>
      </c>
      <c r="AJ27" s="222">
        <f t="shared" si="35"/>
        <v>30901.867061117489</v>
      </c>
      <c r="AK27" s="238">
        <f t="shared" si="36"/>
        <v>4.6265393161350676</v>
      </c>
      <c r="AL27" s="239">
        <f t="shared" si="37"/>
        <v>3.1E-2</v>
      </c>
    </row>
    <row r="28" spans="1:38">
      <c r="A28" s="92"/>
      <c r="B28" s="93"/>
      <c r="C28" s="54">
        <f t="shared" si="38"/>
        <v>219933</v>
      </c>
      <c r="D28" s="54">
        <f t="shared" si="32"/>
        <v>14966.984</v>
      </c>
      <c r="E28" s="54">
        <f t="shared" si="32"/>
        <v>190517</v>
      </c>
      <c r="F28" s="54">
        <f t="shared" si="32"/>
        <v>249349</v>
      </c>
      <c r="G28" s="24">
        <f t="shared" si="32"/>
        <v>6.8000000000000005E-2</v>
      </c>
      <c r="H28" s="169">
        <f t="shared" si="39"/>
        <v>4.9287509258129898</v>
      </c>
      <c r="I28" s="21">
        <f t="shared" si="40"/>
        <v>1862283</v>
      </c>
      <c r="J28" s="21">
        <f t="shared" si="40"/>
        <v>12798</v>
      </c>
      <c r="K28" s="314"/>
      <c r="L28" s="11">
        <f t="shared" si="40"/>
        <v>3.1E-2</v>
      </c>
      <c r="M28" s="47">
        <f t="shared" si="22"/>
        <v>0.11809859188963225</v>
      </c>
      <c r="N28" s="47">
        <f t="shared" si="23"/>
        <v>0.88190140811036777</v>
      </c>
      <c r="O28" s="47">
        <f t="shared" si="24"/>
        <v>0.10415131448331834</v>
      </c>
      <c r="P28" s="48">
        <f t="shared" si="25"/>
        <v>1780299151078.4106</v>
      </c>
      <c r="Q28" s="3">
        <f t="shared" si="26"/>
        <v>46484074.033928998</v>
      </c>
      <c r="R28" s="49">
        <f t="shared" si="27"/>
        <v>38299.120463902538</v>
      </c>
      <c r="S28" s="49">
        <f t="shared" si="28"/>
        <v>37527.345010206023</v>
      </c>
      <c r="T28" s="10">
        <f t="shared" si="41"/>
        <v>0.61756100000000003</v>
      </c>
      <c r="U28" s="10">
        <f t="shared" si="41"/>
        <v>0.79715599999999998</v>
      </c>
      <c r="V28" s="55">
        <f t="shared" si="41"/>
        <v>3.031809</v>
      </c>
      <c r="W28" s="50">
        <f t="shared" si="29"/>
        <v>25143.331485738654</v>
      </c>
      <c r="X28" s="7">
        <v>14</v>
      </c>
      <c r="Y28" s="10">
        <f t="shared" si="42"/>
        <v>8.2046511627906979E-2</v>
      </c>
      <c r="Z28" s="10">
        <f t="shared" si="42"/>
        <v>0.86826104580462105</v>
      </c>
      <c r="AA28" s="7">
        <f t="shared" si="43"/>
        <v>18</v>
      </c>
      <c r="AB28" s="56">
        <f t="shared" si="30"/>
        <v>1795.9522489813323</v>
      </c>
      <c r="AC28" s="50">
        <f t="shared" si="31"/>
        <v>32327.140481663981</v>
      </c>
      <c r="AD28" s="4"/>
      <c r="AG28" s="146"/>
      <c r="AH28" s="221">
        <f t="shared" si="33"/>
        <v>18</v>
      </c>
      <c r="AI28" s="222">
        <f t="shared" si="34"/>
        <v>1795.9522489813323</v>
      </c>
      <c r="AJ28" s="222">
        <f t="shared" si="35"/>
        <v>32327.140481663981</v>
      </c>
      <c r="AK28" s="238">
        <f t="shared" si="36"/>
        <v>4.9287509258129898</v>
      </c>
      <c r="AL28" s="239">
        <f t="shared" si="37"/>
        <v>3.1E-2</v>
      </c>
    </row>
    <row r="29" spans="1:38">
      <c r="A29" s="92"/>
      <c r="B29" s="93"/>
      <c r="C29" s="54">
        <f t="shared" si="38"/>
        <v>219933</v>
      </c>
      <c r="D29" s="54">
        <f t="shared" si="32"/>
        <v>14966.984</v>
      </c>
      <c r="E29" s="54">
        <f t="shared" si="32"/>
        <v>190517</v>
      </c>
      <c r="F29" s="54">
        <f t="shared" si="32"/>
        <v>249349</v>
      </c>
      <c r="G29" s="24">
        <f t="shared" si="32"/>
        <v>6.8000000000000005E-2</v>
      </c>
      <c r="H29" s="169">
        <f t="shared" si="39"/>
        <v>5.2309625354909128</v>
      </c>
      <c r="I29" s="21">
        <f t="shared" si="40"/>
        <v>1862283</v>
      </c>
      <c r="J29" s="21">
        <f t="shared" si="40"/>
        <v>12798</v>
      </c>
      <c r="K29" s="314"/>
      <c r="L29" s="11">
        <f t="shared" si="40"/>
        <v>3.1E-2</v>
      </c>
      <c r="M29" s="47">
        <f t="shared" si="22"/>
        <v>0.11809859188963225</v>
      </c>
      <c r="N29" s="47">
        <f t="shared" si="23"/>
        <v>0.88190140811036777</v>
      </c>
      <c r="O29" s="47">
        <f t="shared" si="24"/>
        <v>0.10415131448331834</v>
      </c>
      <c r="P29" s="48">
        <f t="shared" si="25"/>
        <v>1889460088657.5193</v>
      </c>
      <c r="Q29" s="3">
        <f t="shared" si="26"/>
        <v>46484074.033928998</v>
      </c>
      <c r="R29" s="49">
        <f t="shared" si="27"/>
        <v>40647.471804609711</v>
      </c>
      <c r="S29" s="49">
        <f t="shared" si="28"/>
        <v>39779.223075301335</v>
      </c>
      <c r="T29" s="10">
        <f t="shared" si="41"/>
        <v>0.61756100000000003</v>
      </c>
      <c r="U29" s="10">
        <f t="shared" si="41"/>
        <v>0.79715599999999998</v>
      </c>
      <c r="V29" s="55">
        <f t="shared" si="41"/>
        <v>3.031809</v>
      </c>
      <c r="W29" s="50">
        <f t="shared" si="29"/>
        <v>26652.090409151882</v>
      </c>
      <c r="X29" s="7">
        <v>15</v>
      </c>
      <c r="Y29" s="66">
        <f t="shared" si="42"/>
        <v>8.2046511627906979E-2</v>
      </c>
      <c r="Z29" s="66">
        <f t="shared" si="42"/>
        <v>0.86826104580462105</v>
      </c>
      <c r="AA29" s="7">
        <f t="shared" si="43"/>
        <v>19</v>
      </c>
      <c r="AB29" s="56">
        <f t="shared" si="30"/>
        <v>1776.8060272767921</v>
      </c>
      <c r="AC29" s="68">
        <f t="shared" si="31"/>
        <v>33759.314518259052</v>
      </c>
      <c r="AD29" s="4"/>
      <c r="AG29" s="146"/>
      <c r="AH29" s="221">
        <f t="shared" si="33"/>
        <v>19</v>
      </c>
      <c r="AI29" s="222">
        <f t="shared" si="34"/>
        <v>1776.8060272767921</v>
      </c>
      <c r="AJ29" s="222">
        <f t="shared" si="35"/>
        <v>33759.314518259052</v>
      </c>
      <c r="AK29" s="238">
        <f t="shared" si="36"/>
        <v>5.2309625354909128</v>
      </c>
      <c r="AL29" s="239">
        <f t="shared" si="37"/>
        <v>3.1E-2</v>
      </c>
    </row>
    <row r="30" spans="1:38">
      <c r="A30" s="104"/>
      <c r="B30" s="105"/>
      <c r="C30" s="106"/>
      <c r="D30" s="106"/>
      <c r="E30" s="106"/>
      <c r="F30" s="106"/>
      <c r="G30" s="320" t="s">
        <v>23</v>
      </c>
      <c r="H30" s="320"/>
      <c r="I30" s="320"/>
      <c r="J30" s="320"/>
      <c r="K30" s="321"/>
      <c r="L30" s="320"/>
      <c r="M30" s="107"/>
      <c r="N30" s="107"/>
      <c r="O30" s="107"/>
      <c r="P30" s="108"/>
      <c r="Q30" s="109"/>
      <c r="R30" s="110"/>
      <c r="S30" s="110"/>
      <c r="T30" s="111"/>
      <c r="U30" s="111"/>
      <c r="V30" s="112"/>
      <c r="W30" s="110"/>
      <c r="X30" s="322" t="s">
        <v>23</v>
      </c>
      <c r="Y30" s="322"/>
      <c r="Z30" s="322"/>
      <c r="AA30" s="322"/>
      <c r="AB30" s="322"/>
      <c r="AC30" s="322"/>
      <c r="AD30" s="323"/>
      <c r="AG30" s="146"/>
      <c r="AH30" s="318" t="s">
        <v>23</v>
      </c>
      <c r="AI30" s="318"/>
      <c r="AJ30" s="318"/>
      <c r="AK30" s="318"/>
      <c r="AL30" s="318"/>
    </row>
    <row r="31" spans="1:38" ht="17.25" customHeight="1">
      <c r="A31" s="103" t="s">
        <v>47</v>
      </c>
      <c r="B31" s="93" t="s">
        <v>23</v>
      </c>
      <c r="C31" s="16">
        <v>77038</v>
      </c>
      <c r="D31" s="44">
        <v>3853.998</v>
      </c>
      <c r="E31" s="44">
        <v>69457</v>
      </c>
      <c r="F31" s="44">
        <v>84619</v>
      </c>
      <c r="G31" s="45">
        <v>0.05</v>
      </c>
      <c r="H31" s="45">
        <v>1.528</v>
      </c>
      <c r="I31" s="44">
        <v>622572</v>
      </c>
      <c r="J31" s="44">
        <v>10686</v>
      </c>
      <c r="K31" s="313">
        <v>3716</v>
      </c>
      <c r="L31" s="46">
        <v>3.1E-2</v>
      </c>
      <c r="M31" s="47">
        <f t="shared" si="22"/>
        <v>0.12374151102201833</v>
      </c>
      <c r="N31" s="47">
        <f t="shared" si="23"/>
        <v>0.87625848897798164</v>
      </c>
      <c r="O31" s="47">
        <f t="shared" si="24"/>
        <v>0.10842954947200605</v>
      </c>
      <c r="P31" s="48">
        <f t="shared" si="25"/>
        <v>64217024190.176003</v>
      </c>
      <c r="Q31" s="3">
        <f t="shared" si="26"/>
        <v>5703394.1596839996</v>
      </c>
      <c r="R31" s="49">
        <f t="shared" si="27"/>
        <v>11259.439974201956</v>
      </c>
      <c r="S31" s="49">
        <f t="shared" si="28"/>
        <v>11059.426247306652</v>
      </c>
      <c r="T31" s="15">
        <v>0.57008199999999998</v>
      </c>
      <c r="U31" s="15">
        <v>0.76076500000000002</v>
      </c>
      <c r="V31" s="15">
        <v>3.06229</v>
      </c>
      <c r="W31" s="50">
        <f t="shared" si="29"/>
        <v>8327.1891157828177</v>
      </c>
      <c r="X31" s="149">
        <v>10.323601</v>
      </c>
      <c r="Y31" s="15">
        <v>8.3532790808999516E-2</v>
      </c>
      <c r="Z31" s="15">
        <v>0.91642726560459631</v>
      </c>
      <c r="AA31" s="15">
        <f>X31/((1-Y31)*Z31)</f>
        <v>12.291822450270736</v>
      </c>
      <c r="AB31" s="51">
        <f t="shared" ref="AB31:AB42" si="44">W31/X31</f>
        <v>806.61671404995388</v>
      </c>
      <c r="AC31" s="144">
        <f t="shared" ref="AC31:AC42" si="45">AA31*AB31</f>
        <v>9914.7894345228342</v>
      </c>
      <c r="AD31" s="98">
        <f>(H31-1)/(X31-1)</f>
        <v>5.6630480004453219E-2</v>
      </c>
      <c r="AG31" s="146"/>
      <c r="AH31" s="221">
        <f>+AA31</f>
        <v>12.291822450270736</v>
      </c>
      <c r="AI31" s="222">
        <f>+AB31</f>
        <v>806.61671404995388</v>
      </c>
      <c r="AJ31" s="222">
        <f>+AC31</f>
        <v>9914.7894345228342</v>
      </c>
      <c r="AK31" s="238">
        <f>+H31</f>
        <v>1.528</v>
      </c>
      <c r="AL31" s="239">
        <f>+L31</f>
        <v>3.1E-2</v>
      </c>
    </row>
    <row r="32" spans="1:38">
      <c r="A32" s="92"/>
      <c r="B32" s="93"/>
      <c r="C32" s="54">
        <f>C31</f>
        <v>77038</v>
      </c>
      <c r="D32" s="54">
        <f t="shared" ref="D32:G42" si="46">D31</f>
        <v>3853.998</v>
      </c>
      <c r="E32" s="54">
        <f t="shared" si="46"/>
        <v>69457</v>
      </c>
      <c r="F32" s="54">
        <f t="shared" si="46"/>
        <v>84619</v>
      </c>
      <c r="G32" s="24">
        <f t="shared" si="46"/>
        <v>0.05</v>
      </c>
      <c r="H32" s="22">
        <f>1+(X32-1)*$AD$31</f>
        <v>1.2265219200178128</v>
      </c>
      <c r="I32" s="21">
        <f>I31</f>
        <v>622572</v>
      </c>
      <c r="J32" s="21">
        <f>J31</f>
        <v>10686</v>
      </c>
      <c r="K32" s="314"/>
      <c r="L32" s="11">
        <f>L31</f>
        <v>3.1E-2</v>
      </c>
      <c r="M32" s="47">
        <f t="shared" si="22"/>
        <v>0.12374151102201833</v>
      </c>
      <c r="N32" s="47">
        <f t="shared" si="23"/>
        <v>0.87625848897798164</v>
      </c>
      <c r="O32" s="47">
        <f t="shared" si="24"/>
        <v>0.10842954947200605</v>
      </c>
      <c r="P32" s="48">
        <f t="shared" si="25"/>
        <v>51546850659.401176</v>
      </c>
      <c r="Q32" s="3">
        <f t="shared" si="26"/>
        <v>5703394.1596839996</v>
      </c>
      <c r="R32" s="49">
        <f t="shared" si="27"/>
        <v>9037.9253504473145</v>
      </c>
      <c r="S32" s="49">
        <f t="shared" si="28"/>
        <v>8908.59854388243</v>
      </c>
      <c r="T32" s="10">
        <f>T31</f>
        <v>0.57008199999999998</v>
      </c>
      <c r="U32" s="10">
        <f>U31</f>
        <v>0.76076500000000002</v>
      </c>
      <c r="V32" s="55">
        <f>V31</f>
        <v>3.06229</v>
      </c>
      <c r="W32" s="50">
        <f t="shared" si="29"/>
        <v>6707.7245394680995</v>
      </c>
      <c r="X32" s="7">
        <v>5</v>
      </c>
      <c r="Y32" s="10">
        <f>Y31</f>
        <v>8.3532790808999516E-2</v>
      </c>
      <c r="Z32" s="10">
        <f>Z31</f>
        <v>0.91642726560459631</v>
      </c>
      <c r="AA32" s="7">
        <f>ROUNDUP(X32/((1-Y32)*Z32),0)</f>
        <v>6</v>
      </c>
      <c r="AB32" s="56">
        <f t="shared" si="44"/>
        <v>1341.5449078936199</v>
      </c>
      <c r="AC32" s="50">
        <f t="shared" si="45"/>
        <v>8049.2694473617194</v>
      </c>
      <c r="AD32" s="8"/>
      <c r="AG32" s="146"/>
      <c r="AH32" s="221">
        <f t="shared" ref="AH32:AH42" si="47">+AA32</f>
        <v>6</v>
      </c>
      <c r="AI32" s="222">
        <f t="shared" ref="AI32:AI42" si="48">+AB32</f>
        <v>1341.5449078936199</v>
      </c>
      <c r="AJ32" s="222">
        <f t="shared" ref="AJ32:AJ42" si="49">+AC32</f>
        <v>8049.2694473617194</v>
      </c>
      <c r="AK32" s="238">
        <f t="shared" ref="AK32:AK42" si="50">+H32</f>
        <v>1.2265219200178128</v>
      </c>
      <c r="AL32" s="239">
        <f t="shared" ref="AL32:AL42" si="51">+L32</f>
        <v>3.1E-2</v>
      </c>
    </row>
    <row r="33" spans="1:38">
      <c r="A33" s="92"/>
      <c r="B33" s="93"/>
      <c r="C33" s="54">
        <f t="shared" ref="C33:C42" si="52">C32</f>
        <v>77038</v>
      </c>
      <c r="D33" s="54">
        <f t="shared" si="46"/>
        <v>3853.998</v>
      </c>
      <c r="E33" s="54">
        <f t="shared" si="46"/>
        <v>69457</v>
      </c>
      <c r="F33" s="54">
        <f t="shared" si="46"/>
        <v>84619</v>
      </c>
      <c r="G33" s="24">
        <f t="shared" si="46"/>
        <v>0.05</v>
      </c>
      <c r="H33" s="22">
        <f t="shared" ref="H33:H42" si="53">1+(X33-1)*$AD$31</f>
        <v>1.283152400022266</v>
      </c>
      <c r="I33" s="21">
        <f>I32</f>
        <v>622572</v>
      </c>
      <c r="J33" s="21">
        <f t="shared" ref="I33:L42" si="54">J32</f>
        <v>10686</v>
      </c>
      <c r="K33" s="314"/>
      <c r="L33" s="11">
        <f t="shared" si="54"/>
        <v>3.1E-2</v>
      </c>
      <c r="M33" s="47">
        <f t="shared" si="22"/>
        <v>0.12374151102201833</v>
      </c>
      <c r="N33" s="47">
        <f t="shared" si="23"/>
        <v>0.87625848897798164</v>
      </c>
      <c r="O33" s="47">
        <f t="shared" si="24"/>
        <v>0.10842954947200605</v>
      </c>
      <c r="P33" s="48">
        <f t="shared" si="25"/>
        <v>53926851251.251465</v>
      </c>
      <c r="Q33" s="3">
        <f t="shared" si="26"/>
        <v>5703394.1596839996</v>
      </c>
      <c r="R33" s="49">
        <f t="shared" si="27"/>
        <v>9455.2208284056796</v>
      </c>
      <c r="S33" s="49">
        <f t="shared" si="28"/>
        <v>9313.7693244708698</v>
      </c>
      <c r="T33" s="10">
        <f t="shared" ref="T33:V42" si="55">T32</f>
        <v>0.57008199999999998</v>
      </c>
      <c r="U33" s="10">
        <f t="shared" si="55"/>
        <v>0.76076500000000002</v>
      </c>
      <c r="V33" s="55">
        <f t="shared" si="55"/>
        <v>3.06229</v>
      </c>
      <c r="W33" s="50">
        <f t="shared" si="29"/>
        <v>7012.7976633990047</v>
      </c>
      <c r="X33" s="7">
        <v>6</v>
      </c>
      <c r="Y33" s="10">
        <f t="shared" ref="Y33:Z42" si="56">Y32</f>
        <v>8.3532790808999516E-2</v>
      </c>
      <c r="Z33" s="10">
        <f t="shared" si="56"/>
        <v>0.91642726560459631</v>
      </c>
      <c r="AA33" s="7">
        <f t="shared" ref="AA33:AA42" si="57">ROUNDUP(X33/((1-Y33)*Z33),0)</f>
        <v>8</v>
      </c>
      <c r="AB33" s="56">
        <f t="shared" si="44"/>
        <v>1168.7996105665009</v>
      </c>
      <c r="AC33" s="50">
        <f t="shared" si="45"/>
        <v>9350.3968845320069</v>
      </c>
      <c r="AD33" s="8"/>
      <c r="AG33" s="146"/>
      <c r="AH33" s="221">
        <f t="shared" si="47"/>
        <v>8</v>
      </c>
      <c r="AI33" s="222">
        <f t="shared" si="48"/>
        <v>1168.7996105665009</v>
      </c>
      <c r="AJ33" s="222">
        <f t="shared" si="49"/>
        <v>9350.3968845320069</v>
      </c>
      <c r="AK33" s="238">
        <f t="shared" si="50"/>
        <v>1.283152400022266</v>
      </c>
      <c r="AL33" s="239">
        <f t="shared" si="51"/>
        <v>3.1E-2</v>
      </c>
    </row>
    <row r="34" spans="1:38">
      <c r="A34" s="92"/>
      <c r="B34" s="93"/>
      <c r="C34" s="54">
        <f t="shared" si="52"/>
        <v>77038</v>
      </c>
      <c r="D34" s="54">
        <f t="shared" si="46"/>
        <v>3853.998</v>
      </c>
      <c r="E34" s="54">
        <f t="shared" si="46"/>
        <v>69457</v>
      </c>
      <c r="F34" s="54">
        <f t="shared" si="46"/>
        <v>84619</v>
      </c>
      <c r="G34" s="24">
        <f t="shared" si="46"/>
        <v>0.05</v>
      </c>
      <c r="H34" s="22">
        <f t="shared" si="53"/>
        <v>1.3397828800267193</v>
      </c>
      <c r="I34" s="21">
        <f t="shared" si="54"/>
        <v>622572</v>
      </c>
      <c r="J34" s="21">
        <f t="shared" si="54"/>
        <v>10686</v>
      </c>
      <c r="K34" s="314"/>
      <c r="L34" s="11">
        <f t="shared" si="54"/>
        <v>3.1E-2</v>
      </c>
      <c r="M34" s="47">
        <f t="shared" si="22"/>
        <v>0.12374151102201833</v>
      </c>
      <c r="N34" s="47">
        <f t="shared" si="23"/>
        <v>0.87625848897798164</v>
      </c>
      <c r="O34" s="47">
        <f t="shared" si="24"/>
        <v>0.10842954947200605</v>
      </c>
      <c r="P34" s="48">
        <f t="shared" si="25"/>
        <v>56306851843.101768</v>
      </c>
      <c r="Q34" s="3">
        <f t="shared" si="26"/>
        <v>5703394.1596839996</v>
      </c>
      <c r="R34" s="49">
        <f t="shared" si="27"/>
        <v>9872.5163063640484</v>
      </c>
      <c r="S34" s="49">
        <f t="shared" si="28"/>
        <v>9718.4054306960079</v>
      </c>
      <c r="T34" s="10">
        <f t="shared" si="55"/>
        <v>0.57008199999999998</v>
      </c>
      <c r="U34" s="10">
        <f t="shared" si="55"/>
        <v>0.76076500000000002</v>
      </c>
      <c r="V34" s="55">
        <f t="shared" si="55"/>
        <v>3.06229</v>
      </c>
      <c r="W34" s="50">
        <f t="shared" si="29"/>
        <v>7317.468204552194</v>
      </c>
      <c r="X34" s="7">
        <v>7</v>
      </c>
      <c r="Y34" s="10">
        <f t="shared" si="56"/>
        <v>8.3532790808999516E-2</v>
      </c>
      <c r="Z34" s="10">
        <f t="shared" si="56"/>
        <v>0.91642726560459631</v>
      </c>
      <c r="AA34" s="7">
        <f t="shared" si="57"/>
        <v>9</v>
      </c>
      <c r="AB34" s="56">
        <f t="shared" si="44"/>
        <v>1045.3526006503134</v>
      </c>
      <c r="AC34" s="50">
        <f t="shared" si="45"/>
        <v>9408.17340585282</v>
      </c>
      <c r="AD34" s="8"/>
      <c r="AG34" s="146"/>
      <c r="AH34" s="221">
        <f t="shared" si="47"/>
        <v>9</v>
      </c>
      <c r="AI34" s="222">
        <f t="shared" si="48"/>
        <v>1045.3526006503134</v>
      </c>
      <c r="AJ34" s="222">
        <f t="shared" si="49"/>
        <v>9408.17340585282</v>
      </c>
      <c r="AK34" s="238">
        <f t="shared" si="50"/>
        <v>1.3397828800267193</v>
      </c>
      <c r="AL34" s="239">
        <f t="shared" si="51"/>
        <v>3.1E-2</v>
      </c>
    </row>
    <row r="35" spans="1:38">
      <c r="A35" s="92"/>
      <c r="B35" s="93"/>
      <c r="C35" s="54">
        <f t="shared" si="52"/>
        <v>77038</v>
      </c>
      <c r="D35" s="54">
        <f t="shared" si="46"/>
        <v>3853.998</v>
      </c>
      <c r="E35" s="54">
        <f t="shared" si="46"/>
        <v>69457</v>
      </c>
      <c r="F35" s="54">
        <f t="shared" si="46"/>
        <v>84619</v>
      </c>
      <c r="G35" s="24">
        <f t="shared" si="46"/>
        <v>0.05</v>
      </c>
      <c r="H35" s="22">
        <f t="shared" si="53"/>
        <v>1.3964133600311726</v>
      </c>
      <c r="I35" s="21">
        <f t="shared" si="54"/>
        <v>622572</v>
      </c>
      <c r="J35" s="21">
        <f t="shared" si="54"/>
        <v>10686</v>
      </c>
      <c r="K35" s="314"/>
      <c r="L35" s="11">
        <f t="shared" si="54"/>
        <v>3.1E-2</v>
      </c>
      <c r="M35" s="47">
        <f t="shared" si="22"/>
        <v>0.12374151102201833</v>
      </c>
      <c r="N35" s="47">
        <f t="shared" si="23"/>
        <v>0.87625848897798164</v>
      </c>
      <c r="O35" s="47">
        <f t="shared" si="24"/>
        <v>0.10842954947200605</v>
      </c>
      <c r="P35" s="48">
        <f t="shared" si="25"/>
        <v>58686852434.952065</v>
      </c>
      <c r="Q35" s="3">
        <f t="shared" si="26"/>
        <v>5703394.1596839996</v>
      </c>
      <c r="R35" s="49">
        <f t="shared" si="27"/>
        <v>10289.811784322417</v>
      </c>
      <c r="S35" s="49">
        <f t="shared" si="28"/>
        <v>10122.507920216198</v>
      </c>
      <c r="T35" s="10">
        <f t="shared" si="55"/>
        <v>0.57008199999999998</v>
      </c>
      <c r="U35" s="10">
        <f t="shared" si="55"/>
        <v>0.76076500000000002</v>
      </c>
      <c r="V35" s="55">
        <f t="shared" si="55"/>
        <v>3.06229</v>
      </c>
      <c r="W35" s="50">
        <f t="shared" si="29"/>
        <v>7621.7369592909645</v>
      </c>
      <c r="X35" s="7">
        <v>8</v>
      </c>
      <c r="Y35" s="10">
        <f t="shared" si="56"/>
        <v>8.3532790808999516E-2</v>
      </c>
      <c r="Z35" s="10">
        <f t="shared" si="56"/>
        <v>0.91642726560459631</v>
      </c>
      <c r="AA35" s="7">
        <f>ROUNDUP(X35/((1-Y35)*Z35),0)</f>
        <v>10</v>
      </c>
      <c r="AB35" s="56">
        <f>W35/X35</f>
        <v>952.71711991137056</v>
      </c>
      <c r="AC35" s="50">
        <f>AA35*AB35</f>
        <v>9527.1711991137054</v>
      </c>
      <c r="AD35" s="8"/>
      <c r="AG35" s="146"/>
      <c r="AH35" s="221">
        <f t="shared" si="47"/>
        <v>10</v>
      </c>
      <c r="AI35" s="222">
        <f t="shared" si="48"/>
        <v>952.71711991137056</v>
      </c>
      <c r="AJ35" s="222">
        <f t="shared" si="49"/>
        <v>9527.1711991137054</v>
      </c>
      <c r="AK35" s="238">
        <f t="shared" si="50"/>
        <v>1.3964133600311726</v>
      </c>
      <c r="AL35" s="239">
        <f t="shared" si="51"/>
        <v>3.1E-2</v>
      </c>
    </row>
    <row r="36" spans="1:38">
      <c r="A36" s="92"/>
      <c r="B36" s="93"/>
      <c r="C36" s="54">
        <f t="shared" si="52"/>
        <v>77038</v>
      </c>
      <c r="D36" s="54">
        <f t="shared" si="46"/>
        <v>3853.998</v>
      </c>
      <c r="E36" s="54">
        <f t="shared" si="46"/>
        <v>69457</v>
      </c>
      <c r="F36" s="54">
        <f t="shared" si="46"/>
        <v>84619</v>
      </c>
      <c r="G36" s="24">
        <f t="shared" si="46"/>
        <v>0.05</v>
      </c>
      <c r="H36" s="22">
        <f t="shared" si="53"/>
        <v>1.4530438400356258</v>
      </c>
      <c r="I36" s="21">
        <f t="shared" si="54"/>
        <v>622572</v>
      </c>
      <c r="J36" s="21">
        <f t="shared" si="54"/>
        <v>10686</v>
      </c>
      <c r="K36" s="314"/>
      <c r="L36" s="11">
        <f t="shared" si="54"/>
        <v>3.1E-2</v>
      </c>
      <c r="M36" s="47">
        <f t="shared" si="22"/>
        <v>0.12374151102201833</v>
      </c>
      <c r="N36" s="47">
        <f t="shared" si="23"/>
        <v>0.87625848897798164</v>
      </c>
      <c r="O36" s="47">
        <f t="shared" si="24"/>
        <v>0.10842954947200605</v>
      </c>
      <c r="P36" s="48">
        <f t="shared" si="25"/>
        <v>61066853026.802353</v>
      </c>
      <c r="Q36" s="3">
        <f t="shared" si="26"/>
        <v>5703394.1596839996</v>
      </c>
      <c r="R36" s="49">
        <f t="shared" si="27"/>
        <v>10707.107262280782</v>
      </c>
      <c r="S36" s="49">
        <f t="shared" si="28"/>
        <v>10526.077847902037</v>
      </c>
      <c r="T36" s="10">
        <f t="shared" si="55"/>
        <v>0.57008199999999998</v>
      </c>
      <c r="U36" s="10">
        <f t="shared" si="55"/>
        <v>0.76076500000000002</v>
      </c>
      <c r="V36" s="55">
        <f t="shared" si="55"/>
        <v>3.06229</v>
      </c>
      <c r="W36" s="50">
        <f t="shared" si="29"/>
        <v>7925.6047218795711</v>
      </c>
      <c r="X36" s="7">
        <v>9</v>
      </c>
      <c r="Y36" s="10">
        <f t="shared" si="56"/>
        <v>8.3532790808999516E-2</v>
      </c>
      <c r="Z36" s="10">
        <f t="shared" si="56"/>
        <v>0.91642726560459631</v>
      </c>
      <c r="AA36" s="7">
        <f t="shared" si="57"/>
        <v>11</v>
      </c>
      <c r="AB36" s="56">
        <f t="shared" si="44"/>
        <v>880.62274687550791</v>
      </c>
      <c r="AC36" s="50">
        <f t="shared" si="45"/>
        <v>9686.8502156305876</v>
      </c>
      <c r="AD36" s="4"/>
      <c r="AG36" s="146"/>
      <c r="AH36" s="221">
        <f t="shared" si="47"/>
        <v>11</v>
      </c>
      <c r="AI36" s="222">
        <f t="shared" si="48"/>
        <v>880.62274687550791</v>
      </c>
      <c r="AJ36" s="222">
        <f t="shared" si="49"/>
        <v>9686.8502156305876</v>
      </c>
      <c r="AK36" s="238">
        <f t="shared" si="50"/>
        <v>1.4530438400356258</v>
      </c>
      <c r="AL36" s="239">
        <f t="shared" si="51"/>
        <v>3.1E-2</v>
      </c>
    </row>
    <row r="37" spans="1:38">
      <c r="A37" s="92"/>
      <c r="B37" s="93"/>
      <c r="C37" s="54">
        <f t="shared" si="52"/>
        <v>77038</v>
      </c>
      <c r="D37" s="54">
        <f t="shared" si="46"/>
        <v>3853.998</v>
      </c>
      <c r="E37" s="54">
        <f t="shared" si="46"/>
        <v>69457</v>
      </c>
      <c r="F37" s="54">
        <f t="shared" si="46"/>
        <v>84619</v>
      </c>
      <c r="G37" s="24">
        <f t="shared" si="46"/>
        <v>0.05</v>
      </c>
      <c r="H37" s="22">
        <f t="shared" si="53"/>
        <v>1.5096743200400788</v>
      </c>
      <c r="I37" s="21">
        <f t="shared" si="54"/>
        <v>622572</v>
      </c>
      <c r="J37" s="21">
        <f t="shared" si="54"/>
        <v>10686</v>
      </c>
      <c r="K37" s="314"/>
      <c r="L37" s="11">
        <f t="shared" si="54"/>
        <v>3.1E-2</v>
      </c>
      <c r="M37" s="47">
        <f t="shared" si="22"/>
        <v>0.12374151102201833</v>
      </c>
      <c r="N37" s="47">
        <f t="shared" si="23"/>
        <v>0.87625848897798164</v>
      </c>
      <c r="O37" s="47">
        <f t="shared" si="24"/>
        <v>0.10842954947200605</v>
      </c>
      <c r="P37" s="48">
        <f t="shared" si="25"/>
        <v>63446853618.652641</v>
      </c>
      <c r="Q37" s="3">
        <f t="shared" si="26"/>
        <v>5703394.1596839996</v>
      </c>
      <c r="R37" s="49">
        <f t="shared" si="27"/>
        <v>11124.402740239149</v>
      </c>
      <c r="S37" s="49">
        <f t="shared" si="28"/>
        <v>10929.116265845561</v>
      </c>
      <c r="T37" s="10">
        <f t="shared" si="55"/>
        <v>0.57008199999999998</v>
      </c>
      <c r="U37" s="10">
        <f t="shared" si="55"/>
        <v>0.76076500000000002</v>
      </c>
      <c r="V37" s="55">
        <f t="shared" si="55"/>
        <v>3.06229</v>
      </c>
      <c r="W37" s="50">
        <f t="shared" si="29"/>
        <v>8229.072284490152</v>
      </c>
      <c r="X37" s="7">
        <v>10</v>
      </c>
      <c r="Y37" s="10">
        <f t="shared" si="56"/>
        <v>8.3532790808999516E-2</v>
      </c>
      <c r="Z37" s="10">
        <f t="shared" si="56"/>
        <v>0.91642726560459631</v>
      </c>
      <c r="AA37" s="7">
        <f t="shared" si="57"/>
        <v>12</v>
      </c>
      <c r="AB37" s="56">
        <f t="shared" si="44"/>
        <v>822.90722844901518</v>
      </c>
      <c r="AC37" s="50">
        <f t="shared" si="45"/>
        <v>9874.8867413881817</v>
      </c>
      <c r="AD37" s="4"/>
      <c r="AG37" s="146"/>
      <c r="AH37" s="221">
        <f t="shared" si="47"/>
        <v>12</v>
      </c>
      <c r="AI37" s="222">
        <f t="shared" si="48"/>
        <v>822.90722844901518</v>
      </c>
      <c r="AJ37" s="222">
        <f t="shared" si="49"/>
        <v>9874.8867413881817</v>
      </c>
      <c r="AK37" s="238">
        <f t="shared" si="50"/>
        <v>1.5096743200400788</v>
      </c>
      <c r="AL37" s="239">
        <f t="shared" si="51"/>
        <v>3.1E-2</v>
      </c>
    </row>
    <row r="38" spans="1:38">
      <c r="A38" s="92"/>
      <c r="B38" s="93"/>
      <c r="C38" s="54">
        <f t="shared" si="52"/>
        <v>77038</v>
      </c>
      <c r="D38" s="54">
        <f t="shared" si="46"/>
        <v>3853.998</v>
      </c>
      <c r="E38" s="54">
        <f t="shared" si="46"/>
        <v>69457</v>
      </c>
      <c r="F38" s="54">
        <f t="shared" si="46"/>
        <v>84619</v>
      </c>
      <c r="G38" s="24">
        <f t="shared" si="46"/>
        <v>0.05</v>
      </c>
      <c r="H38" s="22">
        <f t="shared" si="53"/>
        <v>1.5663048000445321</v>
      </c>
      <c r="I38" s="21">
        <f t="shared" si="54"/>
        <v>622572</v>
      </c>
      <c r="J38" s="21">
        <f t="shared" si="54"/>
        <v>10686</v>
      </c>
      <c r="K38" s="314"/>
      <c r="L38" s="11">
        <f t="shared" si="54"/>
        <v>3.1E-2</v>
      </c>
      <c r="M38" s="47">
        <f t="shared" si="22"/>
        <v>0.12374151102201833</v>
      </c>
      <c r="N38" s="47">
        <f t="shared" si="23"/>
        <v>0.87625848897798164</v>
      </c>
      <c r="O38" s="47">
        <f t="shared" si="24"/>
        <v>0.10842954947200605</v>
      </c>
      <c r="P38" s="48">
        <f t="shared" si="25"/>
        <v>65826854210.502945</v>
      </c>
      <c r="Q38" s="3">
        <f t="shared" si="26"/>
        <v>5703394.1596839996</v>
      </c>
      <c r="R38" s="49">
        <f t="shared" si="27"/>
        <v>11541.698218197518</v>
      </c>
      <c r="S38" s="49">
        <f t="shared" si="28"/>
        <v>11331.624223369377</v>
      </c>
      <c r="T38" s="10">
        <f t="shared" si="55"/>
        <v>0.57008199999999998</v>
      </c>
      <c r="U38" s="10">
        <f t="shared" si="55"/>
        <v>0.76076500000000002</v>
      </c>
      <c r="V38" s="55">
        <f t="shared" si="55"/>
        <v>3.06229</v>
      </c>
      <c r="W38" s="50">
        <f t="shared" si="29"/>
        <v>8532.1404372096094</v>
      </c>
      <c r="X38" s="7">
        <v>11</v>
      </c>
      <c r="Y38" s="10">
        <f t="shared" si="56"/>
        <v>8.3532790808999516E-2</v>
      </c>
      <c r="Z38" s="10">
        <f t="shared" si="56"/>
        <v>0.91642726560459631</v>
      </c>
      <c r="AA38" s="7">
        <f t="shared" si="57"/>
        <v>14</v>
      </c>
      <c r="AB38" s="56">
        <f t="shared" si="44"/>
        <v>775.64913065541907</v>
      </c>
      <c r="AC38" s="50">
        <f t="shared" si="45"/>
        <v>10859.087829175867</v>
      </c>
      <c r="AD38" s="4"/>
      <c r="AG38" s="146"/>
      <c r="AH38" s="221">
        <f t="shared" si="47"/>
        <v>14</v>
      </c>
      <c r="AI38" s="222">
        <f t="shared" si="48"/>
        <v>775.64913065541907</v>
      </c>
      <c r="AJ38" s="222">
        <f t="shared" si="49"/>
        <v>10859.087829175867</v>
      </c>
      <c r="AK38" s="238">
        <f t="shared" si="50"/>
        <v>1.5663048000445321</v>
      </c>
      <c r="AL38" s="239">
        <f t="shared" si="51"/>
        <v>3.1E-2</v>
      </c>
    </row>
    <row r="39" spans="1:38">
      <c r="A39" s="92"/>
      <c r="B39" s="93"/>
      <c r="C39" s="54">
        <f t="shared" si="52"/>
        <v>77038</v>
      </c>
      <c r="D39" s="54">
        <f t="shared" si="46"/>
        <v>3853.998</v>
      </c>
      <c r="E39" s="54">
        <f t="shared" si="46"/>
        <v>69457</v>
      </c>
      <c r="F39" s="54">
        <f t="shared" si="46"/>
        <v>84619</v>
      </c>
      <c r="G39" s="24">
        <f t="shared" si="46"/>
        <v>0.05</v>
      </c>
      <c r="H39" s="22">
        <f t="shared" si="53"/>
        <v>1.6229352800489854</v>
      </c>
      <c r="I39" s="21">
        <f t="shared" si="54"/>
        <v>622572</v>
      </c>
      <c r="J39" s="21">
        <f t="shared" si="54"/>
        <v>10686</v>
      </c>
      <c r="K39" s="314"/>
      <c r="L39" s="11">
        <f t="shared" si="54"/>
        <v>3.1E-2</v>
      </c>
      <c r="M39" s="47">
        <f t="shared" si="22"/>
        <v>0.12374151102201833</v>
      </c>
      <c r="N39" s="47">
        <f t="shared" si="23"/>
        <v>0.87625848897798164</v>
      </c>
      <c r="O39" s="47">
        <f t="shared" si="24"/>
        <v>0.10842954947200605</v>
      </c>
      <c r="P39" s="48">
        <f t="shared" si="25"/>
        <v>68206854802.353241</v>
      </c>
      <c r="Q39" s="3">
        <f t="shared" si="26"/>
        <v>5703394.1596839996</v>
      </c>
      <c r="R39" s="49">
        <f t="shared" si="27"/>
        <v>11958.993696155885</v>
      </c>
      <c r="S39" s="49">
        <f t="shared" si="28"/>
        <v>11733.602767035754</v>
      </c>
      <c r="T39" s="10">
        <f t="shared" si="55"/>
        <v>0.57008199999999998</v>
      </c>
      <c r="U39" s="10">
        <f t="shared" si="55"/>
        <v>0.76076500000000002</v>
      </c>
      <c r="V39" s="55">
        <f t="shared" si="55"/>
        <v>3.06229</v>
      </c>
      <c r="W39" s="50">
        <f t="shared" si="29"/>
        <v>8834.8099680464438</v>
      </c>
      <c r="X39" s="7">
        <v>12</v>
      </c>
      <c r="Y39" s="10">
        <f t="shared" si="56"/>
        <v>8.3532790808999516E-2</v>
      </c>
      <c r="Z39" s="10">
        <f t="shared" si="56"/>
        <v>0.91642726560459631</v>
      </c>
      <c r="AA39" s="7">
        <f t="shared" si="57"/>
        <v>15</v>
      </c>
      <c r="AB39" s="56">
        <f t="shared" si="44"/>
        <v>736.23416400387032</v>
      </c>
      <c r="AC39" s="50">
        <f t="shared" si="45"/>
        <v>11043.512460058055</v>
      </c>
      <c r="AD39" s="4"/>
      <c r="AG39" s="146"/>
      <c r="AH39" s="221">
        <f t="shared" si="47"/>
        <v>15</v>
      </c>
      <c r="AI39" s="222">
        <f t="shared" si="48"/>
        <v>736.23416400387032</v>
      </c>
      <c r="AJ39" s="222">
        <f t="shared" si="49"/>
        <v>11043.512460058055</v>
      </c>
      <c r="AK39" s="238">
        <f t="shared" si="50"/>
        <v>1.6229352800489854</v>
      </c>
      <c r="AL39" s="239">
        <f t="shared" si="51"/>
        <v>3.1E-2</v>
      </c>
    </row>
    <row r="40" spans="1:38">
      <c r="A40" s="92"/>
      <c r="B40" s="93"/>
      <c r="C40" s="54">
        <f t="shared" si="52"/>
        <v>77038</v>
      </c>
      <c r="D40" s="54">
        <f t="shared" si="46"/>
        <v>3853.998</v>
      </c>
      <c r="E40" s="54">
        <f t="shared" si="46"/>
        <v>69457</v>
      </c>
      <c r="F40" s="54">
        <f t="shared" si="46"/>
        <v>84619</v>
      </c>
      <c r="G40" s="24">
        <f t="shared" si="46"/>
        <v>0.05</v>
      </c>
      <c r="H40" s="22">
        <f t="shared" si="53"/>
        <v>1.6795657600534386</v>
      </c>
      <c r="I40" s="21">
        <f t="shared" si="54"/>
        <v>622572</v>
      </c>
      <c r="J40" s="21">
        <f t="shared" si="54"/>
        <v>10686</v>
      </c>
      <c r="K40" s="314"/>
      <c r="L40" s="11">
        <f t="shared" si="54"/>
        <v>3.1E-2</v>
      </c>
      <c r="M40" s="47">
        <f t="shared" si="22"/>
        <v>0.12374151102201833</v>
      </c>
      <c r="N40" s="47">
        <f t="shared" si="23"/>
        <v>0.87625848897798164</v>
      </c>
      <c r="O40" s="47">
        <f t="shared" si="24"/>
        <v>0.10842954947200605</v>
      </c>
      <c r="P40" s="48">
        <f t="shared" si="25"/>
        <v>70586855394.203522</v>
      </c>
      <c r="Q40" s="3">
        <f t="shared" si="26"/>
        <v>5703394.1596839996</v>
      </c>
      <c r="R40" s="49">
        <f t="shared" si="27"/>
        <v>12376.28917411425</v>
      </c>
      <c r="S40" s="49">
        <f t="shared" si="28"/>
        <v>12135.052940655725</v>
      </c>
      <c r="T40" s="10">
        <f t="shared" si="55"/>
        <v>0.57008199999999998</v>
      </c>
      <c r="U40" s="10">
        <f t="shared" si="55"/>
        <v>0.76076500000000002</v>
      </c>
      <c r="V40" s="55">
        <f t="shared" si="55"/>
        <v>3.06229</v>
      </c>
      <c r="W40" s="50">
        <f t="shared" si="29"/>
        <v>9137.0816629376204</v>
      </c>
      <c r="X40" s="7">
        <v>13</v>
      </c>
      <c r="Y40" s="10">
        <f t="shared" si="56"/>
        <v>8.3532790808999516E-2</v>
      </c>
      <c r="Z40" s="10">
        <f t="shared" si="56"/>
        <v>0.91642726560459631</v>
      </c>
      <c r="AA40" s="7">
        <f t="shared" si="57"/>
        <v>16</v>
      </c>
      <c r="AB40" s="56">
        <f t="shared" si="44"/>
        <v>702.85243561058621</v>
      </c>
      <c r="AC40" s="50">
        <f t="shared" si="45"/>
        <v>11245.638969769379</v>
      </c>
      <c r="AD40" s="4"/>
      <c r="AG40" s="146"/>
      <c r="AH40" s="221">
        <f t="shared" si="47"/>
        <v>16</v>
      </c>
      <c r="AI40" s="222">
        <f t="shared" si="48"/>
        <v>702.85243561058621</v>
      </c>
      <c r="AJ40" s="222">
        <f t="shared" si="49"/>
        <v>11245.638969769379</v>
      </c>
      <c r="AK40" s="238">
        <f t="shared" si="50"/>
        <v>1.6795657600534386</v>
      </c>
      <c r="AL40" s="239">
        <f t="shared" si="51"/>
        <v>3.1E-2</v>
      </c>
    </row>
    <row r="41" spans="1:38">
      <c r="A41" s="92"/>
      <c r="B41" s="93"/>
      <c r="C41" s="54">
        <f t="shared" si="52"/>
        <v>77038</v>
      </c>
      <c r="D41" s="54">
        <f t="shared" si="46"/>
        <v>3853.998</v>
      </c>
      <c r="E41" s="54">
        <f t="shared" si="46"/>
        <v>69457</v>
      </c>
      <c r="F41" s="54">
        <f t="shared" si="46"/>
        <v>84619</v>
      </c>
      <c r="G41" s="24">
        <f t="shared" si="46"/>
        <v>0.05</v>
      </c>
      <c r="H41" s="22">
        <f t="shared" si="53"/>
        <v>1.7361962400578919</v>
      </c>
      <c r="I41" s="21">
        <f t="shared" si="54"/>
        <v>622572</v>
      </c>
      <c r="J41" s="21">
        <f t="shared" si="54"/>
        <v>10686</v>
      </c>
      <c r="K41" s="314"/>
      <c r="L41" s="11">
        <f t="shared" si="54"/>
        <v>3.1E-2</v>
      </c>
      <c r="M41" s="47">
        <f t="shared" si="22"/>
        <v>0.12374151102201833</v>
      </c>
      <c r="N41" s="47">
        <f t="shared" si="23"/>
        <v>0.87625848897798164</v>
      </c>
      <c r="O41" s="47">
        <f t="shared" si="24"/>
        <v>0.10842954947200605</v>
      </c>
      <c r="P41" s="48">
        <f t="shared" si="25"/>
        <v>72966855986.053833</v>
      </c>
      <c r="Q41" s="3">
        <f t="shared" si="26"/>
        <v>5703394.1596839996</v>
      </c>
      <c r="R41" s="49">
        <f t="shared" si="27"/>
        <v>12793.584652072619</v>
      </c>
      <c r="S41" s="49">
        <f t="shared" si="28"/>
        <v>12535.975785298104</v>
      </c>
      <c r="T41" s="10">
        <f t="shared" si="55"/>
        <v>0.57008199999999998</v>
      </c>
      <c r="U41" s="10">
        <f t="shared" si="55"/>
        <v>0.76076500000000002</v>
      </c>
      <c r="V41" s="55">
        <f t="shared" si="55"/>
        <v>3.06229</v>
      </c>
      <c r="W41" s="50">
        <f t="shared" si="29"/>
        <v>9438.9563057553478</v>
      </c>
      <c r="X41" s="7">
        <v>14</v>
      </c>
      <c r="Y41" s="10">
        <f t="shared" si="56"/>
        <v>8.3532790808999516E-2</v>
      </c>
      <c r="Z41" s="10">
        <f t="shared" si="56"/>
        <v>0.91642726560459631</v>
      </c>
      <c r="AA41" s="7">
        <f t="shared" si="57"/>
        <v>17</v>
      </c>
      <c r="AB41" s="56">
        <f t="shared" si="44"/>
        <v>674.21116469681056</v>
      </c>
      <c r="AC41" s="50">
        <f t="shared" si="45"/>
        <v>11461.58979984578</v>
      </c>
      <c r="AD41" s="4"/>
      <c r="AG41" s="146"/>
      <c r="AH41" s="221">
        <f t="shared" si="47"/>
        <v>17</v>
      </c>
      <c r="AI41" s="222">
        <f t="shared" si="48"/>
        <v>674.21116469681056</v>
      </c>
      <c r="AJ41" s="222">
        <f t="shared" si="49"/>
        <v>11461.58979984578</v>
      </c>
      <c r="AK41" s="238">
        <f t="shared" si="50"/>
        <v>1.7361962400578919</v>
      </c>
      <c r="AL41" s="239">
        <f t="shared" si="51"/>
        <v>3.1E-2</v>
      </c>
    </row>
    <row r="42" spans="1:38">
      <c r="A42" s="92"/>
      <c r="B42" s="93"/>
      <c r="C42" s="54">
        <f t="shared" si="52"/>
        <v>77038</v>
      </c>
      <c r="D42" s="54">
        <f t="shared" si="46"/>
        <v>3853.998</v>
      </c>
      <c r="E42" s="54">
        <f t="shared" si="46"/>
        <v>69457</v>
      </c>
      <c r="F42" s="54">
        <f t="shared" si="46"/>
        <v>84619</v>
      </c>
      <c r="G42" s="24">
        <f t="shared" si="46"/>
        <v>0.05</v>
      </c>
      <c r="H42" s="22">
        <f t="shared" si="53"/>
        <v>1.7928267200623451</v>
      </c>
      <c r="I42" s="21">
        <f t="shared" si="54"/>
        <v>622572</v>
      </c>
      <c r="J42" s="21">
        <f t="shared" si="54"/>
        <v>10686</v>
      </c>
      <c r="K42" s="314"/>
      <c r="L42" s="11">
        <f t="shared" si="54"/>
        <v>3.1E-2</v>
      </c>
      <c r="M42" s="47">
        <f t="shared" si="22"/>
        <v>0.12374151102201833</v>
      </c>
      <c r="N42" s="47">
        <f t="shared" si="23"/>
        <v>0.87625848897798164</v>
      </c>
      <c r="O42" s="47">
        <f t="shared" si="24"/>
        <v>0.10842954947200605</v>
      </c>
      <c r="P42" s="48">
        <f t="shared" si="25"/>
        <v>75346856577.904129</v>
      </c>
      <c r="Q42" s="3">
        <f t="shared" si="26"/>
        <v>5703394.1596839996</v>
      </c>
      <c r="R42" s="49">
        <f t="shared" si="27"/>
        <v>13210.880130030988</v>
      </c>
      <c r="S42" s="49">
        <f t="shared" si="28"/>
        <v>12936.372339298478</v>
      </c>
      <c r="T42" s="10">
        <f t="shared" si="55"/>
        <v>0.57008199999999998</v>
      </c>
      <c r="U42" s="10">
        <f t="shared" si="55"/>
        <v>0.76076500000000002</v>
      </c>
      <c r="V42" s="55">
        <f t="shared" si="55"/>
        <v>3.06229</v>
      </c>
      <c r="W42" s="50">
        <f t="shared" si="29"/>
        <v>9740.4346783138553</v>
      </c>
      <c r="X42" s="7">
        <v>15</v>
      </c>
      <c r="Y42" s="66">
        <f t="shared" si="56"/>
        <v>8.3532790808999516E-2</v>
      </c>
      <c r="Z42" s="66">
        <f t="shared" si="56"/>
        <v>0.91642726560459631</v>
      </c>
      <c r="AA42" s="7">
        <f t="shared" si="57"/>
        <v>18</v>
      </c>
      <c r="AB42" s="56">
        <f t="shared" si="44"/>
        <v>649.36231188759041</v>
      </c>
      <c r="AC42" s="68">
        <f t="shared" si="45"/>
        <v>11688.521613976627</v>
      </c>
      <c r="AD42" s="4"/>
      <c r="AG42" s="146"/>
      <c r="AH42" s="221">
        <f t="shared" si="47"/>
        <v>18</v>
      </c>
      <c r="AI42" s="222">
        <f t="shared" si="48"/>
        <v>649.36231188759041</v>
      </c>
      <c r="AJ42" s="222">
        <f t="shared" si="49"/>
        <v>11688.521613976627</v>
      </c>
      <c r="AK42" s="238">
        <f t="shared" si="50"/>
        <v>1.7928267200623451</v>
      </c>
      <c r="AL42" s="239">
        <f t="shared" si="51"/>
        <v>3.1E-2</v>
      </c>
    </row>
    <row r="43" spans="1:38">
      <c r="A43" s="69"/>
      <c r="B43" s="70"/>
      <c r="C43" s="71"/>
      <c r="D43" s="71"/>
      <c r="E43" s="71"/>
      <c r="F43" s="71"/>
      <c r="G43" s="72"/>
      <c r="H43" s="73"/>
      <c r="I43" s="74"/>
      <c r="J43" s="74"/>
      <c r="K43" s="316"/>
      <c r="L43" s="75"/>
      <c r="M43" s="76"/>
      <c r="N43" s="76"/>
      <c r="O43" s="76"/>
      <c r="P43" s="77"/>
      <c r="Q43" s="78"/>
      <c r="R43" s="79"/>
      <c r="S43" s="79"/>
      <c r="T43" s="80"/>
      <c r="U43" s="80"/>
      <c r="V43" s="81"/>
      <c r="W43" s="79"/>
      <c r="X43" s="79"/>
      <c r="Y43" s="80"/>
      <c r="Z43" s="80"/>
      <c r="AA43" s="80"/>
      <c r="AB43" s="79"/>
      <c r="AC43" s="80"/>
      <c r="AD43" s="99"/>
      <c r="AH43" s="224"/>
      <c r="AI43" s="225"/>
      <c r="AJ43" s="224"/>
      <c r="AK43" s="226"/>
      <c r="AL43" s="227"/>
    </row>
    <row r="44" spans="1:38">
      <c r="A44" s="104"/>
      <c r="B44" s="105"/>
      <c r="C44" s="106"/>
      <c r="D44" s="106"/>
      <c r="E44" s="106"/>
      <c r="F44" s="106"/>
      <c r="G44" s="320" t="s">
        <v>67</v>
      </c>
      <c r="H44" s="320"/>
      <c r="I44" s="320"/>
      <c r="J44" s="320"/>
      <c r="K44" s="321"/>
      <c r="L44" s="320"/>
      <c r="M44" s="107"/>
      <c r="N44" s="107"/>
      <c r="O44" s="107"/>
      <c r="P44" s="108"/>
      <c r="Q44" s="109"/>
      <c r="R44" s="110"/>
      <c r="S44" s="110"/>
      <c r="T44" s="111"/>
      <c r="U44" s="111"/>
      <c r="V44" s="112"/>
      <c r="W44" s="110"/>
      <c r="X44" s="322" t="s">
        <v>69</v>
      </c>
      <c r="Y44" s="322"/>
      <c r="Z44" s="322"/>
      <c r="AA44" s="322"/>
      <c r="AB44" s="322"/>
      <c r="AC44" s="322"/>
      <c r="AD44" s="323"/>
      <c r="AH44" s="319" t="s">
        <v>62</v>
      </c>
      <c r="AI44" s="319"/>
      <c r="AJ44" s="319"/>
      <c r="AK44" s="319"/>
      <c r="AL44" s="319"/>
    </row>
    <row r="45" spans="1:38" ht="39" customHeight="1">
      <c r="A45" s="103" t="s">
        <v>47</v>
      </c>
      <c r="B45" s="93" t="s">
        <v>62</v>
      </c>
      <c r="C45" s="16">
        <v>191207</v>
      </c>
      <c r="D45" s="44">
        <v>14948.573</v>
      </c>
      <c r="E45" s="44">
        <v>161678</v>
      </c>
      <c r="F45" s="44">
        <v>220736</v>
      </c>
      <c r="G45" s="45">
        <v>7.8E-2</v>
      </c>
      <c r="H45" s="45">
        <v>1.788</v>
      </c>
      <c r="I45" s="44">
        <v>1643721</v>
      </c>
      <c r="J45" s="44">
        <v>4626</v>
      </c>
      <c r="K45" s="313">
        <v>5975</v>
      </c>
      <c r="L45" s="46">
        <v>4.5999999999999999E-2</v>
      </c>
      <c r="M45" s="47">
        <f>C45/I45</f>
        <v>0.11632570247627183</v>
      </c>
      <c r="N45" s="47">
        <f t="shared" ref="N45:N56" si="58">1-M45</f>
        <v>0.88367429752372817</v>
      </c>
      <c r="O45" s="47">
        <f>M45*N45</f>
        <v>0.10279403341967372</v>
      </c>
      <c r="P45" s="48">
        <f t="shared" ref="P45:P56" si="59">(I45^2)*(O45*H45)</f>
        <v>496582749783.62402</v>
      </c>
      <c r="Q45" s="3">
        <f t="shared" ref="Q45:Q56" si="60">(L45^2)*(C45^2)</f>
        <v>77361207.252483994</v>
      </c>
      <c r="R45" s="49">
        <f>P45/Q45</f>
        <v>6419.0150001527963</v>
      </c>
      <c r="S45" s="49">
        <f t="shared" ref="S45:S56" si="61">R45/(1+(R45/I45))</f>
        <v>6394.045147172058</v>
      </c>
      <c r="T45" s="15">
        <v>0.63487700000000002</v>
      </c>
      <c r="U45" s="15">
        <v>0.80447400000000002</v>
      </c>
      <c r="V45" s="15">
        <v>3.0495999999999999</v>
      </c>
      <c r="W45" s="50">
        <f>S45/(T45*U45*V45)</f>
        <v>4105.1706279410801</v>
      </c>
      <c r="X45" s="15">
        <v>9.9303930000000005</v>
      </c>
      <c r="Y45" s="15">
        <v>7.0047046523784628E-2</v>
      </c>
      <c r="Z45" s="15">
        <v>0.86059584035975267</v>
      </c>
      <c r="AA45" s="15">
        <f>X45/((1-Y45)*Z45)</f>
        <v>12.408126589810582</v>
      </c>
      <c r="AB45" s="51">
        <f>W45/X45</f>
        <v>413.39457843622904</v>
      </c>
      <c r="AC45" s="144">
        <f>AA45*AB45</f>
        <v>5129.45226077811</v>
      </c>
      <c r="AD45" s="98">
        <f>(H45-1)/(X45-1)</f>
        <v>8.823799803659256E-2</v>
      </c>
      <c r="AE45" s="165"/>
      <c r="AF45" s="165"/>
      <c r="AH45" s="221">
        <f>+AA45</f>
        <v>12.408126589810582</v>
      </c>
      <c r="AI45" s="222">
        <f>+AB45</f>
        <v>413.39457843622904</v>
      </c>
      <c r="AJ45" s="222">
        <f>+AC45</f>
        <v>5129.45226077811</v>
      </c>
      <c r="AK45" s="238">
        <f>+H45</f>
        <v>1.788</v>
      </c>
      <c r="AL45" s="239">
        <f>+L45</f>
        <v>4.5999999999999999E-2</v>
      </c>
    </row>
    <row r="46" spans="1:38">
      <c r="A46" s="92"/>
      <c r="B46" s="93"/>
      <c r="C46" s="54">
        <f>C45</f>
        <v>191207</v>
      </c>
      <c r="D46" s="54">
        <f t="shared" ref="D46:G46" si="62">D45</f>
        <v>14948.573</v>
      </c>
      <c r="E46" s="54">
        <f t="shared" si="62"/>
        <v>161678</v>
      </c>
      <c r="F46" s="54">
        <f t="shared" si="62"/>
        <v>220736</v>
      </c>
      <c r="G46" s="24">
        <f t="shared" si="62"/>
        <v>7.8E-2</v>
      </c>
      <c r="H46" s="22">
        <f>1+(X46-1)*$AD$31</f>
        <v>1.2265219200178128</v>
      </c>
      <c r="I46" s="21">
        <f>I45</f>
        <v>1643721</v>
      </c>
      <c r="J46" s="21">
        <f>J45</f>
        <v>4626</v>
      </c>
      <c r="K46" s="314"/>
      <c r="L46" s="11">
        <f>L45</f>
        <v>4.5999999999999999E-2</v>
      </c>
      <c r="M46" s="47">
        <f t="shared" ref="M46:M56" si="63">C46/I46</f>
        <v>0.11632570247627183</v>
      </c>
      <c r="N46" s="47">
        <f t="shared" si="58"/>
        <v>0.88367429752372817</v>
      </c>
      <c r="O46" s="47">
        <f t="shared" ref="O46:O56" si="64">M46*N46</f>
        <v>0.10279403341967372</v>
      </c>
      <c r="P46" s="48">
        <f t="shared" si="59"/>
        <v>340642968519.20337</v>
      </c>
      <c r="Q46" s="3">
        <f t="shared" si="60"/>
        <v>77361207.252483994</v>
      </c>
      <c r="R46" s="49">
        <f t="shared" ref="R46:R56" si="65">P46/Q46</f>
        <v>4403.2788605204405</v>
      </c>
      <c r="S46" s="49">
        <f t="shared" si="61"/>
        <v>4391.5146598638539</v>
      </c>
      <c r="T46" s="10">
        <f>T45</f>
        <v>0.63487700000000002</v>
      </c>
      <c r="U46" s="10">
        <f>U45</f>
        <v>0.80447400000000002</v>
      </c>
      <c r="V46" s="55">
        <f>V45</f>
        <v>3.0495999999999999</v>
      </c>
      <c r="W46" s="50">
        <f t="shared" ref="W46:W56" si="66">S46/(T46*U46*V46)</f>
        <v>2819.4854085162501</v>
      </c>
      <c r="X46" s="7">
        <v>5</v>
      </c>
      <c r="Y46" s="10">
        <f>Y45</f>
        <v>7.0047046523784628E-2</v>
      </c>
      <c r="Z46" s="10">
        <f>Z45</f>
        <v>0.86059584035975267</v>
      </c>
      <c r="AA46" s="7">
        <f>ROUNDUP(X46/((1-Y46)*Z46),0)</f>
        <v>7</v>
      </c>
      <c r="AB46" s="56">
        <f t="shared" ref="AB46:AB56" si="67">W46/X46</f>
        <v>563.89708170325002</v>
      </c>
      <c r="AC46" s="50">
        <f t="shared" ref="AC46:AC56" si="68">AA46*AB46</f>
        <v>3947.2795719227502</v>
      </c>
      <c r="AD46" s="8"/>
      <c r="AE46" s="165"/>
      <c r="AF46" s="165"/>
      <c r="AH46" s="221">
        <f t="shared" ref="AH46:AH56" si="69">+AA46</f>
        <v>7</v>
      </c>
      <c r="AI46" s="222">
        <f t="shared" ref="AI46:AI56" si="70">+AB46</f>
        <v>563.89708170325002</v>
      </c>
      <c r="AJ46" s="222">
        <f t="shared" ref="AJ46:AJ56" si="71">+AC46</f>
        <v>3947.2795719227502</v>
      </c>
      <c r="AK46" s="238">
        <f t="shared" ref="AK46:AK56" si="72">+H46</f>
        <v>1.2265219200178128</v>
      </c>
      <c r="AL46" s="239">
        <f t="shared" ref="AL46:AL56" si="73">+L46</f>
        <v>4.5999999999999999E-2</v>
      </c>
    </row>
    <row r="47" spans="1:38">
      <c r="A47" s="92"/>
      <c r="B47" s="93"/>
      <c r="C47" s="54">
        <f t="shared" ref="C47:G56" si="74">C46</f>
        <v>191207</v>
      </c>
      <c r="D47" s="54">
        <f t="shared" si="74"/>
        <v>14948.573</v>
      </c>
      <c r="E47" s="54">
        <f t="shared" si="74"/>
        <v>161678</v>
      </c>
      <c r="F47" s="54">
        <f t="shared" si="74"/>
        <v>220736</v>
      </c>
      <c r="G47" s="24">
        <f t="shared" si="74"/>
        <v>7.8E-2</v>
      </c>
      <c r="H47" s="22">
        <f t="shared" ref="H47:H56" si="75">1+(X47-1)*$AD$31</f>
        <v>1.283152400022266</v>
      </c>
      <c r="I47" s="21">
        <f>I46</f>
        <v>1643721</v>
      </c>
      <c r="J47" s="21">
        <f t="shared" ref="J47:L47" si="76">J46</f>
        <v>4626</v>
      </c>
      <c r="K47" s="314" t="s">
        <v>74</v>
      </c>
      <c r="L47" s="11">
        <f t="shared" si="76"/>
        <v>4.5999999999999999E-2</v>
      </c>
      <c r="M47" s="47">
        <f t="shared" si="63"/>
        <v>0.11632570247627183</v>
      </c>
      <c r="N47" s="47">
        <f t="shared" si="58"/>
        <v>0.88367429752372817</v>
      </c>
      <c r="O47" s="47">
        <f t="shared" si="64"/>
        <v>0.10279403341967372</v>
      </c>
      <c r="P47" s="48">
        <f t="shared" si="59"/>
        <v>356370999549.50421</v>
      </c>
      <c r="Q47" s="3">
        <f t="shared" si="60"/>
        <v>77361207.252483994</v>
      </c>
      <c r="R47" s="49">
        <f t="shared" si="65"/>
        <v>4606.5852926314237</v>
      </c>
      <c r="S47" s="49">
        <f t="shared" si="61"/>
        <v>4593.7112570042627</v>
      </c>
      <c r="T47" s="10">
        <f t="shared" ref="T47:V56" si="77">T46</f>
        <v>0.63487700000000002</v>
      </c>
      <c r="U47" s="10">
        <f t="shared" si="77"/>
        <v>0.80447400000000002</v>
      </c>
      <c r="V47" s="55">
        <f t="shared" si="77"/>
        <v>3.0495999999999999</v>
      </c>
      <c r="W47" s="50">
        <f t="shared" si="66"/>
        <v>2949.3017473979912</v>
      </c>
      <c r="X47" s="7">
        <v>6</v>
      </c>
      <c r="Y47" s="10">
        <f t="shared" ref="Y47:Z56" si="78">Y46</f>
        <v>7.0047046523784628E-2</v>
      </c>
      <c r="Z47" s="10">
        <f t="shared" si="78"/>
        <v>0.86059584035975267</v>
      </c>
      <c r="AA47" s="7">
        <f t="shared" ref="AA47:AA56" si="79">ROUNDUP(X47/((1-Y47)*Z47),0)</f>
        <v>8</v>
      </c>
      <c r="AB47" s="56">
        <f t="shared" si="67"/>
        <v>491.55029123299852</v>
      </c>
      <c r="AC47" s="50">
        <f t="shared" si="68"/>
        <v>3932.4023298639881</v>
      </c>
      <c r="AD47" s="8"/>
      <c r="AE47" s="166"/>
      <c r="AF47" s="166"/>
      <c r="AH47" s="221">
        <f t="shared" si="69"/>
        <v>8</v>
      </c>
      <c r="AI47" s="222">
        <f t="shared" si="70"/>
        <v>491.55029123299852</v>
      </c>
      <c r="AJ47" s="222">
        <f t="shared" si="71"/>
        <v>3932.4023298639881</v>
      </c>
      <c r="AK47" s="238">
        <f t="shared" si="72"/>
        <v>1.283152400022266</v>
      </c>
      <c r="AL47" s="239">
        <f t="shared" si="73"/>
        <v>4.5999999999999999E-2</v>
      </c>
    </row>
    <row r="48" spans="1:38">
      <c r="A48" s="92"/>
      <c r="B48" s="93"/>
      <c r="C48" s="54">
        <f t="shared" si="74"/>
        <v>191207</v>
      </c>
      <c r="D48" s="54">
        <f t="shared" si="74"/>
        <v>14948.573</v>
      </c>
      <c r="E48" s="54">
        <f t="shared" si="74"/>
        <v>161678</v>
      </c>
      <c r="F48" s="54">
        <f t="shared" si="74"/>
        <v>220736</v>
      </c>
      <c r="G48" s="24">
        <f t="shared" si="74"/>
        <v>7.8E-2</v>
      </c>
      <c r="H48" s="22">
        <f t="shared" si="75"/>
        <v>1.3397828800267193</v>
      </c>
      <c r="I48" s="21">
        <f t="shared" ref="I48:L56" si="80">I47</f>
        <v>1643721</v>
      </c>
      <c r="J48" s="21">
        <f t="shared" si="80"/>
        <v>4626</v>
      </c>
      <c r="K48" s="314">
        <v>4862</v>
      </c>
      <c r="L48" s="11">
        <f t="shared" si="80"/>
        <v>4.5999999999999999E-2</v>
      </c>
      <c r="M48" s="47">
        <f t="shared" si="63"/>
        <v>0.11632570247627183</v>
      </c>
      <c r="N48" s="47">
        <f t="shared" si="58"/>
        <v>0.88367429752372817</v>
      </c>
      <c r="O48" s="47">
        <f t="shared" si="64"/>
        <v>0.10279403341967372</v>
      </c>
      <c r="P48" s="48">
        <f t="shared" si="59"/>
        <v>372099030579.80505</v>
      </c>
      <c r="Q48" s="3">
        <f t="shared" si="60"/>
        <v>77361207.252483994</v>
      </c>
      <c r="R48" s="49">
        <f t="shared" si="65"/>
        <v>4809.891724742407</v>
      </c>
      <c r="S48" s="49">
        <f t="shared" si="61"/>
        <v>4795.8579820204004</v>
      </c>
      <c r="T48" s="10">
        <f t="shared" si="77"/>
        <v>0.63487700000000002</v>
      </c>
      <c r="U48" s="10">
        <f t="shared" si="77"/>
        <v>0.80447400000000002</v>
      </c>
      <c r="V48" s="55">
        <f t="shared" si="77"/>
        <v>3.0495999999999999</v>
      </c>
      <c r="W48" s="50">
        <f t="shared" si="66"/>
        <v>3079.086066865575</v>
      </c>
      <c r="X48" s="7">
        <v>7</v>
      </c>
      <c r="Y48" s="10">
        <f t="shared" si="78"/>
        <v>7.0047046523784628E-2</v>
      </c>
      <c r="Z48" s="10">
        <f t="shared" si="78"/>
        <v>0.86059584035975267</v>
      </c>
      <c r="AA48" s="7">
        <f t="shared" si="79"/>
        <v>9</v>
      </c>
      <c r="AB48" s="56">
        <f t="shared" si="67"/>
        <v>439.86943812365359</v>
      </c>
      <c r="AC48" s="50">
        <f t="shared" si="68"/>
        <v>3958.8249431128825</v>
      </c>
      <c r="AD48" s="8"/>
      <c r="AE48" s="165"/>
      <c r="AF48" s="165"/>
      <c r="AH48" s="221">
        <f t="shared" si="69"/>
        <v>9</v>
      </c>
      <c r="AI48" s="222">
        <f t="shared" si="70"/>
        <v>439.86943812365359</v>
      </c>
      <c r="AJ48" s="222">
        <f t="shared" si="71"/>
        <v>3958.8249431128825</v>
      </c>
      <c r="AK48" s="238">
        <f t="shared" si="72"/>
        <v>1.3397828800267193</v>
      </c>
      <c r="AL48" s="239">
        <f t="shared" si="73"/>
        <v>4.5999999999999999E-2</v>
      </c>
    </row>
    <row r="49" spans="1:38">
      <c r="A49" s="92"/>
      <c r="B49" s="93"/>
      <c r="C49" s="54">
        <f t="shared" si="74"/>
        <v>191207</v>
      </c>
      <c r="D49" s="54">
        <f t="shared" si="74"/>
        <v>14948.573</v>
      </c>
      <c r="E49" s="54">
        <f t="shared" si="74"/>
        <v>161678</v>
      </c>
      <c r="F49" s="54">
        <f t="shared" si="74"/>
        <v>220736</v>
      </c>
      <c r="G49" s="24">
        <f t="shared" si="74"/>
        <v>7.8E-2</v>
      </c>
      <c r="H49" s="22">
        <f t="shared" si="75"/>
        <v>1.3964133600311726</v>
      </c>
      <c r="I49" s="21">
        <f t="shared" si="80"/>
        <v>1643721</v>
      </c>
      <c r="J49" s="21">
        <f t="shared" si="80"/>
        <v>4626</v>
      </c>
      <c r="K49" s="314" t="s">
        <v>75</v>
      </c>
      <c r="L49" s="11">
        <f t="shared" si="80"/>
        <v>4.5999999999999999E-2</v>
      </c>
      <c r="M49" s="47">
        <f t="shared" si="63"/>
        <v>0.11632570247627183</v>
      </c>
      <c r="N49" s="47">
        <f t="shared" si="58"/>
        <v>0.88367429752372817</v>
      </c>
      <c r="O49" s="47">
        <f t="shared" si="64"/>
        <v>0.10279403341967372</v>
      </c>
      <c r="P49" s="48">
        <f t="shared" si="59"/>
        <v>387827061610.10602</v>
      </c>
      <c r="Q49" s="3">
        <f t="shared" si="60"/>
        <v>77361207.252483994</v>
      </c>
      <c r="R49" s="49">
        <f t="shared" si="65"/>
        <v>5013.198156853392</v>
      </c>
      <c r="S49" s="49">
        <f t="shared" si="61"/>
        <v>4997.9548533615534</v>
      </c>
      <c r="T49" s="10">
        <f t="shared" si="77"/>
        <v>0.63487700000000002</v>
      </c>
      <c r="U49" s="10">
        <f t="shared" si="77"/>
        <v>0.80447400000000002</v>
      </c>
      <c r="V49" s="55">
        <f t="shared" si="77"/>
        <v>3.0495999999999999</v>
      </c>
      <c r="W49" s="50">
        <f t="shared" si="66"/>
        <v>3208.8383787640014</v>
      </c>
      <c r="X49" s="7">
        <v>8</v>
      </c>
      <c r="Y49" s="10">
        <f t="shared" si="78"/>
        <v>7.0047046523784628E-2</v>
      </c>
      <c r="Z49" s="10">
        <f t="shared" si="78"/>
        <v>0.86059584035975267</v>
      </c>
      <c r="AA49" s="7">
        <f t="shared" si="79"/>
        <v>10</v>
      </c>
      <c r="AB49" s="56">
        <f t="shared" si="67"/>
        <v>401.10479734550017</v>
      </c>
      <c r="AC49" s="50">
        <f t="shared" si="68"/>
        <v>4011.0479734550017</v>
      </c>
      <c r="AD49" s="8"/>
      <c r="AE49" s="165"/>
      <c r="AF49" s="165"/>
      <c r="AH49" s="221">
        <f t="shared" si="69"/>
        <v>10</v>
      </c>
      <c r="AI49" s="222">
        <f t="shared" si="70"/>
        <v>401.10479734550017</v>
      </c>
      <c r="AJ49" s="222">
        <f t="shared" si="71"/>
        <v>4011.0479734550017</v>
      </c>
      <c r="AK49" s="238">
        <f t="shared" si="72"/>
        <v>1.3964133600311726</v>
      </c>
      <c r="AL49" s="239">
        <f t="shared" si="73"/>
        <v>4.5999999999999999E-2</v>
      </c>
    </row>
    <row r="50" spans="1:38">
      <c r="A50" s="92"/>
      <c r="B50" s="93"/>
      <c r="C50" s="54">
        <f t="shared" si="74"/>
        <v>191207</v>
      </c>
      <c r="D50" s="54">
        <f t="shared" si="74"/>
        <v>14948.573</v>
      </c>
      <c r="E50" s="54">
        <f t="shared" si="74"/>
        <v>161678</v>
      </c>
      <c r="F50" s="54">
        <f t="shared" si="74"/>
        <v>220736</v>
      </c>
      <c r="G50" s="24">
        <f t="shared" si="74"/>
        <v>7.8E-2</v>
      </c>
      <c r="H50" s="22">
        <f t="shared" si="75"/>
        <v>1.4530438400356258</v>
      </c>
      <c r="I50" s="21">
        <f t="shared" si="80"/>
        <v>1643721</v>
      </c>
      <c r="J50" s="21">
        <f t="shared" si="80"/>
        <v>4626</v>
      </c>
      <c r="K50" s="314">
        <v>1113</v>
      </c>
      <c r="L50" s="11">
        <f t="shared" si="80"/>
        <v>4.5999999999999999E-2</v>
      </c>
      <c r="M50" s="47">
        <f t="shared" si="63"/>
        <v>0.11632570247627183</v>
      </c>
      <c r="N50" s="47">
        <f t="shared" si="58"/>
        <v>0.88367429752372817</v>
      </c>
      <c r="O50" s="47">
        <f t="shared" si="64"/>
        <v>0.10279403341967372</v>
      </c>
      <c r="P50" s="48">
        <f t="shared" si="59"/>
        <v>403555092640.40686</v>
      </c>
      <c r="Q50" s="3">
        <f t="shared" si="60"/>
        <v>77361207.252483994</v>
      </c>
      <c r="R50" s="49">
        <f t="shared" si="65"/>
        <v>5216.5045889643752</v>
      </c>
      <c r="S50" s="49">
        <f t="shared" si="61"/>
        <v>5200.0018894679079</v>
      </c>
      <c r="T50" s="10">
        <f t="shared" si="77"/>
        <v>0.63487700000000002</v>
      </c>
      <c r="U50" s="10">
        <f t="shared" si="77"/>
        <v>0.80447400000000002</v>
      </c>
      <c r="V50" s="55">
        <f t="shared" si="77"/>
        <v>3.0495999999999999</v>
      </c>
      <c r="W50" s="50">
        <f t="shared" si="66"/>
        <v>3338.5586949324284</v>
      </c>
      <c r="X50" s="7">
        <v>9</v>
      </c>
      <c r="Y50" s="10">
        <f t="shared" si="78"/>
        <v>7.0047046523784628E-2</v>
      </c>
      <c r="Z50" s="10">
        <f t="shared" si="78"/>
        <v>0.86059584035975267</v>
      </c>
      <c r="AA50" s="7">
        <f t="shared" si="79"/>
        <v>12</v>
      </c>
      <c r="AB50" s="56">
        <f t="shared" si="67"/>
        <v>370.95096610360315</v>
      </c>
      <c r="AC50" s="50">
        <f t="shared" si="68"/>
        <v>4451.4115932432378</v>
      </c>
      <c r="AD50" s="4"/>
      <c r="AE50" s="165"/>
      <c r="AF50" s="165"/>
      <c r="AH50" s="221">
        <f t="shared" si="69"/>
        <v>12</v>
      </c>
      <c r="AI50" s="222">
        <f t="shared" si="70"/>
        <v>370.95096610360315</v>
      </c>
      <c r="AJ50" s="222">
        <f t="shared" si="71"/>
        <v>4451.4115932432378</v>
      </c>
      <c r="AK50" s="238">
        <f t="shared" si="72"/>
        <v>1.4530438400356258</v>
      </c>
      <c r="AL50" s="239">
        <f t="shared" si="73"/>
        <v>4.5999999999999999E-2</v>
      </c>
    </row>
    <row r="51" spans="1:38">
      <c r="A51" s="92"/>
      <c r="B51" s="93"/>
      <c r="C51" s="54">
        <f t="shared" si="74"/>
        <v>191207</v>
      </c>
      <c r="D51" s="54">
        <f t="shared" si="74"/>
        <v>14948.573</v>
      </c>
      <c r="E51" s="54">
        <f t="shared" si="74"/>
        <v>161678</v>
      </c>
      <c r="F51" s="54">
        <f t="shared" si="74"/>
        <v>220736</v>
      </c>
      <c r="G51" s="24">
        <f t="shared" si="74"/>
        <v>7.8E-2</v>
      </c>
      <c r="H51" s="22">
        <f t="shared" si="75"/>
        <v>1.5096743200400788</v>
      </c>
      <c r="I51" s="21">
        <f t="shared" si="80"/>
        <v>1643721</v>
      </c>
      <c r="J51" s="21">
        <f t="shared" si="80"/>
        <v>4626</v>
      </c>
      <c r="K51" s="314"/>
      <c r="L51" s="11">
        <f t="shared" si="80"/>
        <v>4.5999999999999999E-2</v>
      </c>
      <c r="M51" s="47">
        <f t="shared" si="63"/>
        <v>0.11632570247627183</v>
      </c>
      <c r="N51" s="47">
        <f t="shared" si="58"/>
        <v>0.88367429752372817</v>
      </c>
      <c r="O51" s="47">
        <f t="shared" si="64"/>
        <v>0.10279403341967372</v>
      </c>
      <c r="P51" s="48">
        <f t="shared" si="59"/>
        <v>419283123670.70764</v>
      </c>
      <c r="Q51" s="3">
        <f t="shared" si="60"/>
        <v>77361207.252483994</v>
      </c>
      <c r="R51" s="49">
        <f t="shared" si="65"/>
        <v>5419.8110210753575</v>
      </c>
      <c r="S51" s="49">
        <f t="shared" si="61"/>
        <v>5401.9991087705594</v>
      </c>
      <c r="T51" s="10">
        <f t="shared" si="77"/>
        <v>0.63487700000000002</v>
      </c>
      <c r="U51" s="10">
        <f t="shared" si="77"/>
        <v>0.80447400000000002</v>
      </c>
      <c r="V51" s="55">
        <f t="shared" si="77"/>
        <v>3.0495999999999999</v>
      </c>
      <c r="W51" s="50">
        <f t="shared" si="66"/>
        <v>3468.2470272041783</v>
      </c>
      <c r="X51" s="7">
        <v>10</v>
      </c>
      <c r="Y51" s="10">
        <f t="shared" si="78"/>
        <v>7.0047046523784628E-2</v>
      </c>
      <c r="Z51" s="10">
        <f t="shared" si="78"/>
        <v>0.86059584035975267</v>
      </c>
      <c r="AA51" s="7">
        <f t="shared" si="79"/>
        <v>13</v>
      </c>
      <c r="AB51" s="56">
        <f t="shared" si="67"/>
        <v>346.8247027204178</v>
      </c>
      <c r="AC51" s="50">
        <f t="shared" si="68"/>
        <v>4508.7211353654311</v>
      </c>
      <c r="AD51" s="4"/>
      <c r="AE51" s="165"/>
      <c r="AF51" s="165"/>
      <c r="AH51" s="221">
        <f t="shared" si="69"/>
        <v>13</v>
      </c>
      <c r="AI51" s="222">
        <f t="shared" si="70"/>
        <v>346.8247027204178</v>
      </c>
      <c r="AJ51" s="222">
        <f t="shared" si="71"/>
        <v>4508.7211353654311</v>
      </c>
      <c r="AK51" s="238">
        <f t="shared" si="72"/>
        <v>1.5096743200400788</v>
      </c>
      <c r="AL51" s="239">
        <f t="shared" si="73"/>
        <v>4.5999999999999999E-2</v>
      </c>
    </row>
    <row r="52" spans="1:38">
      <c r="A52" s="92"/>
      <c r="B52" s="93"/>
      <c r="C52" s="54">
        <f t="shared" si="74"/>
        <v>191207</v>
      </c>
      <c r="D52" s="54">
        <f t="shared" si="74"/>
        <v>14948.573</v>
      </c>
      <c r="E52" s="54">
        <f t="shared" si="74"/>
        <v>161678</v>
      </c>
      <c r="F52" s="54">
        <f t="shared" si="74"/>
        <v>220736</v>
      </c>
      <c r="G52" s="24">
        <f t="shared" si="74"/>
        <v>7.8E-2</v>
      </c>
      <c r="H52" s="22">
        <f t="shared" si="75"/>
        <v>1.5663048000445321</v>
      </c>
      <c r="I52" s="21">
        <f t="shared" si="80"/>
        <v>1643721</v>
      </c>
      <c r="J52" s="21">
        <f t="shared" si="80"/>
        <v>4626</v>
      </c>
      <c r="K52" s="314"/>
      <c r="L52" s="11">
        <f t="shared" si="80"/>
        <v>4.5999999999999999E-2</v>
      </c>
      <c r="M52" s="47">
        <f t="shared" si="63"/>
        <v>0.11632570247627183</v>
      </c>
      <c r="N52" s="47">
        <f t="shared" si="58"/>
        <v>0.88367429752372817</v>
      </c>
      <c r="O52" s="47">
        <f t="shared" si="64"/>
        <v>0.10279403341967372</v>
      </c>
      <c r="P52" s="48">
        <f t="shared" si="59"/>
        <v>435011154701.00848</v>
      </c>
      <c r="Q52" s="3">
        <f t="shared" si="60"/>
        <v>77361207.252483994</v>
      </c>
      <c r="R52" s="49">
        <f t="shared" si="65"/>
        <v>5623.1174531863408</v>
      </c>
      <c r="S52" s="49">
        <f t="shared" si="61"/>
        <v>5603.9465296915196</v>
      </c>
      <c r="T52" s="10">
        <f t="shared" si="77"/>
        <v>0.63487700000000002</v>
      </c>
      <c r="U52" s="10">
        <f t="shared" si="77"/>
        <v>0.80447400000000002</v>
      </c>
      <c r="V52" s="55">
        <f t="shared" si="77"/>
        <v>3.0495999999999999</v>
      </c>
      <c r="W52" s="50">
        <f t="shared" si="66"/>
        <v>3597.9033874067395</v>
      </c>
      <c r="X52" s="7">
        <v>11</v>
      </c>
      <c r="Y52" s="10">
        <f t="shared" si="78"/>
        <v>7.0047046523784628E-2</v>
      </c>
      <c r="Z52" s="10">
        <f t="shared" si="78"/>
        <v>0.86059584035975267</v>
      </c>
      <c r="AA52" s="7">
        <f t="shared" si="79"/>
        <v>14</v>
      </c>
      <c r="AB52" s="56">
        <f t="shared" si="67"/>
        <v>327.08212612788543</v>
      </c>
      <c r="AC52" s="50">
        <f t="shared" si="68"/>
        <v>4579.1497657903965</v>
      </c>
      <c r="AD52" s="4"/>
      <c r="AE52" s="165"/>
      <c r="AF52" s="165"/>
      <c r="AH52" s="221">
        <f t="shared" si="69"/>
        <v>14</v>
      </c>
      <c r="AI52" s="222">
        <f t="shared" si="70"/>
        <v>327.08212612788543</v>
      </c>
      <c r="AJ52" s="222">
        <f t="shared" si="71"/>
        <v>4579.1497657903965</v>
      </c>
      <c r="AK52" s="238">
        <f t="shared" si="72"/>
        <v>1.5663048000445321</v>
      </c>
      <c r="AL52" s="239">
        <f t="shared" si="73"/>
        <v>4.5999999999999999E-2</v>
      </c>
    </row>
    <row r="53" spans="1:38">
      <c r="A53" s="92"/>
      <c r="B53" s="93"/>
      <c r="C53" s="54">
        <f t="shared" si="74"/>
        <v>191207</v>
      </c>
      <c r="D53" s="54">
        <f t="shared" si="74"/>
        <v>14948.573</v>
      </c>
      <c r="E53" s="54">
        <f t="shared" si="74"/>
        <v>161678</v>
      </c>
      <c r="F53" s="54">
        <f t="shared" si="74"/>
        <v>220736</v>
      </c>
      <c r="G53" s="24">
        <f t="shared" si="74"/>
        <v>7.8E-2</v>
      </c>
      <c r="H53" s="22">
        <f t="shared" si="75"/>
        <v>1.6229352800489854</v>
      </c>
      <c r="I53" s="21">
        <f t="shared" si="80"/>
        <v>1643721</v>
      </c>
      <c r="J53" s="21">
        <f t="shared" si="80"/>
        <v>4626</v>
      </c>
      <c r="K53" s="314"/>
      <c r="L53" s="11">
        <f t="shared" si="80"/>
        <v>4.5999999999999999E-2</v>
      </c>
      <c r="M53" s="47">
        <f t="shared" si="63"/>
        <v>0.11632570247627183</v>
      </c>
      <c r="N53" s="47">
        <f t="shared" si="58"/>
        <v>0.88367429752372817</v>
      </c>
      <c r="O53" s="47">
        <f t="shared" si="64"/>
        <v>0.10279403341967372</v>
      </c>
      <c r="P53" s="48">
        <f t="shared" si="59"/>
        <v>450739185731.30933</v>
      </c>
      <c r="Q53" s="3">
        <f t="shared" si="60"/>
        <v>77361207.252483994</v>
      </c>
      <c r="R53" s="49">
        <f t="shared" si="65"/>
        <v>5826.423885297324</v>
      </c>
      <c r="S53" s="49">
        <f t="shared" si="61"/>
        <v>5805.8441706437106</v>
      </c>
      <c r="T53" s="10">
        <f t="shared" si="77"/>
        <v>0.63487700000000002</v>
      </c>
      <c r="U53" s="10">
        <f t="shared" si="77"/>
        <v>0.80447400000000002</v>
      </c>
      <c r="V53" s="55">
        <f t="shared" si="77"/>
        <v>3.0495999999999999</v>
      </c>
      <c r="W53" s="50">
        <f t="shared" si="66"/>
        <v>3727.5277873617661</v>
      </c>
      <c r="X53" s="7">
        <v>12</v>
      </c>
      <c r="Y53" s="10">
        <f t="shared" si="78"/>
        <v>7.0047046523784628E-2</v>
      </c>
      <c r="Z53" s="10">
        <f t="shared" si="78"/>
        <v>0.86059584035975267</v>
      </c>
      <c r="AA53" s="7">
        <f t="shared" si="79"/>
        <v>15</v>
      </c>
      <c r="AB53" s="56">
        <f t="shared" si="67"/>
        <v>310.6273156134805</v>
      </c>
      <c r="AC53" s="50">
        <f t="shared" si="68"/>
        <v>4659.4097342022078</v>
      </c>
      <c r="AD53" s="4"/>
      <c r="AE53" s="165"/>
      <c r="AF53" s="165"/>
      <c r="AH53" s="221">
        <f t="shared" si="69"/>
        <v>15</v>
      </c>
      <c r="AI53" s="222">
        <f t="shared" si="70"/>
        <v>310.6273156134805</v>
      </c>
      <c r="AJ53" s="222">
        <f t="shared" si="71"/>
        <v>4659.4097342022078</v>
      </c>
      <c r="AK53" s="238">
        <f t="shared" si="72"/>
        <v>1.6229352800489854</v>
      </c>
      <c r="AL53" s="239">
        <f t="shared" si="73"/>
        <v>4.5999999999999999E-2</v>
      </c>
    </row>
    <row r="54" spans="1:38">
      <c r="A54" s="92"/>
      <c r="B54" s="93"/>
      <c r="C54" s="54">
        <f t="shared" si="74"/>
        <v>191207</v>
      </c>
      <c r="D54" s="54">
        <f t="shared" si="74"/>
        <v>14948.573</v>
      </c>
      <c r="E54" s="54">
        <f t="shared" si="74"/>
        <v>161678</v>
      </c>
      <c r="F54" s="54">
        <f t="shared" si="74"/>
        <v>220736</v>
      </c>
      <c r="G54" s="24">
        <f t="shared" si="74"/>
        <v>7.8E-2</v>
      </c>
      <c r="H54" s="22">
        <f t="shared" si="75"/>
        <v>1.6795657600534386</v>
      </c>
      <c r="I54" s="21">
        <f t="shared" si="80"/>
        <v>1643721</v>
      </c>
      <c r="J54" s="21">
        <f t="shared" si="80"/>
        <v>4626</v>
      </c>
      <c r="K54" s="314"/>
      <c r="L54" s="11">
        <f t="shared" si="80"/>
        <v>4.5999999999999999E-2</v>
      </c>
      <c r="M54" s="47">
        <f t="shared" si="63"/>
        <v>0.11632570247627183</v>
      </c>
      <c r="N54" s="47">
        <f t="shared" si="58"/>
        <v>0.88367429752372817</v>
      </c>
      <c r="O54" s="47">
        <f t="shared" si="64"/>
        <v>0.10279403341967372</v>
      </c>
      <c r="P54" s="48">
        <f t="shared" si="59"/>
        <v>466467216761.61023</v>
      </c>
      <c r="Q54" s="3">
        <f t="shared" si="60"/>
        <v>77361207.252483994</v>
      </c>
      <c r="R54" s="49">
        <f t="shared" si="65"/>
        <v>6029.7303174083081</v>
      </c>
      <c r="S54" s="49">
        <f t="shared" si="61"/>
        <v>6007.6920500309825</v>
      </c>
      <c r="T54" s="10">
        <f t="shared" si="77"/>
        <v>0.63487700000000002</v>
      </c>
      <c r="U54" s="10">
        <f t="shared" si="77"/>
        <v>0.80447400000000002</v>
      </c>
      <c r="V54" s="55">
        <f t="shared" si="77"/>
        <v>3.0495999999999999</v>
      </c>
      <c r="W54" s="50">
        <f t="shared" si="66"/>
        <v>3857.1202388850875</v>
      </c>
      <c r="X54" s="7">
        <v>13</v>
      </c>
      <c r="Y54" s="10">
        <f t="shared" si="78"/>
        <v>7.0047046523784628E-2</v>
      </c>
      <c r="Z54" s="10">
        <f t="shared" si="78"/>
        <v>0.86059584035975267</v>
      </c>
      <c r="AA54" s="7">
        <f t="shared" si="79"/>
        <v>17</v>
      </c>
      <c r="AB54" s="56">
        <f t="shared" si="67"/>
        <v>296.7015568373144</v>
      </c>
      <c r="AC54" s="50">
        <f t="shared" si="68"/>
        <v>5043.9264662343448</v>
      </c>
      <c r="AD54" s="4"/>
      <c r="AE54" s="165"/>
      <c r="AF54" s="165"/>
      <c r="AH54" s="221">
        <f t="shared" si="69"/>
        <v>17</v>
      </c>
      <c r="AI54" s="222">
        <f t="shared" si="70"/>
        <v>296.7015568373144</v>
      </c>
      <c r="AJ54" s="222">
        <f t="shared" si="71"/>
        <v>5043.9264662343448</v>
      </c>
      <c r="AK54" s="238">
        <f t="shared" si="72"/>
        <v>1.6795657600534386</v>
      </c>
      <c r="AL54" s="239">
        <f t="shared" si="73"/>
        <v>4.5999999999999999E-2</v>
      </c>
    </row>
    <row r="55" spans="1:38">
      <c r="A55" s="92"/>
      <c r="B55" s="93"/>
      <c r="C55" s="54">
        <f t="shared" si="74"/>
        <v>191207</v>
      </c>
      <c r="D55" s="54">
        <f t="shared" si="74"/>
        <v>14948.573</v>
      </c>
      <c r="E55" s="54">
        <f t="shared" si="74"/>
        <v>161678</v>
      </c>
      <c r="F55" s="54">
        <f t="shared" si="74"/>
        <v>220736</v>
      </c>
      <c r="G55" s="24">
        <f t="shared" si="74"/>
        <v>7.8E-2</v>
      </c>
      <c r="H55" s="22">
        <f t="shared" si="75"/>
        <v>1.7361962400578919</v>
      </c>
      <c r="I55" s="21">
        <f t="shared" si="80"/>
        <v>1643721</v>
      </c>
      <c r="J55" s="21">
        <f t="shared" si="80"/>
        <v>4626</v>
      </c>
      <c r="K55" s="314"/>
      <c r="L55" s="11">
        <f t="shared" si="80"/>
        <v>4.5999999999999999E-2</v>
      </c>
      <c r="M55" s="47">
        <f t="shared" si="63"/>
        <v>0.11632570247627183</v>
      </c>
      <c r="N55" s="47">
        <f t="shared" si="58"/>
        <v>0.88367429752372817</v>
      </c>
      <c r="O55" s="47">
        <f t="shared" si="64"/>
        <v>0.10279403341967372</v>
      </c>
      <c r="P55" s="48">
        <f t="shared" si="59"/>
        <v>482195247791.91107</v>
      </c>
      <c r="Q55" s="3">
        <f t="shared" si="60"/>
        <v>77361207.252483994</v>
      </c>
      <c r="R55" s="49">
        <f t="shared" si="65"/>
        <v>6233.0367495192913</v>
      </c>
      <c r="S55" s="49">
        <f t="shared" si="61"/>
        <v>6209.4901862481129</v>
      </c>
      <c r="T55" s="10">
        <f t="shared" si="77"/>
        <v>0.63487700000000002</v>
      </c>
      <c r="U55" s="10">
        <f t="shared" si="77"/>
        <v>0.80447400000000002</v>
      </c>
      <c r="V55" s="55">
        <f t="shared" si="77"/>
        <v>3.0495999999999999</v>
      </c>
      <c r="W55" s="50">
        <f t="shared" si="66"/>
        <v>3986.6807537867076</v>
      </c>
      <c r="X55" s="7">
        <v>14</v>
      </c>
      <c r="Y55" s="10">
        <f t="shared" si="78"/>
        <v>7.0047046523784628E-2</v>
      </c>
      <c r="Z55" s="10">
        <f t="shared" si="78"/>
        <v>0.86059584035975267</v>
      </c>
      <c r="AA55" s="7">
        <f t="shared" si="79"/>
        <v>18</v>
      </c>
      <c r="AB55" s="56">
        <f t="shared" si="67"/>
        <v>284.7629109847648</v>
      </c>
      <c r="AC55" s="50">
        <f t="shared" si="68"/>
        <v>5125.7323977257665</v>
      </c>
      <c r="AD55" s="4"/>
      <c r="AE55" s="165"/>
      <c r="AF55" s="165"/>
      <c r="AH55" s="221">
        <f t="shared" si="69"/>
        <v>18</v>
      </c>
      <c r="AI55" s="222">
        <f t="shared" si="70"/>
        <v>284.7629109847648</v>
      </c>
      <c r="AJ55" s="222">
        <f t="shared" si="71"/>
        <v>5125.7323977257665</v>
      </c>
      <c r="AK55" s="238">
        <f t="shared" si="72"/>
        <v>1.7361962400578919</v>
      </c>
      <c r="AL55" s="239">
        <f t="shared" si="73"/>
        <v>4.5999999999999999E-2</v>
      </c>
    </row>
    <row r="56" spans="1:38">
      <c r="A56" s="92"/>
      <c r="B56" s="93"/>
      <c r="C56" s="54">
        <f t="shared" si="74"/>
        <v>191207</v>
      </c>
      <c r="D56" s="54">
        <f t="shared" si="74"/>
        <v>14948.573</v>
      </c>
      <c r="E56" s="54">
        <f t="shared" si="74"/>
        <v>161678</v>
      </c>
      <c r="F56" s="54">
        <f t="shared" si="74"/>
        <v>220736</v>
      </c>
      <c r="G56" s="24">
        <f t="shared" si="74"/>
        <v>7.8E-2</v>
      </c>
      <c r="H56" s="22">
        <f t="shared" si="75"/>
        <v>1.7928267200623451</v>
      </c>
      <c r="I56" s="21">
        <f t="shared" si="80"/>
        <v>1643721</v>
      </c>
      <c r="J56" s="21">
        <f t="shared" si="80"/>
        <v>4626</v>
      </c>
      <c r="K56" s="314"/>
      <c r="L56" s="11">
        <f t="shared" si="80"/>
        <v>4.5999999999999999E-2</v>
      </c>
      <c r="M56" s="47">
        <f t="shared" si="63"/>
        <v>0.11632570247627183</v>
      </c>
      <c r="N56" s="47">
        <f t="shared" si="58"/>
        <v>0.88367429752372817</v>
      </c>
      <c r="O56" s="47">
        <f t="shared" si="64"/>
        <v>0.10279403341967372</v>
      </c>
      <c r="P56" s="48">
        <f t="shared" si="59"/>
        <v>497923278822.21191</v>
      </c>
      <c r="Q56" s="3">
        <f t="shared" si="60"/>
        <v>77361207.252483994</v>
      </c>
      <c r="R56" s="49">
        <f t="shared" si="65"/>
        <v>6436.3431816302746</v>
      </c>
      <c r="S56" s="49">
        <f t="shared" si="61"/>
        <v>6411.2385976808164</v>
      </c>
      <c r="T56" s="10">
        <f t="shared" si="77"/>
        <v>0.63487700000000002</v>
      </c>
      <c r="U56" s="10">
        <f t="shared" si="77"/>
        <v>0.80447400000000002</v>
      </c>
      <c r="V56" s="55">
        <f t="shared" si="77"/>
        <v>3.0495999999999999</v>
      </c>
      <c r="W56" s="50">
        <f t="shared" si="66"/>
        <v>4116.2093438708116</v>
      </c>
      <c r="X56" s="7">
        <v>15</v>
      </c>
      <c r="Y56" s="66">
        <f t="shared" si="78"/>
        <v>7.0047046523784628E-2</v>
      </c>
      <c r="Z56" s="66">
        <f t="shared" si="78"/>
        <v>0.86059584035975267</v>
      </c>
      <c r="AA56" s="7">
        <f t="shared" si="79"/>
        <v>19</v>
      </c>
      <c r="AB56" s="56">
        <f t="shared" si="67"/>
        <v>274.4139562580541</v>
      </c>
      <c r="AC56" s="68">
        <f t="shared" si="68"/>
        <v>5213.8651689030276</v>
      </c>
      <c r="AD56" s="4"/>
      <c r="AE56" s="165"/>
      <c r="AF56" s="165"/>
      <c r="AH56" s="221">
        <f t="shared" si="69"/>
        <v>19</v>
      </c>
      <c r="AI56" s="222">
        <f t="shared" si="70"/>
        <v>274.4139562580541</v>
      </c>
      <c r="AJ56" s="222">
        <f t="shared" si="71"/>
        <v>5213.8651689030276</v>
      </c>
      <c r="AK56" s="238">
        <f t="shared" si="72"/>
        <v>1.7928267200623451</v>
      </c>
      <c r="AL56" s="239">
        <f t="shared" si="73"/>
        <v>4.5999999999999999E-2</v>
      </c>
    </row>
    <row r="57" spans="1:38">
      <c r="A57" s="327" t="s">
        <v>63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  <c r="AA57" s="328"/>
      <c r="AB57" s="328"/>
      <c r="AC57" s="328"/>
      <c r="AD57" s="329"/>
      <c r="AH57" s="317" t="s">
        <v>63</v>
      </c>
      <c r="AI57" s="317"/>
      <c r="AJ57" s="317"/>
      <c r="AK57" s="317"/>
      <c r="AL57" s="317"/>
    </row>
    <row r="58" spans="1:38" ht="18" customHeight="1">
      <c r="A58" s="103" t="s">
        <v>47</v>
      </c>
      <c r="B58" s="93" t="s">
        <v>63</v>
      </c>
      <c r="C58" s="16">
        <v>23196</v>
      </c>
      <c r="D58" s="44">
        <v>2000.3610000000001</v>
      </c>
      <c r="E58" s="44">
        <v>19235</v>
      </c>
      <c r="F58" s="44">
        <v>27157</v>
      </c>
      <c r="G58" s="45">
        <v>8.5999999999999993E-2</v>
      </c>
      <c r="H58" s="45">
        <v>1.738</v>
      </c>
      <c r="I58" s="44">
        <v>174448</v>
      </c>
      <c r="J58" s="44">
        <v>3812</v>
      </c>
      <c r="K58" s="313">
        <v>965</v>
      </c>
      <c r="L58" s="46">
        <f>L45</f>
        <v>4.5999999999999999E-2</v>
      </c>
      <c r="M58" s="47">
        <f t="shared" ref="M58:M69" si="81">C58/I58</f>
        <v>0.13296799046134092</v>
      </c>
      <c r="N58" s="47">
        <f t="shared" ref="N58:N69" si="82">1-M58</f>
        <v>0.86703200953865911</v>
      </c>
      <c r="O58" s="47">
        <f t="shared" ref="O58:O69" si="83">M58*N58</f>
        <v>0.11528750397401367</v>
      </c>
      <c r="P58" s="48">
        <f t="shared" ref="P58:P69" si="84">(I58^2)*(O58*H58)</f>
        <v>6097671139.2960005</v>
      </c>
      <c r="Q58" s="3">
        <f t="shared" ref="Q58:Q69" si="85">(L58^2)*(C58^2)</f>
        <v>1138523.1442559999</v>
      </c>
      <c r="R58" s="49">
        <f t="shared" ref="R58:R69" si="86">P58/Q58</f>
        <v>5355.7726692334354</v>
      </c>
      <c r="S58" s="49">
        <f t="shared" ref="S58:S69" si="87">R58/(1+(R58/I58))</f>
        <v>5196.2415289315277</v>
      </c>
      <c r="T58" s="15">
        <v>0.563523</v>
      </c>
      <c r="U58" s="15">
        <v>0.76406099999999999</v>
      </c>
      <c r="V58" s="15">
        <v>3.069563</v>
      </c>
      <c r="W58" s="50">
        <f>S58/(T58*U58*V58)</f>
        <v>3931.6341560620863</v>
      </c>
      <c r="X58" s="15">
        <v>10.326338</v>
      </c>
      <c r="Y58" s="15">
        <v>7.2739632902787218E-2</v>
      </c>
      <c r="Z58" s="15">
        <v>0.9171554252199412</v>
      </c>
      <c r="AA58" s="15">
        <f>X58/((1-Y58)*Z58)</f>
        <v>12.14232070183853</v>
      </c>
      <c r="AB58" s="51">
        <f>W58/X58</f>
        <v>380.73847244416038</v>
      </c>
      <c r="AC58" s="144">
        <f>AA58*AB58</f>
        <v>4623.048635945107</v>
      </c>
      <c r="AD58" s="98">
        <f>(H58-1)/(X58-1)</f>
        <v>7.9130737058854178E-2</v>
      </c>
      <c r="AH58" s="221">
        <f>+AA58</f>
        <v>12.14232070183853</v>
      </c>
      <c r="AI58" s="222">
        <f>+AB58</f>
        <v>380.73847244416038</v>
      </c>
      <c r="AJ58" s="237">
        <f>+AC58</f>
        <v>4623.048635945107</v>
      </c>
      <c r="AK58" s="238">
        <f>+H58</f>
        <v>1.738</v>
      </c>
      <c r="AL58" s="239">
        <f>+L58</f>
        <v>4.5999999999999999E-2</v>
      </c>
    </row>
    <row r="59" spans="1:38">
      <c r="A59" s="92"/>
      <c r="B59" s="93"/>
      <c r="C59" s="54">
        <f>C58</f>
        <v>23196</v>
      </c>
      <c r="D59" s="54">
        <f t="shared" ref="D59" si="88">D58</f>
        <v>2000.3610000000001</v>
      </c>
      <c r="E59" s="54">
        <f>E58</f>
        <v>19235</v>
      </c>
      <c r="F59" s="54">
        <f>F58</f>
        <v>27157</v>
      </c>
      <c r="G59" s="24">
        <f>G58</f>
        <v>8.5999999999999993E-2</v>
      </c>
      <c r="H59" s="22">
        <f>1+(X59-1)*$AD$31</f>
        <v>1.2265219200178128</v>
      </c>
      <c r="I59" s="21">
        <f>I58</f>
        <v>174448</v>
      </c>
      <c r="J59" s="21">
        <f>J58</f>
        <v>3812</v>
      </c>
      <c r="K59" s="314" t="s">
        <v>74</v>
      </c>
      <c r="L59" s="11">
        <f>L58</f>
        <v>4.5999999999999999E-2</v>
      </c>
      <c r="M59" s="47">
        <f t="shared" si="81"/>
        <v>0.13296799046134092</v>
      </c>
      <c r="N59" s="47">
        <f t="shared" si="82"/>
        <v>0.86703200953865911</v>
      </c>
      <c r="O59" s="47">
        <f t="shared" si="83"/>
        <v>0.11528750397401367</v>
      </c>
      <c r="P59" s="48">
        <f t="shared" si="84"/>
        <v>4303180272.385808</v>
      </c>
      <c r="Q59" s="3">
        <f t="shared" si="85"/>
        <v>1138523.1442559999</v>
      </c>
      <c r="R59" s="49">
        <f t="shared" si="86"/>
        <v>3779.615982420667</v>
      </c>
      <c r="S59" s="49">
        <f t="shared" si="87"/>
        <v>3699.4628765407188</v>
      </c>
      <c r="T59" s="10">
        <f>T58</f>
        <v>0.563523</v>
      </c>
      <c r="U59" s="10">
        <f>U58</f>
        <v>0.76406099999999999</v>
      </c>
      <c r="V59" s="55">
        <f>V58</f>
        <v>3.069563</v>
      </c>
      <c r="W59" s="50">
        <f t="shared" ref="W59:W69" si="89">S59/(T59*U59*V59)</f>
        <v>2799.1259689350845</v>
      </c>
      <c r="X59" s="7">
        <v>5</v>
      </c>
      <c r="Y59" s="10">
        <f>Y58</f>
        <v>7.2739632902787218E-2</v>
      </c>
      <c r="Z59" s="10">
        <f>Z58</f>
        <v>0.9171554252199412</v>
      </c>
      <c r="AA59" s="7">
        <f>ROUNDUP(X59/((1-Y59)*Z59),0)</f>
        <v>6</v>
      </c>
      <c r="AB59" s="56">
        <f t="shared" ref="AB59:AB69" si="90">W59/X59</f>
        <v>559.82519378701693</v>
      </c>
      <c r="AC59" s="50">
        <f>AA59*AB59</f>
        <v>3358.9511627221018</v>
      </c>
      <c r="AD59" s="8"/>
      <c r="AH59" s="221">
        <f t="shared" ref="AH59:AH69" si="91">+AA59</f>
        <v>6</v>
      </c>
      <c r="AI59" s="222">
        <f t="shared" ref="AI59:AI69" si="92">+AB59</f>
        <v>559.82519378701693</v>
      </c>
      <c r="AJ59" s="237">
        <f t="shared" ref="AJ59:AJ69" si="93">+AC59</f>
        <v>3358.9511627221018</v>
      </c>
      <c r="AK59" s="238">
        <f t="shared" ref="AK59:AK69" si="94">+H59</f>
        <v>1.2265219200178128</v>
      </c>
      <c r="AL59" s="239">
        <f t="shared" ref="AL59:AL69" si="95">+L59</f>
        <v>4.5999999999999999E-2</v>
      </c>
    </row>
    <row r="60" spans="1:38">
      <c r="A60" s="92"/>
      <c r="B60" s="93"/>
      <c r="C60" s="54">
        <f t="shared" ref="C60:G69" si="96">C59</f>
        <v>23196</v>
      </c>
      <c r="D60" s="54">
        <f t="shared" si="96"/>
        <v>2000.3610000000001</v>
      </c>
      <c r="E60" s="54">
        <f t="shared" si="96"/>
        <v>19235</v>
      </c>
      <c r="F60" s="54">
        <f t="shared" si="96"/>
        <v>27157</v>
      </c>
      <c r="G60" s="24">
        <f t="shared" si="96"/>
        <v>8.5999999999999993E-2</v>
      </c>
      <c r="H60" s="22">
        <f t="shared" ref="H60:H69" si="97">1+(X60-1)*$AD$31</f>
        <v>1.283152400022266</v>
      </c>
      <c r="I60" s="21">
        <f>I59</f>
        <v>174448</v>
      </c>
      <c r="J60" s="21">
        <f t="shared" ref="J60:L60" si="98">J59</f>
        <v>3812</v>
      </c>
      <c r="K60" s="314">
        <v>448</v>
      </c>
      <c r="L60" s="11">
        <f t="shared" si="98"/>
        <v>4.5999999999999999E-2</v>
      </c>
      <c r="M60" s="47">
        <f t="shared" si="81"/>
        <v>0.13296799046134092</v>
      </c>
      <c r="N60" s="47">
        <f t="shared" si="82"/>
        <v>0.86703200953865911</v>
      </c>
      <c r="O60" s="47">
        <f t="shared" si="83"/>
        <v>0.11528750397401367</v>
      </c>
      <c r="P60" s="48">
        <f t="shared" si="84"/>
        <v>4501864992.4822598</v>
      </c>
      <c r="Q60" s="3">
        <f t="shared" si="85"/>
        <v>1138523.1442559999</v>
      </c>
      <c r="R60" s="49">
        <f t="shared" si="86"/>
        <v>3954.1269013236711</v>
      </c>
      <c r="S60" s="49">
        <f t="shared" si="87"/>
        <v>3866.4871415106081</v>
      </c>
      <c r="T60" s="10">
        <f t="shared" ref="T60:V69" si="99">T59</f>
        <v>0.563523</v>
      </c>
      <c r="U60" s="10">
        <f t="shared" si="99"/>
        <v>0.76406099999999999</v>
      </c>
      <c r="V60" s="55">
        <f t="shared" si="99"/>
        <v>3.069563</v>
      </c>
      <c r="W60" s="50">
        <f t="shared" si="89"/>
        <v>2925.5016005123584</v>
      </c>
      <c r="X60" s="7">
        <v>6</v>
      </c>
      <c r="Y60" s="10">
        <f t="shared" ref="Y60:Z69" si="100">Y59</f>
        <v>7.2739632902787218E-2</v>
      </c>
      <c r="Z60" s="10">
        <f t="shared" si="100"/>
        <v>0.9171554252199412</v>
      </c>
      <c r="AA60" s="7">
        <f t="shared" ref="AA60:AA69" si="101">ROUNDUP(X60/((1-Y60)*Z60),0)</f>
        <v>8</v>
      </c>
      <c r="AB60" s="56">
        <f t="shared" si="90"/>
        <v>487.58360008539307</v>
      </c>
      <c r="AC60" s="50">
        <f t="shared" ref="AC60:AC69" si="102">AA60*AB60</f>
        <v>3900.6688006831446</v>
      </c>
      <c r="AD60" s="8"/>
      <c r="AH60" s="221">
        <f t="shared" si="91"/>
        <v>8</v>
      </c>
      <c r="AI60" s="222">
        <f t="shared" si="92"/>
        <v>487.58360008539307</v>
      </c>
      <c r="AJ60" s="237">
        <f t="shared" si="93"/>
        <v>3900.6688006831446</v>
      </c>
      <c r="AK60" s="238">
        <f t="shared" si="94"/>
        <v>1.283152400022266</v>
      </c>
      <c r="AL60" s="239">
        <f t="shared" si="95"/>
        <v>4.5999999999999999E-2</v>
      </c>
    </row>
    <row r="61" spans="1:38">
      <c r="A61" s="92"/>
      <c r="B61" s="93"/>
      <c r="C61" s="54">
        <f t="shared" si="96"/>
        <v>23196</v>
      </c>
      <c r="D61" s="54">
        <f t="shared" si="96"/>
        <v>2000.3610000000001</v>
      </c>
      <c r="E61" s="54">
        <f t="shared" si="96"/>
        <v>19235</v>
      </c>
      <c r="F61" s="54">
        <f t="shared" si="96"/>
        <v>27157</v>
      </c>
      <c r="G61" s="24">
        <f t="shared" si="96"/>
        <v>8.5999999999999993E-2</v>
      </c>
      <c r="H61" s="22">
        <f t="shared" si="97"/>
        <v>1.3397828800267193</v>
      </c>
      <c r="I61" s="21">
        <f t="shared" ref="I61:L69" si="103">I60</f>
        <v>174448</v>
      </c>
      <c r="J61" s="21">
        <f t="shared" si="103"/>
        <v>3812</v>
      </c>
      <c r="K61" s="314" t="s">
        <v>75</v>
      </c>
      <c r="L61" s="11">
        <f t="shared" si="103"/>
        <v>4.5999999999999999E-2</v>
      </c>
      <c r="M61" s="47">
        <f t="shared" si="81"/>
        <v>0.13296799046134092</v>
      </c>
      <c r="N61" s="47">
        <f t="shared" si="82"/>
        <v>0.86703200953865911</v>
      </c>
      <c r="O61" s="47">
        <f t="shared" si="83"/>
        <v>0.11528750397401367</v>
      </c>
      <c r="P61" s="48">
        <f t="shared" si="84"/>
        <v>4700549712.5787125</v>
      </c>
      <c r="Q61" s="3">
        <f t="shared" si="85"/>
        <v>1138523.1442559999</v>
      </c>
      <c r="R61" s="49">
        <f t="shared" si="86"/>
        <v>4128.6378202266751</v>
      </c>
      <c r="S61" s="49">
        <f t="shared" si="87"/>
        <v>4033.1849633542884</v>
      </c>
      <c r="T61" s="10">
        <f t="shared" si="99"/>
        <v>0.563523</v>
      </c>
      <c r="U61" s="10">
        <f t="shared" si="99"/>
        <v>0.76406099999999999</v>
      </c>
      <c r="V61" s="55">
        <f t="shared" si="99"/>
        <v>3.069563</v>
      </c>
      <c r="W61" s="50">
        <f t="shared" si="89"/>
        <v>3051.6302353059245</v>
      </c>
      <c r="X61" s="7">
        <v>7</v>
      </c>
      <c r="Y61" s="10">
        <f t="shared" si="100"/>
        <v>7.2739632902787218E-2</v>
      </c>
      <c r="Z61" s="10">
        <f t="shared" si="100"/>
        <v>0.9171554252199412</v>
      </c>
      <c r="AA61" s="7">
        <f t="shared" si="101"/>
        <v>9</v>
      </c>
      <c r="AB61" s="56">
        <f t="shared" si="90"/>
        <v>435.94717647227492</v>
      </c>
      <c r="AC61" s="50">
        <f t="shared" si="102"/>
        <v>3923.5245882504742</v>
      </c>
      <c r="AD61" s="8"/>
      <c r="AH61" s="221">
        <f t="shared" si="91"/>
        <v>9</v>
      </c>
      <c r="AI61" s="222">
        <f t="shared" si="92"/>
        <v>435.94717647227492</v>
      </c>
      <c r="AJ61" s="237">
        <f t="shared" si="93"/>
        <v>3923.5245882504742</v>
      </c>
      <c r="AK61" s="238">
        <f t="shared" si="94"/>
        <v>1.3397828800267193</v>
      </c>
      <c r="AL61" s="239">
        <f t="shared" si="95"/>
        <v>4.5999999999999999E-2</v>
      </c>
    </row>
    <row r="62" spans="1:38">
      <c r="A62" s="92"/>
      <c r="B62" s="93"/>
      <c r="C62" s="54">
        <f t="shared" si="96"/>
        <v>23196</v>
      </c>
      <c r="D62" s="54">
        <f t="shared" si="96"/>
        <v>2000.3610000000001</v>
      </c>
      <c r="E62" s="54">
        <f t="shared" si="96"/>
        <v>19235</v>
      </c>
      <c r="F62" s="54">
        <f t="shared" si="96"/>
        <v>27157</v>
      </c>
      <c r="G62" s="24">
        <f t="shared" si="96"/>
        <v>8.5999999999999993E-2</v>
      </c>
      <c r="H62" s="22">
        <f t="shared" si="97"/>
        <v>1.3964133600311726</v>
      </c>
      <c r="I62" s="21">
        <f t="shared" si="103"/>
        <v>174448</v>
      </c>
      <c r="J62" s="21">
        <f t="shared" si="103"/>
        <v>3812</v>
      </c>
      <c r="K62" s="314">
        <v>517</v>
      </c>
      <c r="L62" s="11">
        <f t="shared" si="103"/>
        <v>4.5999999999999999E-2</v>
      </c>
      <c r="M62" s="47">
        <f t="shared" si="81"/>
        <v>0.13296799046134092</v>
      </c>
      <c r="N62" s="47">
        <f t="shared" si="82"/>
        <v>0.86703200953865911</v>
      </c>
      <c r="O62" s="47">
        <f t="shared" si="83"/>
        <v>0.11528750397401367</v>
      </c>
      <c r="P62" s="48">
        <f t="shared" si="84"/>
        <v>4899234432.6751652</v>
      </c>
      <c r="Q62" s="3">
        <f t="shared" si="85"/>
        <v>1138523.1442559999</v>
      </c>
      <c r="R62" s="49">
        <f t="shared" si="86"/>
        <v>4303.1487391296805</v>
      </c>
      <c r="S62" s="49">
        <f t="shared" si="87"/>
        <v>4199.5572981700634</v>
      </c>
      <c r="T62" s="10">
        <f t="shared" si="99"/>
        <v>0.563523</v>
      </c>
      <c r="U62" s="10">
        <f t="shared" si="99"/>
        <v>0.76406099999999999</v>
      </c>
      <c r="V62" s="55">
        <f t="shared" si="99"/>
        <v>3.069563</v>
      </c>
      <c r="W62" s="50">
        <f t="shared" si="89"/>
        <v>3177.5125967287972</v>
      </c>
      <c r="X62" s="7">
        <v>8</v>
      </c>
      <c r="Y62" s="10">
        <f t="shared" si="100"/>
        <v>7.2739632902787218E-2</v>
      </c>
      <c r="Z62" s="10">
        <f t="shared" si="100"/>
        <v>0.9171554252199412</v>
      </c>
      <c r="AA62" s="7">
        <f t="shared" si="101"/>
        <v>10</v>
      </c>
      <c r="AB62" s="56">
        <f t="shared" si="90"/>
        <v>397.18907459109965</v>
      </c>
      <c r="AC62" s="50">
        <f t="shared" si="102"/>
        <v>3971.8907459109964</v>
      </c>
      <c r="AD62" s="8"/>
      <c r="AH62" s="221">
        <f t="shared" si="91"/>
        <v>10</v>
      </c>
      <c r="AI62" s="222">
        <f t="shared" si="92"/>
        <v>397.18907459109965</v>
      </c>
      <c r="AJ62" s="237">
        <f t="shared" si="93"/>
        <v>3971.8907459109964</v>
      </c>
      <c r="AK62" s="238">
        <f t="shared" si="94"/>
        <v>1.3964133600311726</v>
      </c>
      <c r="AL62" s="239">
        <f t="shared" si="95"/>
        <v>4.5999999999999999E-2</v>
      </c>
    </row>
    <row r="63" spans="1:38">
      <c r="A63" s="92"/>
      <c r="B63" s="93"/>
      <c r="C63" s="54">
        <f t="shared" si="96"/>
        <v>23196</v>
      </c>
      <c r="D63" s="54">
        <f t="shared" si="96"/>
        <v>2000.3610000000001</v>
      </c>
      <c r="E63" s="54">
        <f t="shared" si="96"/>
        <v>19235</v>
      </c>
      <c r="F63" s="54">
        <f t="shared" si="96"/>
        <v>27157</v>
      </c>
      <c r="G63" s="24">
        <f t="shared" si="96"/>
        <v>8.5999999999999993E-2</v>
      </c>
      <c r="H63" s="22">
        <f t="shared" si="97"/>
        <v>1.4530438400356258</v>
      </c>
      <c r="I63" s="21">
        <f t="shared" si="103"/>
        <v>174448</v>
      </c>
      <c r="J63" s="21">
        <f t="shared" si="103"/>
        <v>3812</v>
      </c>
      <c r="K63" s="314"/>
      <c r="L63" s="11">
        <f t="shared" si="103"/>
        <v>4.5999999999999999E-2</v>
      </c>
      <c r="M63" s="47">
        <f t="shared" si="81"/>
        <v>0.13296799046134092</v>
      </c>
      <c r="N63" s="47">
        <f t="shared" si="82"/>
        <v>0.86703200953865911</v>
      </c>
      <c r="O63" s="47">
        <f t="shared" si="83"/>
        <v>0.11528750397401367</v>
      </c>
      <c r="P63" s="48">
        <f t="shared" si="84"/>
        <v>5097919152.7716169</v>
      </c>
      <c r="Q63" s="3">
        <f t="shared" si="85"/>
        <v>1138523.1442559999</v>
      </c>
      <c r="R63" s="49">
        <f t="shared" si="86"/>
        <v>4477.6596580326841</v>
      </c>
      <c r="S63" s="49">
        <f t="shared" si="87"/>
        <v>4365.6050983261985</v>
      </c>
      <c r="T63" s="10">
        <f t="shared" si="99"/>
        <v>0.563523</v>
      </c>
      <c r="U63" s="10">
        <f t="shared" si="99"/>
        <v>0.76406099999999999</v>
      </c>
      <c r="V63" s="55">
        <f t="shared" si="99"/>
        <v>3.069563</v>
      </c>
      <c r="W63" s="50">
        <f t="shared" si="89"/>
        <v>3303.1494053717302</v>
      </c>
      <c r="X63" s="7">
        <v>9</v>
      </c>
      <c r="Y63" s="10">
        <f t="shared" si="100"/>
        <v>7.2739632902787218E-2</v>
      </c>
      <c r="Z63" s="10">
        <f t="shared" si="100"/>
        <v>0.9171554252199412</v>
      </c>
      <c r="AA63" s="7">
        <f t="shared" si="101"/>
        <v>11</v>
      </c>
      <c r="AB63" s="56">
        <f t="shared" si="90"/>
        <v>367.01660059685889</v>
      </c>
      <c r="AC63" s="50">
        <f t="shared" si="102"/>
        <v>4037.1826065654477</v>
      </c>
      <c r="AD63" s="4"/>
      <c r="AH63" s="221">
        <f t="shared" si="91"/>
        <v>11</v>
      </c>
      <c r="AI63" s="222">
        <f t="shared" si="92"/>
        <v>367.01660059685889</v>
      </c>
      <c r="AJ63" s="237">
        <f t="shared" si="93"/>
        <v>4037.1826065654477</v>
      </c>
      <c r="AK63" s="238">
        <f t="shared" si="94"/>
        <v>1.4530438400356258</v>
      </c>
      <c r="AL63" s="239">
        <f t="shared" si="95"/>
        <v>4.5999999999999999E-2</v>
      </c>
    </row>
    <row r="64" spans="1:38">
      <c r="A64" s="92"/>
      <c r="B64" s="93"/>
      <c r="C64" s="54">
        <f t="shared" si="96"/>
        <v>23196</v>
      </c>
      <c r="D64" s="54">
        <f t="shared" si="96"/>
        <v>2000.3610000000001</v>
      </c>
      <c r="E64" s="54">
        <f t="shared" si="96"/>
        <v>19235</v>
      </c>
      <c r="F64" s="54">
        <f t="shared" si="96"/>
        <v>27157</v>
      </c>
      <c r="G64" s="24">
        <f t="shared" si="96"/>
        <v>8.5999999999999993E-2</v>
      </c>
      <c r="H64" s="22">
        <f t="shared" si="97"/>
        <v>1.5096743200400788</v>
      </c>
      <c r="I64" s="21">
        <f t="shared" si="103"/>
        <v>174448</v>
      </c>
      <c r="J64" s="21">
        <f t="shared" si="103"/>
        <v>3812</v>
      </c>
      <c r="K64" s="314"/>
      <c r="L64" s="11">
        <f t="shared" si="103"/>
        <v>4.5999999999999999E-2</v>
      </c>
      <c r="M64" s="47">
        <f t="shared" si="81"/>
        <v>0.13296799046134092</v>
      </c>
      <c r="N64" s="47">
        <f t="shared" si="82"/>
        <v>0.86703200953865911</v>
      </c>
      <c r="O64" s="47">
        <f t="shared" si="83"/>
        <v>0.11528750397401367</v>
      </c>
      <c r="P64" s="48">
        <f t="shared" si="84"/>
        <v>5296603872.8680677</v>
      </c>
      <c r="Q64" s="3">
        <f t="shared" si="85"/>
        <v>1138523.1442559999</v>
      </c>
      <c r="R64" s="49">
        <f t="shared" si="86"/>
        <v>4652.1705769356868</v>
      </c>
      <c r="S64" s="49">
        <f t="shared" si="87"/>
        <v>4531.3293124791071</v>
      </c>
      <c r="T64" s="10">
        <f t="shared" si="99"/>
        <v>0.563523</v>
      </c>
      <c r="U64" s="10">
        <f t="shared" si="99"/>
        <v>0.76406099999999999</v>
      </c>
      <c r="V64" s="55">
        <f t="shared" si="99"/>
        <v>3.069563</v>
      </c>
      <c r="W64" s="50">
        <f t="shared" si="89"/>
        <v>3428.5413790169778</v>
      </c>
      <c r="X64" s="7">
        <v>10</v>
      </c>
      <c r="Y64" s="10">
        <f t="shared" si="100"/>
        <v>7.2739632902787218E-2</v>
      </c>
      <c r="Z64" s="10">
        <f t="shared" si="100"/>
        <v>0.9171554252199412</v>
      </c>
      <c r="AA64" s="7">
        <f t="shared" si="101"/>
        <v>12</v>
      </c>
      <c r="AB64" s="56">
        <f t="shared" si="90"/>
        <v>342.85413790169775</v>
      </c>
      <c r="AC64" s="50">
        <f t="shared" si="102"/>
        <v>4114.2496548203726</v>
      </c>
      <c r="AD64" s="4"/>
      <c r="AH64" s="221">
        <f t="shared" si="91"/>
        <v>12</v>
      </c>
      <c r="AI64" s="222">
        <f t="shared" si="92"/>
        <v>342.85413790169775</v>
      </c>
      <c r="AJ64" s="237">
        <f t="shared" si="93"/>
        <v>4114.2496548203726</v>
      </c>
      <c r="AK64" s="238">
        <f t="shared" si="94"/>
        <v>1.5096743200400788</v>
      </c>
      <c r="AL64" s="239">
        <f t="shared" si="95"/>
        <v>4.5999999999999999E-2</v>
      </c>
    </row>
    <row r="65" spans="1:38">
      <c r="A65" s="92"/>
      <c r="B65" s="93"/>
      <c r="C65" s="54">
        <f t="shared" si="96"/>
        <v>23196</v>
      </c>
      <c r="D65" s="54">
        <f t="shared" si="96"/>
        <v>2000.3610000000001</v>
      </c>
      <c r="E65" s="54">
        <f t="shared" si="96"/>
        <v>19235</v>
      </c>
      <c r="F65" s="54">
        <f t="shared" si="96"/>
        <v>27157</v>
      </c>
      <c r="G65" s="24">
        <f t="shared" si="96"/>
        <v>8.5999999999999993E-2</v>
      </c>
      <c r="H65" s="22">
        <f t="shared" si="97"/>
        <v>1.5663048000445321</v>
      </c>
      <c r="I65" s="21">
        <f t="shared" si="103"/>
        <v>174448</v>
      </c>
      <c r="J65" s="21">
        <f t="shared" si="103"/>
        <v>3812</v>
      </c>
      <c r="K65" s="314"/>
      <c r="L65" s="11">
        <f t="shared" si="103"/>
        <v>4.5999999999999999E-2</v>
      </c>
      <c r="M65" s="47">
        <f t="shared" si="81"/>
        <v>0.13296799046134092</v>
      </c>
      <c r="N65" s="47">
        <f t="shared" si="82"/>
        <v>0.86703200953865911</v>
      </c>
      <c r="O65" s="47">
        <f t="shared" si="83"/>
        <v>0.11528750397401367</v>
      </c>
      <c r="P65" s="48">
        <f t="shared" si="84"/>
        <v>5495288592.9645205</v>
      </c>
      <c r="Q65" s="3">
        <f t="shared" si="85"/>
        <v>1138523.1442559999</v>
      </c>
      <c r="R65" s="49">
        <f t="shared" si="86"/>
        <v>4826.6814958386922</v>
      </c>
      <c r="S65" s="49">
        <f t="shared" si="87"/>
        <v>4696.7308855914089</v>
      </c>
      <c r="T65" s="10">
        <f t="shared" si="99"/>
        <v>0.563523</v>
      </c>
      <c r="U65" s="10">
        <f t="shared" si="99"/>
        <v>0.76406099999999999</v>
      </c>
      <c r="V65" s="55">
        <f t="shared" si="99"/>
        <v>3.069563</v>
      </c>
      <c r="W65" s="50">
        <f t="shared" si="89"/>
        <v>3553.6892326519574</v>
      </c>
      <c r="X65" s="7">
        <v>11</v>
      </c>
      <c r="Y65" s="10">
        <f t="shared" si="100"/>
        <v>7.2739632902787218E-2</v>
      </c>
      <c r="Z65" s="10">
        <f t="shared" si="100"/>
        <v>0.9171554252199412</v>
      </c>
      <c r="AA65" s="7">
        <f t="shared" si="101"/>
        <v>13</v>
      </c>
      <c r="AB65" s="56">
        <f t="shared" si="90"/>
        <v>323.06265751381432</v>
      </c>
      <c r="AC65" s="50">
        <f t="shared" si="102"/>
        <v>4199.8145476795862</v>
      </c>
      <c r="AD65" s="4"/>
      <c r="AG65" s="247"/>
      <c r="AH65" s="221">
        <f t="shared" si="91"/>
        <v>13</v>
      </c>
      <c r="AI65" s="222">
        <f t="shared" si="92"/>
        <v>323.06265751381432</v>
      </c>
      <c r="AJ65" s="237">
        <f t="shared" si="93"/>
        <v>4199.8145476795862</v>
      </c>
      <c r="AK65" s="238">
        <f t="shared" si="94"/>
        <v>1.5663048000445321</v>
      </c>
      <c r="AL65" s="239">
        <f t="shared" si="95"/>
        <v>4.5999999999999999E-2</v>
      </c>
    </row>
    <row r="66" spans="1:38">
      <c r="A66" s="92"/>
      <c r="B66" s="93"/>
      <c r="C66" s="54">
        <f t="shared" si="96"/>
        <v>23196</v>
      </c>
      <c r="D66" s="54">
        <f t="shared" si="96"/>
        <v>2000.3610000000001</v>
      </c>
      <c r="E66" s="54">
        <f t="shared" si="96"/>
        <v>19235</v>
      </c>
      <c r="F66" s="54">
        <f t="shared" si="96"/>
        <v>27157</v>
      </c>
      <c r="G66" s="24">
        <f t="shared" si="96"/>
        <v>8.5999999999999993E-2</v>
      </c>
      <c r="H66" s="22">
        <f t="shared" si="97"/>
        <v>1.6229352800489854</v>
      </c>
      <c r="I66" s="21">
        <f t="shared" si="103"/>
        <v>174448</v>
      </c>
      <c r="J66" s="21">
        <f t="shared" si="103"/>
        <v>3812</v>
      </c>
      <c r="K66" s="314"/>
      <c r="L66" s="11">
        <f t="shared" si="103"/>
        <v>4.5999999999999999E-2</v>
      </c>
      <c r="M66" s="47">
        <f t="shared" si="81"/>
        <v>0.13296799046134092</v>
      </c>
      <c r="N66" s="47">
        <f t="shared" si="82"/>
        <v>0.86703200953865911</v>
      </c>
      <c r="O66" s="47">
        <f t="shared" si="83"/>
        <v>0.11528750397401367</v>
      </c>
      <c r="P66" s="48">
        <f t="shared" si="84"/>
        <v>5693973313.0609722</v>
      </c>
      <c r="Q66" s="3">
        <f t="shared" si="85"/>
        <v>1138523.1442559999</v>
      </c>
      <c r="R66" s="49">
        <f t="shared" si="86"/>
        <v>5001.1924147416958</v>
      </c>
      <c r="S66" s="49">
        <f t="shared" si="87"/>
        <v>4861.8107589498859</v>
      </c>
      <c r="T66" s="10">
        <f t="shared" si="99"/>
        <v>0.563523</v>
      </c>
      <c r="U66" s="10">
        <f t="shared" si="99"/>
        <v>0.76406099999999999</v>
      </c>
      <c r="V66" s="55">
        <f t="shared" si="99"/>
        <v>3.069563</v>
      </c>
      <c r="W66" s="50">
        <f t="shared" si="89"/>
        <v>3678.5936784828364</v>
      </c>
      <c r="X66" s="7">
        <v>12</v>
      </c>
      <c r="Y66" s="10">
        <f t="shared" si="100"/>
        <v>7.2739632902787218E-2</v>
      </c>
      <c r="Z66" s="10">
        <f t="shared" si="100"/>
        <v>0.9171554252199412</v>
      </c>
      <c r="AA66" s="7">
        <f t="shared" si="101"/>
        <v>15</v>
      </c>
      <c r="AB66" s="56">
        <f t="shared" si="90"/>
        <v>306.54947320690303</v>
      </c>
      <c r="AC66" s="50">
        <f t="shared" si="102"/>
        <v>4598.2420981035457</v>
      </c>
      <c r="AD66" s="4"/>
      <c r="AH66" s="221">
        <f t="shared" si="91"/>
        <v>15</v>
      </c>
      <c r="AI66" s="222">
        <f t="shared" si="92"/>
        <v>306.54947320690303</v>
      </c>
      <c r="AJ66" s="237">
        <f t="shared" si="93"/>
        <v>4598.2420981035457</v>
      </c>
      <c r="AK66" s="238">
        <f t="shared" si="94"/>
        <v>1.6229352800489854</v>
      </c>
      <c r="AL66" s="239">
        <f t="shared" si="95"/>
        <v>4.5999999999999999E-2</v>
      </c>
    </row>
    <row r="67" spans="1:38">
      <c r="A67" s="92"/>
      <c r="B67" s="93"/>
      <c r="C67" s="54">
        <f t="shared" si="96"/>
        <v>23196</v>
      </c>
      <c r="D67" s="54">
        <f t="shared" si="96"/>
        <v>2000.3610000000001</v>
      </c>
      <c r="E67" s="54">
        <f t="shared" si="96"/>
        <v>19235</v>
      </c>
      <c r="F67" s="54">
        <f t="shared" si="96"/>
        <v>27157</v>
      </c>
      <c r="G67" s="24">
        <f t="shared" si="96"/>
        <v>8.5999999999999993E-2</v>
      </c>
      <c r="H67" s="22">
        <f t="shared" si="97"/>
        <v>1.6795657600534386</v>
      </c>
      <c r="I67" s="21">
        <f t="shared" si="103"/>
        <v>174448</v>
      </c>
      <c r="J67" s="21">
        <f t="shared" si="103"/>
        <v>3812</v>
      </c>
      <c r="K67" s="314"/>
      <c r="L67" s="11">
        <f t="shared" si="103"/>
        <v>4.5999999999999999E-2</v>
      </c>
      <c r="M67" s="47">
        <f t="shared" si="81"/>
        <v>0.13296799046134092</v>
      </c>
      <c r="N67" s="47">
        <f t="shared" si="82"/>
        <v>0.86703200953865911</v>
      </c>
      <c r="O67" s="47">
        <f t="shared" si="83"/>
        <v>0.11528750397401367</v>
      </c>
      <c r="P67" s="48">
        <f t="shared" si="84"/>
        <v>5892658033.1574249</v>
      </c>
      <c r="Q67" s="3">
        <f t="shared" si="85"/>
        <v>1138523.1442559999</v>
      </c>
      <c r="R67" s="49">
        <f t="shared" si="86"/>
        <v>5175.7033336447003</v>
      </c>
      <c r="S67" s="49">
        <f t="shared" si="87"/>
        <v>5026.569870183348</v>
      </c>
      <c r="T67" s="10">
        <f t="shared" si="99"/>
        <v>0.563523</v>
      </c>
      <c r="U67" s="10">
        <f t="shared" si="99"/>
        <v>0.76406099999999999</v>
      </c>
      <c r="V67" s="55">
        <f t="shared" si="99"/>
        <v>3.069563</v>
      </c>
      <c r="W67" s="50">
        <f t="shared" si="89"/>
        <v>3803.2554259480489</v>
      </c>
      <c r="X67" s="7">
        <v>13</v>
      </c>
      <c r="Y67" s="10">
        <f t="shared" si="100"/>
        <v>7.2739632902787218E-2</v>
      </c>
      <c r="Z67" s="10">
        <f t="shared" si="100"/>
        <v>0.9171554252199412</v>
      </c>
      <c r="AA67" s="7">
        <f t="shared" si="101"/>
        <v>16</v>
      </c>
      <c r="AB67" s="56">
        <f t="shared" si="90"/>
        <v>292.55810968831145</v>
      </c>
      <c r="AC67" s="50">
        <f t="shared" si="102"/>
        <v>4680.9297550129832</v>
      </c>
      <c r="AD67" s="4"/>
      <c r="AH67" s="221">
        <f t="shared" si="91"/>
        <v>16</v>
      </c>
      <c r="AI67" s="222">
        <f t="shared" si="92"/>
        <v>292.55810968831145</v>
      </c>
      <c r="AJ67" s="237">
        <f t="shared" si="93"/>
        <v>4680.9297550129832</v>
      </c>
      <c r="AK67" s="238">
        <f t="shared" si="94"/>
        <v>1.6795657600534386</v>
      </c>
      <c r="AL67" s="239">
        <f t="shared" si="95"/>
        <v>4.5999999999999999E-2</v>
      </c>
    </row>
    <row r="68" spans="1:38">
      <c r="A68" s="92"/>
      <c r="B68" s="93"/>
      <c r="C68" s="54">
        <f t="shared" si="96"/>
        <v>23196</v>
      </c>
      <c r="D68" s="54">
        <f t="shared" si="96"/>
        <v>2000.3610000000001</v>
      </c>
      <c r="E68" s="54">
        <f t="shared" si="96"/>
        <v>19235</v>
      </c>
      <c r="F68" s="54">
        <f t="shared" si="96"/>
        <v>27157</v>
      </c>
      <c r="G68" s="24">
        <f t="shared" si="96"/>
        <v>8.5999999999999993E-2</v>
      </c>
      <c r="H68" s="22">
        <f t="shared" si="97"/>
        <v>1.7361962400578919</v>
      </c>
      <c r="I68" s="21">
        <f t="shared" si="103"/>
        <v>174448</v>
      </c>
      <c r="J68" s="21">
        <f t="shared" si="103"/>
        <v>3812</v>
      </c>
      <c r="K68" s="314"/>
      <c r="L68" s="11">
        <f t="shared" si="103"/>
        <v>4.5999999999999999E-2</v>
      </c>
      <c r="M68" s="47">
        <f t="shared" si="81"/>
        <v>0.13296799046134092</v>
      </c>
      <c r="N68" s="47">
        <f t="shared" si="82"/>
        <v>0.86703200953865911</v>
      </c>
      <c r="O68" s="47">
        <f t="shared" si="83"/>
        <v>0.11528750397401367</v>
      </c>
      <c r="P68" s="48">
        <f t="shared" si="84"/>
        <v>6091342753.2538767</v>
      </c>
      <c r="Q68" s="3">
        <f t="shared" si="85"/>
        <v>1138523.1442559999</v>
      </c>
      <c r="R68" s="49">
        <f t="shared" si="86"/>
        <v>5350.2142525477038</v>
      </c>
      <c r="S68" s="49">
        <f t="shared" si="87"/>
        <v>5191.009153280379</v>
      </c>
      <c r="T68" s="10">
        <f t="shared" si="99"/>
        <v>0.563523</v>
      </c>
      <c r="U68" s="10">
        <f t="shared" si="99"/>
        <v>0.76406099999999999</v>
      </c>
      <c r="V68" s="55">
        <f t="shared" si="99"/>
        <v>3.069563</v>
      </c>
      <c r="W68" s="50">
        <f t="shared" si="89"/>
        <v>3927.675181731724</v>
      </c>
      <c r="X68" s="7">
        <v>14</v>
      </c>
      <c r="Y68" s="10">
        <f t="shared" si="100"/>
        <v>7.2739632902787218E-2</v>
      </c>
      <c r="Z68" s="10">
        <f t="shared" si="100"/>
        <v>0.9171554252199412</v>
      </c>
      <c r="AA68" s="7">
        <f t="shared" si="101"/>
        <v>17</v>
      </c>
      <c r="AB68" s="56">
        <f t="shared" si="90"/>
        <v>280.54822726655169</v>
      </c>
      <c r="AC68" s="50">
        <f t="shared" si="102"/>
        <v>4769.3198635313784</v>
      </c>
      <c r="AD68" s="4"/>
      <c r="AH68" s="221">
        <f t="shared" si="91"/>
        <v>17</v>
      </c>
      <c r="AI68" s="222">
        <f t="shared" si="92"/>
        <v>280.54822726655169</v>
      </c>
      <c r="AJ68" s="237">
        <f t="shared" si="93"/>
        <v>4769.3198635313784</v>
      </c>
      <c r="AK68" s="238">
        <f t="shared" si="94"/>
        <v>1.7361962400578919</v>
      </c>
      <c r="AL68" s="239">
        <f t="shared" si="95"/>
        <v>4.5999999999999999E-2</v>
      </c>
    </row>
    <row r="69" spans="1:38">
      <c r="A69" s="92"/>
      <c r="B69" s="93"/>
      <c r="C69" s="54">
        <f t="shared" si="96"/>
        <v>23196</v>
      </c>
      <c r="D69" s="54">
        <f t="shared" si="96"/>
        <v>2000.3610000000001</v>
      </c>
      <c r="E69" s="54">
        <f t="shared" si="96"/>
        <v>19235</v>
      </c>
      <c r="F69" s="54">
        <f t="shared" si="96"/>
        <v>27157</v>
      </c>
      <c r="G69" s="24">
        <f t="shared" si="96"/>
        <v>8.5999999999999993E-2</v>
      </c>
      <c r="H69" s="22">
        <f t="shared" si="97"/>
        <v>1.7928267200623451</v>
      </c>
      <c r="I69" s="21">
        <f t="shared" si="103"/>
        <v>174448</v>
      </c>
      <c r="J69" s="21">
        <f t="shared" si="103"/>
        <v>3812</v>
      </c>
      <c r="K69" s="314"/>
      <c r="L69" s="11">
        <f t="shared" si="103"/>
        <v>4.5999999999999999E-2</v>
      </c>
      <c r="M69" s="47">
        <f t="shared" si="81"/>
        <v>0.13296799046134092</v>
      </c>
      <c r="N69" s="47">
        <f t="shared" si="82"/>
        <v>0.86703200953865911</v>
      </c>
      <c r="O69" s="47">
        <f t="shared" si="83"/>
        <v>0.11528750397401367</v>
      </c>
      <c r="P69" s="48">
        <f t="shared" si="84"/>
        <v>6290027473.3503294</v>
      </c>
      <c r="Q69" s="3">
        <f t="shared" si="85"/>
        <v>1138523.1442559999</v>
      </c>
      <c r="R69" s="49">
        <f t="shared" si="86"/>
        <v>5524.7251714507092</v>
      </c>
      <c r="S69" s="49">
        <f t="shared" si="87"/>
        <v>5355.1295386069896</v>
      </c>
      <c r="T69" s="10">
        <f t="shared" si="99"/>
        <v>0.563523</v>
      </c>
      <c r="U69" s="10">
        <f t="shared" si="99"/>
        <v>0.76406099999999999</v>
      </c>
      <c r="V69" s="55">
        <f t="shared" si="99"/>
        <v>3.069563</v>
      </c>
      <c r="W69" s="50">
        <f t="shared" si="89"/>
        <v>4051.853649777041</v>
      </c>
      <c r="X69" s="7">
        <v>15</v>
      </c>
      <c r="Y69" s="66">
        <f t="shared" si="100"/>
        <v>7.2739632902787218E-2</v>
      </c>
      <c r="Z69" s="66">
        <f t="shared" si="100"/>
        <v>0.9171554252199412</v>
      </c>
      <c r="AA69" s="7">
        <f t="shared" si="101"/>
        <v>18</v>
      </c>
      <c r="AB69" s="56">
        <f t="shared" si="90"/>
        <v>270.12357665180275</v>
      </c>
      <c r="AC69" s="68">
        <f t="shared" si="102"/>
        <v>4862.22437973245</v>
      </c>
      <c r="AD69" s="4"/>
      <c r="AH69" s="221">
        <f t="shared" si="91"/>
        <v>18</v>
      </c>
      <c r="AI69" s="222">
        <f t="shared" si="92"/>
        <v>270.12357665180275</v>
      </c>
      <c r="AJ69" s="237">
        <f t="shared" si="93"/>
        <v>4862.22437973245</v>
      </c>
      <c r="AK69" s="238">
        <f t="shared" si="94"/>
        <v>1.7928267200623451</v>
      </c>
      <c r="AL69" s="239">
        <f t="shared" si="95"/>
        <v>4.5999999999999999E-2</v>
      </c>
    </row>
    <row r="70" spans="1:38">
      <c r="A70" s="327" t="s">
        <v>64</v>
      </c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  <c r="AA70" s="328"/>
      <c r="AB70" s="328"/>
      <c r="AC70" s="328"/>
      <c r="AD70" s="329"/>
      <c r="AH70" s="317" t="s">
        <v>64</v>
      </c>
      <c r="AI70" s="317"/>
      <c r="AJ70" s="317"/>
      <c r="AK70" s="317"/>
      <c r="AL70" s="317"/>
    </row>
    <row r="71" spans="1:38" ht="21" customHeight="1">
      <c r="A71" s="103" t="s">
        <v>47</v>
      </c>
      <c r="B71" s="93" t="s">
        <v>64</v>
      </c>
      <c r="C71" s="16">
        <v>13741</v>
      </c>
      <c r="D71" s="44">
        <v>1392.261</v>
      </c>
      <c r="E71" s="44">
        <v>10977</v>
      </c>
      <c r="F71" s="44">
        <v>16505</v>
      </c>
      <c r="G71" s="45">
        <v>0.10100000000000001</v>
      </c>
      <c r="H71" s="45">
        <v>1.3420000000000001</v>
      </c>
      <c r="I71" s="44">
        <v>139180</v>
      </c>
      <c r="J71" s="44">
        <v>2816</v>
      </c>
      <c r="K71" s="313">
        <v>725</v>
      </c>
      <c r="L71" s="46">
        <f>0.046</f>
        <v>4.5999999999999999E-2</v>
      </c>
      <c r="M71" s="47">
        <f>C71/I71</f>
        <v>9.8728265555395892E-2</v>
      </c>
      <c r="N71" s="47">
        <f t="shared" ref="N71:N82" si="104">1-M71</f>
        <v>0.90127173444460407</v>
      </c>
      <c r="O71" s="47">
        <f>M71*N71</f>
        <v>8.8980995135819113E-2</v>
      </c>
      <c r="P71" s="48">
        <f t="shared" ref="P71:P82" si="105">(I71^2)*(O71*H71)</f>
        <v>2313148095.2579999</v>
      </c>
      <c r="Q71" s="3">
        <f t="shared" ref="Q71:Q82" si="106">(L71^2)*(C71^2)</f>
        <v>399532.71139599994</v>
      </c>
      <c r="R71" s="49">
        <f>P71/Q71</f>
        <v>5789.6338129002543</v>
      </c>
      <c r="S71" s="49">
        <f t="shared" ref="S71:S82" si="107">R71/(1+(R71/I71))</f>
        <v>5558.4139442570104</v>
      </c>
      <c r="T71" s="15">
        <v>0.57431699999999997</v>
      </c>
      <c r="U71" s="15">
        <v>0.77613600000000005</v>
      </c>
      <c r="V71" s="15">
        <v>2.978529</v>
      </c>
      <c r="W71" s="50">
        <f>S71/(T71*U71*V71)</f>
        <v>4186.5815342058086</v>
      </c>
      <c r="X71" s="15">
        <v>9.8483660000000004</v>
      </c>
      <c r="Y71" s="15">
        <v>8.3812654067378797E-2</v>
      </c>
      <c r="Z71" s="15">
        <v>0.85022421524663672</v>
      </c>
      <c r="AA71" s="15">
        <f>X71/((1-Y71)*Z71)</f>
        <v>12.642891795358651</v>
      </c>
      <c r="AB71" s="51">
        <f>W71/X71</f>
        <v>425.10417811500997</v>
      </c>
      <c r="AC71" s="144">
        <f>AA71*AB71</f>
        <v>5374.5461256629424</v>
      </c>
      <c r="AD71" s="98">
        <f>(H71-1)/(X71-1)</f>
        <v>3.8651204075419131E-2</v>
      </c>
      <c r="AH71" s="221">
        <f>+AA71</f>
        <v>12.642891795358651</v>
      </c>
      <c r="AI71" s="222">
        <f>+AB71</f>
        <v>425.10417811500997</v>
      </c>
      <c r="AJ71" s="222">
        <f>+AC71</f>
        <v>5374.5461256629424</v>
      </c>
      <c r="AK71" s="238">
        <f>+H71</f>
        <v>1.3420000000000001</v>
      </c>
      <c r="AL71" s="223">
        <f>+L71</f>
        <v>4.5999999999999999E-2</v>
      </c>
    </row>
    <row r="72" spans="1:38">
      <c r="A72" s="92"/>
      <c r="B72" s="93"/>
      <c r="C72" s="54">
        <f>C71</f>
        <v>13741</v>
      </c>
      <c r="D72" s="54">
        <f t="shared" ref="D72" si="108">D71</f>
        <v>1392.261</v>
      </c>
      <c r="E72" s="54">
        <f>E71</f>
        <v>10977</v>
      </c>
      <c r="F72" s="54">
        <f>F71</f>
        <v>16505</v>
      </c>
      <c r="G72" s="24">
        <f>G71</f>
        <v>0.10100000000000001</v>
      </c>
      <c r="H72" s="22">
        <f>1+(X72-1)*$AD$31</f>
        <v>1.2265219200178128</v>
      </c>
      <c r="I72" s="21">
        <f>I71</f>
        <v>139180</v>
      </c>
      <c r="J72" s="21">
        <f>J71</f>
        <v>2816</v>
      </c>
      <c r="K72" s="314" t="s">
        <v>74</v>
      </c>
      <c r="L72" s="11">
        <f>L71</f>
        <v>4.5999999999999999E-2</v>
      </c>
      <c r="M72" s="47">
        <f t="shared" ref="M72:M82" si="109">C72/I72</f>
        <v>9.8728265555395892E-2</v>
      </c>
      <c r="N72" s="47">
        <f t="shared" si="104"/>
        <v>0.90127173444460407</v>
      </c>
      <c r="O72" s="47">
        <f t="shared" ref="O72:O82" si="110">M72*N72</f>
        <v>8.8980995135819113E-2</v>
      </c>
      <c r="P72" s="48">
        <f t="shared" si="105"/>
        <v>2114103459.8221972</v>
      </c>
      <c r="Q72" s="3">
        <f t="shared" si="106"/>
        <v>399532.71139599994</v>
      </c>
      <c r="R72" s="49">
        <f t="shared" ref="R72:R82" si="111">P72/Q72</f>
        <v>5291.440223843867</v>
      </c>
      <c r="S72" s="49">
        <f t="shared" si="107"/>
        <v>5097.6348627349125</v>
      </c>
      <c r="T72" s="10">
        <f>T71</f>
        <v>0.57431699999999997</v>
      </c>
      <c r="U72" s="10">
        <f>U71</f>
        <v>0.77613600000000005</v>
      </c>
      <c r="V72" s="55">
        <f>V71</f>
        <v>2.978529</v>
      </c>
      <c r="W72" s="50">
        <f t="shared" ref="W72:W82" si="112">S72/(T72*U72*V72)</f>
        <v>3839.5240438147093</v>
      </c>
      <c r="X72" s="7">
        <v>5</v>
      </c>
      <c r="Y72" s="10">
        <f>Y71</f>
        <v>8.3812654067378797E-2</v>
      </c>
      <c r="Z72" s="10">
        <f>Z71</f>
        <v>0.85022421524663672</v>
      </c>
      <c r="AA72" s="7">
        <f>ROUNDUP(X72/((1-Y72)*Z72),0)</f>
        <v>7</v>
      </c>
      <c r="AB72" s="56">
        <f t="shared" ref="AB72:AB82" si="113">W72/X72</f>
        <v>767.90480876294191</v>
      </c>
      <c r="AC72" s="50">
        <f>AA72*AB72</f>
        <v>5375.3336613405936</v>
      </c>
      <c r="AD72" s="8"/>
      <c r="AH72" s="221">
        <f t="shared" ref="AH72:AH82" si="114">+AA72</f>
        <v>7</v>
      </c>
      <c r="AI72" s="222">
        <f t="shared" ref="AI72:AI82" si="115">+AB72</f>
        <v>767.90480876294191</v>
      </c>
      <c r="AJ72" s="222">
        <f t="shared" ref="AJ72:AJ82" si="116">+AC72</f>
        <v>5375.3336613405936</v>
      </c>
      <c r="AK72" s="238">
        <f t="shared" ref="AK72:AK82" si="117">+H72</f>
        <v>1.2265219200178128</v>
      </c>
      <c r="AL72" s="223">
        <f t="shared" ref="AL72:AL82" si="118">+L72</f>
        <v>4.5999999999999999E-2</v>
      </c>
    </row>
    <row r="73" spans="1:38">
      <c r="A73" s="92"/>
      <c r="B73" s="93"/>
      <c r="C73" s="54">
        <f t="shared" ref="C73:G82" si="119">C72</f>
        <v>13741</v>
      </c>
      <c r="D73" s="54">
        <f t="shared" si="119"/>
        <v>1392.261</v>
      </c>
      <c r="E73" s="54">
        <f t="shared" si="119"/>
        <v>10977</v>
      </c>
      <c r="F73" s="54">
        <f t="shared" si="119"/>
        <v>16505</v>
      </c>
      <c r="G73" s="24">
        <f t="shared" si="119"/>
        <v>0.10100000000000001</v>
      </c>
      <c r="H73" s="22">
        <f t="shared" ref="H73:H82" si="120">1+(X73-1)*$AD$31</f>
        <v>1.283152400022266</v>
      </c>
      <c r="I73" s="21">
        <f>I72</f>
        <v>139180</v>
      </c>
      <c r="J73" s="21">
        <f t="shared" ref="J73:L73" si="121">J72</f>
        <v>2816</v>
      </c>
      <c r="K73" s="314">
        <v>402</v>
      </c>
      <c r="L73" s="11">
        <f t="shared" si="121"/>
        <v>4.5999999999999999E-2</v>
      </c>
      <c r="M73" s="47">
        <f t="shared" si="109"/>
        <v>9.8728265555395892E-2</v>
      </c>
      <c r="N73" s="47">
        <f t="shared" si="104"/>
        <v>0.90127173444460407</v>
      </c>
      <c r="O73" s="47">
        <f t="shared" si="110"/>
        <v>8.8980995135819113E-2</v>
      </c>
      <c r="P73" s="48">
        <f t="shared" si="105"/>
        <v>2211715000.0277467</v>
      </c>
      <c r="Q73" s="3">
        <f t="shared" si="106"/>
        <v>399532.71139599994</v>
      </c>
      <c r="R73" s="49">
        <f t="shared" si="111"/>
        <v>5535.7544875357862</v>
      </c>
      <c r="S73" s="49">
        <f t="shared" si="107"/>
        <v>5323.9974618077267</v>
      </c>
      <c r="T73" s="10">
        <f t="shared" ref="T73:V82" si="122">T72</f>
        <v>0.57431699999999997</v>
      </c>
      <c r="U73" s="10">
        <f t="shared" si="122"/>
        <v>0.77613600000000005</v>
      </c>
      <c r="V73" s="55">
        <f t="shared" si="122"/>
        <v>2.978529</v>
      </c>
      <c r="W73" s="50">
        <f t="shared" si="112"/>
        <v>4010.0197080126291</v>
      </c>
      <c r="X73" s="7">
        <v>6</v>
      </c>
      <c r="Y73" s="10">
        <f t="shared" ref="Y73:Z82" si="123">Y72</f>
        <v>8.3812654067378797E-2</v>
      </c>
      <c r="Z73" s="10">
        <f t="shared" si="123"/>
        <v>0.85022421524663672</v>
      </c>
      <c r="AA73" s="7">
        <f t="shared" ref="AA73:AA82" si="124">ROUNDUP(X73/((1-Y73)*Z73),0)</f>
        <v>8</v>
      </c>
      <c r="AB73" s="56">
        <f t="shared" si="113"/>
        <v>668.33661800210484</v>
      </c>
      <c r="AC73" s="50">
        <f t="shared" ref="AC73:AC82" si="125">AA73*AB73</f>
        <v>5346.6929440168387</v>
      </c>
      <c r="AD73" s="8"/>
      <c r="AE73" s="165"/>
      <c r="AH73" s="221">
        <f t="shared" si="114"/>
        <v>8</v>
      </c>
      <c r="AI73" s="222">
        <f t="shared" si="115"/>
        <v>668.33661800210484</v>
      </c>
      <c r="AJ73" s="222">
        <f t="shared" si="116"/>
        <v>5346.6929440168387</v>
      </c>
      <c r="AK73" s="238">
        <f t="shared" si="117"/>
        <v>1.283152400022266</v>
      </c>
      <c r="AL73" s="223">
        <f t="shared" si="118"/>
        <v>4.5999999999999999E-2</v>
      </c>
    </row>
    <row r="74" spans="1:38">
      <c r="A74" s="92"/>
      <c r="B74" s="93"/>
      <c r="C74" s="54">
        <f t="shared" si="119"/>
        <v>13741</v>
      </c>
      <c r="D74" s="54">
        <f t="shared" si="119"/>
        <v>1392.261</v>
      </c>
      <c r="E74" s="54">
        <f t="shared" si="119"/>
        <v>10977</v>
      </c>
      <c r="F74" s="54">
        <f t="shared" si="119"/>
        <v>16505</v>
      </c>
      <c r="G74" s="24">
        <f t="shared" si="119"/>
        <v>0.10100000000000001</v>
      </c>
      <c r="H74" s="22">
        <f t="shared" si="120"/>
        <v>1.3397828800267193</v>
      </c>
      <c r="I74" s="21">
        <f t="shared" ref="I74:L82" si="126">I73</f>
        <v>139180</v>
      </c>
      <c r="J74" s="21">
        <f t="shared" si="126"/>
        <v>2816</v>
      </c>
      <c r="K74" s="314" t="s">
        <v>75</v>
      </c>
      <c r="L74" s="11">
        <f t="shared" si="126"/>
        <v>4.5999999999999999E-2</v>
      </c>
      <c r="M74" s="47">
        <f t="shared" si="109"/>
        <v>9.8728265555395892E-2</v>
      </c>
      <c r="N74" s="47">
        <f t="shared" si="104"/>
        <v>0.90127173444460407</v>
      </c>
      <c r="O74" s="47">
        <f t="shared" si="110"/>
        <v>8.8980995135819113E-2</v>
      </c>
      <c r="P74" s="48">
        <f t="shared" si="105"/>
        <v>2309326540.2332959</v>
      </c>
      <c r="Q74" s="3">
        <f t="shared" si="106"/>
        <v>399532.71139599994</v>
      </c>
      <c r="R74" s="49">
        <f t="shared" si="111"/>
        <v>5780.0687512277036</v>
      </c>
      <c r="S74" s="49">
        <f t="shared" si="107"/>
        <v>5549.5970423169283</v>
      </c>
      <c r="T74" s="10">
        <f t="shared" si="122"/>
        <v>0.57431699999999997</v>
      </c>
      <c r="U74" s="10">
        <f t="shared" si="122"/>
        <v>0.77613600000000005</v>
      </c>
      <c r="V74" s="55">
        <f t="shared" si="122"/>
        <v>2.978529</v>
      </c>
      <c r="W74" s="50">
        <f t="shared" si="112"/>
        <v>4179.9406688040172</v>
      </c>
      <c r="X74" s="7">
        <v>7</v>
      </c>
      <c r="Y74" s="10">
        <f t="shared" si="123"/>
        <v>8.3812654067378797E-2</v>
      </c>
      <c r="Z74" s="10">
        <f t="shared" si="123"/>
        <v>0.85022421524663672</v>
      </c>
      <c r="AA74" s="7">
        <f t="shared" si="124"/>
        <v>9</v>
      </c>
      <c r="AB74" s="56">
        <f t="shared" si="113"/>
        <v>597.13438125771677</v>
      </c>
      <c r="AC74" s="50">
        <f t="shared" si="125"/>
        <v>5374.2094313194511</v>
      </c>
      <c r="AD74" s="8"/>
      <c r="AH74" s="221">
        <f t="shared" si="114"/>
        <v>9</v>
      </c>
      <c r="AI74" s="222">
        <f t="shared" si="115"/>
        <v>597.13438125771677</v>
      </c>
      <c r="AJ74" s="222">
        <f t="shared" si="116"/>
        <v>5374.2094313194511</v>
      </c>
      <c r="AK74" s="238">
        <f t="shared" si="117"/>
        <v>1.3397828800267193</v>
      </c>
      <c r="AL74" s="223">
        <f t="shared" si="118"/>
        <v>4.5999999999999999E-2</v>
      </c>
    </row>
    <row r="75" spans="1:38">
      <c r="A75" s="92"/>
      <c r="B75" s="93"/>
      <c r="C75" s="54">
        <f t="shared" si="119"/>
        <v>13741</v>
      </c>
      <c r="D75" s="54">
        <f t="shared" si="119"/>
        <v>1392.261</v>
      </c>
      <c r="E75" s="54">
        <f t="shared" si="119"/>
        <v>10977</v>
      </c>
      <c r="F75" s="54">
        <f t="shared" si="119"/>
        <v>16505</v>
      </c>
      <c r="G75" s="24">
        <f t="shared" si="119"/>
        <v>0.10100000000000001</v>
      </c>
      <c r="H75" s="22">
        <f t="shared" si="120"/>
        <v>1.3964133600311726</v>
      </c>
      <c r="I75" s="21">
        <f t="shared" si="126"/>
        <v>139180</v>
      </c>
      <c r="J75" s="21">
        <f t="shared" si="126"/>
        <v>2816</v>
      </c>
      <c r="K75" s="314">
        <v>323</v>
      </c>
      <c r="L75" s="11">
        <f t="shared" si="126"/>
        <v>4.5999999999999999E-2</v>
      </c>
      <c r="M75" s="47">
        <f t="shared" si="109"/>
        <v>9.8728265555395892E-2</v>
      </c>
      <c r="N75" s="47">
        <f t="shared" si="104"/>
        <v>0.90127173444460407</v>
      </c>
      <c r="O75" s="47">
        <f t="shared" si="110"/>
        <v>8.8980995135819113E-2</v>
      </c>
      <c r="P75" s="48">
        <f t="shared" si="105"/>
        <v>2406938080.4388452</v>
      </c>
      <c r="Q75" s="3">
        <f t="shared" si="106"/>
        <v>399532.71139599994</v>
      </c>
      <c r="R75" s="49">
        <f t="shared" si="111"/>
        <v>6024.3830149196219</v>
      </c>
      <c r="S75" s="49">
        <f t="shared" si="107"/>
        <v>5774.4374557230858</v>
      </c>
      <c r="T75" s="10">
        <f t="shared" si="122"/>
        <v>0.57431699999999997</v>
      </c>
      <c r="U75" s="10">
        <f t="shared" si="122"/>
        <v>0.77613600000000005</v>
      </c>
      <c r="V75" s="55">
        <f t="shared" si="122"/>
        <v>2.978529</v>
      </c>
      <c r="W75" s="50">
        <f t="shared" si="112"/>
        <v>4349.2898270979922</v>
      </c>
      <c r="X75" s="7">
        <v>8</v>
      </c>
      <c r="Y75" s="10">
        <f t="shared" si="123"/>
        <v>8.3812654067378797E-2</v>
      </c>
      <c r="Z75" s="10">
        <f t="shared" si="123"/>
        <v>0.85022421524663672</v>
      </c>
      <c r="AA75" s="7">
        <f t="shared" si="124"/>
        <v>11</v>
      </c>
      <c r="AB75" s="56">
        <f t="shared" si="113"/>
        <v>543.66122838724903</v>
      </c>
      <c r="AC75" s="50">
        <f t="shared" si="125"/>
        <v>5980.2735122597396</v>
      </c>
      <c r="AD75" s="8"/>
      <c r="AH75" s="221">
        <f t="shared" si="114"/>
        <v>11</v>
      </c>
      <c r="AI75" s="222">
        <f t="shared" si="115"/>
        <v>543.66122838724903</v>
      </c>
      <c r="AJ75" s="222">
        <f t="shared" si="116"/>
        <v>5980.2735122597396</v>
      </c>
      <c r="AK75" s="238">
        <f t="shared" si="117"/>
        <v>1.3964133600311726</v>
      </c>
      <c r="AL75" s="223">
        <f t="shared" si="118"/>
        <v>4.5999999999999999E-2</v>
      </c>
    </row>
    <row r="76" spans="1:38">
      <c r="A76" s="92"/>
      <c r="B76" s="93"/>
      <c r="C76" s="54">
        <f t="shared" si="119"/>
        <v>13741</v>
      </c>
      <c r="D76" s="54">
        <f t="shared" si="119"/>
        <v>1392.261</v>
      </c>
      <c r="E76" s="54">
        <f t="shared" si="119"/>
        <v>10977</v>
      </c>
      <c r="F76" s="54">
        <f t="shared" si="119"/>
        <v>16505</v>
      </c>
      <c r="G76" s="24">
        <f t="shared" si="119"/>
        <v>0.10100000000000001</v>
      </c>
      <c r="H76" s="22">
        <f t="shared" si="120"/>
        <v>1.4530438400356258</v>
      </c>
      <c r="I76" s="21">
        <f t="shared" si="126"/>
        <v>139180</v>
      </c>
      <c r="J76" s="21">
        <f t="shared" si="126"/>
        <v>2816</v>
      </c>
      <c r="K76" s="314"/>
      <c r="L76" s="11">
        <f t="shared" si="126"/>
        <v>4.5999999999999999E-2</v>
      </c>
      <c r="M76" s="47">
        <f t="shared" si="109"/>
        <v>9.8728265555395892E-2</v>
      </c>
      <c r="N76" s="47">
        <f t="shared" si="104"/>
        <v>0.90127173444460407</v>
      </c>
      <c r="O76" s="47">
        <f t="shared" si="110"/>
        <v>8.8980995135819113E-2</v>
      </c>
      <c r="P76" s="48">
        <f t="shared" si="105"/>
        <v>2504549620.6443949</v>
      </c>
      <c r="Q76" s="3">
        <f t="shared" si="106"/>
        <v>399532.71139599994</v>
      </c>
      <c r="R76" s="49">
        <f t="shared" si="111"/>
        <v>6268.6972786115402</v>
      </c>
      <c r="S76" s="49">
        <f t="shared" si="107"/>
        <v>5998.5225276091451</v>
      </c>
      <c r="T76" s="10">
        <f t="shared" si="122"/>
        <v>0.57431699999999997</v>
      </c>
      <c r="U76" s="10">
        <f t="shared" si="122"/>
        <v>0.77613600000000005</v>
      </c>
      <c r="V76" s="55">
        <f t="shared" si="122"/>
        <v>2.978529</v>
      </c>
      <c r="W76" s="50">
        <f t="shared" si="112"/>
        <v>4518.0700643127211</v>
      </c>
      <c r="X76" s="7">
        <v>9</v>
      </c>
      <c r="Y76" s="10">
        <f t="shared" si="123"/>
        <v>8.3812654067378797E-2</v>
      </c>
      <c r="Z76" s="10">
        <f t="shared" si="123"/>
        <v>0.85022421524663672</v>
      </c>
      <c r="AA76" s="7">
        <f t="shared" si="124"/>
        <v>12</v>
      </c>
      <c r="AB76" s="56">
        <f t="shared" si="113"/>
        <v>502.00778492363565</v>
      </c>
      <c r="AC76" s="50">
        <f t="shared" si="125"/>
        <v>6024.0934190836279</v>
      </c>
      <c r="AD76" s="4"/>
      <c r="AH76" s="221">
        <f t="shared" si="114"/>
        <v>12</v>
      </c>
      <c r="AI76" s="222">
        <f t="shared" si="115"/>
        <v>502.00778492363565</v>
      </c>
      <c r="AJ76" s="222">
        <f t="shared" si="116"/>
        <v>6024.0934190836279</v>
      </c>
      <c r="AK76" s="238">
        <f t="shared" si="117"/>
        <v>1.4530438400356258</v>
      </c>
      <c r="AL76" s="223">
        <f t="shared" si="118"/>
        <v>4.5999999999999999E-2</v>
      </c>
    </row>
    <row r="77" spans="1:38">
      <c r="A77" s="92"/>
      <c r="B77" s="93"/>
      <c r="C77" s="54">
        <f t="shared" si="119"/>
        <v>13741</v>
      </c>
      <c r="D77" s="54">
        <f t="shared" si="119"/>
        <v>1392.261</v>
      </c>
      <c r="E77" s="54">
        <f t="shared" si="119"/>
        <v>10977</v>
      </c>
      <c r="F77" s="54">
        <f t="shared" si="119"/>
        <v>16505</v>
      </c>
      <c r="G77" s="24">
        <f t="shared" si="119"/>
        <v>0.10100000000000001</v>
      </c>
      <c r="H77" s="22">
        <f t="shared" si="120"/>
        <v>1.5096743200400788</v>
      </c>
      <c r="I77" s="21">
        <f t="shared" si="126"/>
        <v>139180</v>
      </c>
      <c r="J77" s="21">
        <f t="shared" si="126"/>
        <v>2816</v>
      </c>
      <c r="K77" s="314"/>
      <c r="L77" s="11">
        <f t="shared" si="126"/>
        <v>4.5999999999999999E-2</v>
      </c>
      <c r="M77" s="47">
        <f t="shared" si="109"/>
        <v>9.8728265555395892E-2</v>
      </c>
      <c r="N77" s="47">
        <f t="shared" si="104"/>
        <v>0.90127173444460407</v>
      </c>
      <c r="O77" s="47">
        <f t="shared" si="110"/>
        <v>8.8980995135819113E-2</v>
      </c>
      <c r="P77" s="48">
        <f t="shared" si="105"/>
        <v>2602161160.8499436</v>
      </c>
      <c r="Q77" s="3">
        <f t="shared" si="106"/>
        <v>399532.71139599994</v>
      </c>
      <c r="R77" s="49">
        <f t="shared" si="111"/>
        <v>6513.0115423034576</v>
      </c>
      <c r="S77" s="49">
        <f t="shared" si="107"/>
        <v>6221.8560578973902</v>
      </c>
      <c r="T77" s="10">
        <f t="shared" si="122"/>
        <v>0.57431699999999997</v>
      </c>
      <c r="U77" s="10">
        <f t="shared" si="122"/>
        <v>0.77613600000000005</v>
      </c>
      <c r="V77" s="55">
        <f t="shared" si="122"/>
        <v>2.978529</v>
      </c>
      <c r="W77" s="50">
        <f t="shared" si="112"/>
        <v>4686.2842425388344</v>
      </c>
      <c r="X77" s="7">
        <v>10</v>
      </c>
      <c r="Y77" s="10">
        <f t="shared" si="123"/>
        <v>8.3812654067378797E-2</v>
      </c>
      <c r="Z77" s="10">
        <f t="shared" si="123"/>
        <v>0.85022421524663672</v>
      </c>
      <c r="AA77" s="7">
        <f t="shared" si="124"/>
        <v>13</v>
      </c>
      <c r="AB77" s="56">
        <f t="shared" si="113"/>
        <v>468.62842425388345</v>
      </c>
      <c r="AC77" s="50">
        <f t="shared" si="125"/>
        <v>6092.1695153004848</v>
      </c>
      <c r="AD77" s="4"/>
      <c r="AH77" s="221">
        <f t="shared" si="114"/>
        <v>13</v>
      </c>
      <c r="AI77" s="222">
        <f t="shared" si="115"/>
        <v>468.62842425388345</v>
      </c>
      <c r="AJ77" s="222">
        <f t="shared" si="116"/>
        <v>6092.1695153004848</v>
      </c>
      <c r="AK77" s="238">
        <f t="shared" si="117"/>
        <v>1.5096743200400788</v>
      </c>
      <c r="AL77" s="223">
        <f t="shared" si="118"/>
        <v>4.5999999999999999E-2</v>
      </c>
    </row>
    <row r="78" spans="1:38">
      <c r="A78" s="92"/>
      <c r="B78" s="93"/>
      <c r="C78" s="54">
        <f t="shared" si="119"/>
        <v>13741</v>
      </c>
      <c r="D78" s="54">
        <f t="shared" si="119"/>
        <v>1392.261</v>
      </c>
      <c r="E78" s="54">
        <f t="shared" si="119"/>
        <v>10977</v>
      </c>
      <c r="F78" s="54">
        <f t="shared" si="119"/>
        <v>16505</v>
      </c>
      <c r="G78" s="24">
        <f t="shared" si="119"/>
        <v>0.10100000000000001</v>
      </c>
      <c r="H78" s="22">
        <f t="shared" si="120"/>
        <v>1.5663048000445321</v>
      </c>
      <c r="I78" s="21">
        <f t="shared" si="126"/>
        <v>139180</v>
      </c>
      <c r="J78" s="21">
        <f t="shared" si="126"/>
        <v>2816</v>
      </c>
      <c r="K78" s="314"/>
      <c r="L78" s="11">
        <f t="shared" si="126"/>
        <v>4.5999999999999999E-2</v>
      </c>
      <c r="M78" s="47">
        <f t="shared" si="109"/>
        <v>9.8728265555395892E-2</v>
      </c>
      <c r="N78" s="47">
        <f t="shared" si="104"/>
        <v>0.90127173444460407</v>
      </c>
      <c r="O78" s="47">
        <f t="shared" si="110"/>
        <v>8.8980995135819113E-2</v>
      </c>
      <c r="P78" s="48">
        <f t="shared" si="105"/>
        <v>2699772701.0554929</v>
      </c>
      <c r="Q78" s="3">
        <f t="shared" si="106"/>
        <v>399532.71139599994</v>
      </c>
      <c r="R78" s="49">
        <f t="shared" si="111"/>
        <v>6757.325805995375</v>
      </c>
      <c r="S78" s="49">
        <f t="shared" si="107"/>
        <v>6444.4418210642552</v>
      </c>
      <c r="T78" s="10">
        <f t="shared" si="122"/>
        <v>0.57431699999999997</v>
      </c>
      <c r="U78" s="10">
        <f t="shared" si="122"/>
        <v>0.77613600000000005</v>
      </c>
      <c r="V78" s="55">
        <f t="shared" si="122"/>
        <v>2.978529</v>
      </c>
      <c r="W78" s="50">
        <f t="shared" si="112"/>
        <v>4853.9352047012189</v>
      </c>
      <c r="X78" s="7">
        <v>11</v>
      </c>
      <c r="Y78" s="10">
        <f t="shared" si="123"/>
        <v>8.3812654067378797E-2</v>
      </c>
      <c r="Z78" s="10">
        <f t="shared" si="123"/>
        <v>0.85022421524663672</v>
      </c>
      <c r="AA78" s="7">
        <f t="shared" si="124"/>
        <v>15</v>
      </c>
      <c r="AB78" s="56">
        <f t="shared" si="113"/>
        <v>441.2668367910199</v>
      </c>
      <c r="AC78" s="50">
        <f t="shared" si="125"/>
        <v>6619.0025518652983</v>
      </c>
      <c r="AD78" s="4"/>
      <c r="AH78" s="221">
        <f t="shared" si="114"/>
        <v>15</v>
      </c>
      <c r="AI78" s="222">
        <f t="shared" si="115"/>
        <v>441.2668367910199</v>
      </c>
      <c r="AJ78" s="222">
        <f t="shared" si="116"/>
        <v>6619.0025518652983</v>
      </c>
      <c r="AK78" s="238">
        <f t="shared" si="117"/>
        <v>1.5663048000445321</v>
      </c>
      <c r="AL78" s="223">
        <f t="shared" si="118"/>
        <v>4.5999999999999999E-2</v>
      </c>
    </row>
    <row r="79" spans="1:38">
      <c r="A79" s="92"/>
      <c r="B79" s="93"/>
      <c r="C79" s="54">
        <f t="shared" si="119"/>
        <v>13741</v>
      </c>
      <c r="D79" s="54">
        <f t="shared" si="119"/>
        <v>1392.261</v>
      </c>
      <c r="E79" s="54">
        <f t="shared" si="119"/>
        <v>10977</v>
      </c>
      <c r="F79" s="54">
        <f t="shared" si="119"/>
        <v>16505</v>
      </c>
      <c r="G79" s="24">
        <f t="shared" si="119"/>
        <v>0.10100000000000001</v>
      </c>
      <c r="H79" s="22">
        <f t="shared" si="120"/>
        <v>1.6229352800489854</v>
      </c>
      <c r="I79" s="21">
        <f t="shared" si="126"/>
        <v>139180</v>
      </c>
      <c r="J79" s="21">
        <f t="shared" si="126"/>
        <v>2816</v>
      </c>
      <c r="K79" s="314"/>
      <c r="L79" s="11">
        <f t="shared" si="126"/>
        <v>4.5999999999999999E-2</v>
      </c>
      <c r="M79" s="47">
        <f t="shared" si="109"/>
        <v>9.8728265555395892E-2</v>
      </c>
      <c r="N79" s="47">
        <f t="shared" si="104"/>
        <v>0.90127173444460407</v>
      </c>
      <c r="O79" s="47">
        <f t="shared" si="110"/>
        <v>8.8980995135819113E-2</v>
      </c>
      <c r="P79" s="48">
        <f t="shared" si="105"/>
        <v>2797384241.2610426</v>
      </c>
      <c r="Q79" s="3">
        <f t="shared" si="106"/>
        <v>399532.71139599994</v>
      </c>
      <c r="R79" s="49">
        <f t="shared" si="111"/>
        <v>7001.6400696872943</v>
      </c>
      <c r="S79" s="49">
        <f t="shared" si="107"/>
        <v>6666.2835663529449</v>
      </c>
      <c r="T79" s="10">
        <f t="shared" si="122"/>
        <v>0.57431699999999997</v>
      </c>
      <c r="U79" s="10">
        <f t="shared" si="122"/>
        <v>0.77613600000000005</v>
      </c>
      <c r="V79" s="55">
        <f t="shared" si="122"/>
        <v>2.978529</v>
      </c>
      <c r="W79" s="50">
        <f t="shared" si="112"/>
        <v>5021.0257747191672</v>
      </c>
      <c r="X79" s="7">
        <v>12</v>
      </c>
      <c r="Y79" s="10">
        <f t="shared" si="123"/>
        <v>8.3812654067378797E-2</v>
      </c>
      <c r="Z79" s="10">
        <f t="shared" si="123"/>
        <v>0.85022421524663672</v>
      </c>
      <c r="AA79" s="7">
        <f t="shared" si="124"/>
        <v>16</v>
      </c>
      <c r="AB79" s="56">
        <f t="shared" si="113"/>
        <v>418.41881455993058</v>
      </c>
      <c r="AC79" s="50">
        <f t="shared" si="125"/>
        <v>6694.7010329588893</v>
      </c>
      <c r="AD79" s="4"/>
      <c r="AH79" s="221">
        <f t="shared" si="114"/>
        <v>16</v>
      </c>
      <c r="AI79" s="222">
        <f t="shared" si="115"/>
        <v>418.41881455993058</v>
      </c>
      <c r="AJ79" s="222">
        <f t="shared" si="116"/>
        <v>6694.7010329588893</v>
      </c>
      <c r="AK79" s="238">
        <f t="shared" si="117"/>
        <v>1.6229352800489854</v>
      </c>
      <c r="AL79" s="223">
        <f t="shared" si="118"/>
        <v>4.5999999999999999E-2</v>
      </c>
    </row>
    <row r="80" spans="1:38">
      <c r="A80" s="92"/>
      <c r="B80" s="93"/>
      <c r="C80" s="54">
        <f t="shared" si="119"/>
        <v>13741</v>
      </c>
      <c r="D80" s="54">
        <f t="shared" si="119"/>
        <v>1392.261</v>
      </c>
      <c r="E80" s="54">
        <f t="shared" si="119"/>
        <v>10977</v>
      </c>
      <c r="F80" s="54">
        <f t="shared" si="119"/>
        <v>16505</v>
      </c>
      <c r="G80" s="24">
        <f t="shared" si="119"/>
        <v>0.10100000000000001</v>
      </c>
      <c r="H80" s="22">
        <f t="shared" si="120"/>
        <v>1.6795657600534386</v>
      </c>
      <c r="I80" s="21">
        <f t="shared" si="126"/>
        <v>139180</v>
      </c>
      <c r="J80" s="21">
        <f t="shared" si="126"/>
        <v>2816</v>
      </c>
      <c r="K80" s="314"/>
      <c r="L80" s="11">
        <f t="shared" si="126"/>
        <v>4.5999999999999999E-2</v>
      </c>
      <c r="M80" s="47">
        <f t="shared" si="109"/>
        <v>9.8728265555395892E-2</v>
      </c>
      <c r="N80" s="47">
        <f t="shared" si="104"/>
        <v>0.90127173444460407</v>
      </c>
      <c r="O80" s="47">
        <f t="shared" si="110"/>
        <v>8.8980995135819113E-2</v>
      </c>
      <c r="P80" s="48">
        <f t="shared" si="105"/>
        <v>2894995781.4665918</v>
      </c>
      <c r="Q80" s="3">
        <f t="shared" si="106"/>
        <v>399532.71139599994</v>
      </c>
      <c r="R80" s="49">
        <f t="shared" si="111"/>
        <v>7245.9543333792117</v>
      </c>
      <c r="S80" s="49">
        <f t="shared" si="107"/>
        <v>6887.3850179839555</v>
      </c>
      <c r="T80" s="10">
        <f t="shared" si="122"/>
        <v>0.57431699999999997</v>
      </c>
      <c r="U80" s="10">
        <f t="shared" si="122"/>
        <v>0.77613600000000005</v>
      </c>
      <c r="V80" s="55">
        <f t="shared" si="122"/>
        <v>2.978529</v>
      </c>
      <c r="W80" s="50">
        <f t="shared" si="112"/>
        <v>5187.5587576649386</v>
      </c>
      <c r="X80" s="7">
        <v>13</v>
      </c>
      <c r="Y80" s="10">
        <f t="shared" si="123"/>
        <v>8.3812654067378797E-2</v>
      </c>
      <c r="Z80" s="10">
        <f t="shared" si="123"/>
        <v>0.85022421524663672</v>
      </c>
      <c r="AA80" s="7">
        <f t="shared" si="124"/>
        <v>17</v>
      </c>
      <c r="AB80" s="56">
        <f t="shared" si="113"/>
        <v>399.04298135884142</v>
      </c>
      <c r="AC80" s="50">
        <f t="shared" si="125"/>
        <v>6783.7306831003043</v>
      </c>
      <c r="AD80" s="4"/>
      <c r="AH80" s="221">
        <f t="shared" si="114"/>
        <v>17</v>
      </c>
      <c r="AI80" s="222">
        <f t="shared" si="115"/>
        <v>399.04298135884142</v>
      </c>
      <c r="AJ80" s="222">
        <f t="shared" si="116"/>
        <v>6783.7306831003043</v>
      </c>
      <c r="AK80" s="238">
        <f t="shared" si="117"/>
        <v>1.6795657600534386</v>
      </c>
      <c r="AL80" s="223">
        <f t="shared" si="118"/>
        <v>4.5999999999999999E-2</v>
      </c>
    </row>
    <row r="81" spans="1:38">
      <c r="A81" s="92"/>
      <c r="B81" s="93"/>
      <c r="C81" s="54">
        <f t="shared" si="119"/>
        <v>13741</v>
      </c>
      <c r="D81" s="54">
        <f t="shared" si="119"/>
        <v>1392.261</v>
      </c>
      <c r="E81" s="54">
        <f t="shared" si="119"/>
        <v>10977</v>
      </c>
      <c r="F81" s="54">
        <f t="shared" si="119"/>
        <v>16505</v>
      </c>
      <c r="G81" s="24">
        <f t="shared" si="119"/>
        <v>0.10100000000000001</v>
      </c>
      <c r="H81" s="22">
        <f t="shared" si="120"/>
        <v>1.7361962400578919</v>
      </c>
      <c r="I81" s="21">
        <f t="shared" si="126"/>
        <v>139180</v>
      </c>
      <c r="J81" s="21">
        <f t="shared" si="126"/>
        <v>2816</v>
      </c>
      <c r="K81" s="314"/>
      <c r="L81" s="11">
        <f t="shared" si="126"/>
        <v>4.5999999999999999E-2</v>
      </c>
      <c r="M81" s="47">
        <f t="shared" si="109"/>
        <v>9.8728265555395892E-2</v>
      </c>
      <c r="N81" s="47">
        <f t="shared" si="104"/>
        <v>0.90127173444460407</v>
      </c>
      <c r="O81" s="47">
        <f t="shared" si="110"/>
        <v>8.8980995135819113E-2</v>
      </c>
      <c r="P81" s="48">
        <f t="shared" si="105"/>
        <v>2992607321.6721411</v>
      </c>
      <c r="Q81" s="3">
        <f t="shared" si="106"/>
        <v>399532.71139599994</v>
      </c>
      <c r="R81" s="49">
        <f t="shared" si="111"/>
        <v>7490.26859707113</v>
      </c>
      <c r="S81" s="49">
        <f t="shared" si="107"/>
        <v>7107.7498753634763</v>
      </c>
      <c r="T81" s="10">
        <f t="shared" si="122"/>
        <v>0.57431699999999997</v>
      </c>
      <c r="U81" s="10">
        <f t="shared" si="122"/>
        <v>0.77613600000000005</v>
      </c>
      <c r="V81" s="55">
        <f t="shared" si="122"/>
        <v>2.978529</v>
      </c>
      <c r="W81" s="50">
        <f t="shared" si="112"/>
        <v>5353.5369399207257</v>
      </c>
      <c r="X81" s="7">
        <v>14</v>
      </c>
      <c r="Y81" s="10">
        <f t="shared" si="123"/>
        <v>8.3812654067378797E-2</v>
      </c>
      <c r="Z81" s="10">
        <f t="shared" si="123"/>
        <v>0.85022421524663672</v>
      </c>
      <c r="AA81" s="7">
        <f t="shared" si="124"/>
        <v>18</v>
      </c>
      <c r="AB81" s="56">
        <f t="shared" si="113"/>
        <v>382.39549570862329</v>
      </c>
      <c r="AC81" s="50">
        <f t="shared" si="125"/>
        <v>6883.1189227552195</v>
      </c>
      <c r="AD81" s="4"/>
      <c r="AH81" s="221">
        <f t="shared" si="114"/>
        <v>18</v>
      </c>
      <c r="AI81" s="222">
        <f t="shared" si="115"/>
        <v>382.39549570862329</v>
      </c>
      <c r="AJ81" s="222">
        <f t="shared" si="116"/>
        <v>6883.1189227552195</v>
      </c>
      <c r="AK81" s="238">
        <f t="shared" si="117"/>
        <v>1.7361962400578919</v>
      </c>
      <c r="AL81" s="223">
        <f t="shared" si="118"/>
        <v>4.5999999999999999E-2</v>
      </c>
    </row>
    <row r="82" spans="1:38">
      <c r="A82" s="92"/>
      <c r="B82" s="93"/>
      <c r="C82" s="54">
        <f t="shared" si="119"/>
        <v>13741</v>
      </c>
      <c r="D82" s="54">
        <f t="shared" si="119"/>
        <v>1392.261</v>
      </c>
      <c r="E82" s="54">
        <f t="shared" si="119"/>
        <v>10977</v>
      </c>
      <c r="F82" s="54">
        <f t="shared" si="119"/>
        <v>16505</v>
      </c>
      <c r="G82" s="24">
        <f t="shared" si="119"/>
        <v>0.10100000000000001</v>
      </c>
      <c r="H82" s="22">
        <f t="shared" si="120"/>
        <v>1.7928267200623451</v>
      </c>
      <c r="I82" s="21">
        <f t="shared" si="126"/>
        <v>139180</v>
      </c>
      <c r="J82" s="21">
        <f t="shared" si="126"/>
        <v>2816</v>
      </c>
      <c r="K82" s="314"/>
      <c r="L82" s="11">
        <f t="shared" si="126"/>
        <v>4.5999999999999999E-2</v>
      </c>
      <c r="M82" s="47">
        <f t="shared" si="109"/>
        <v>9.8728265555395892E-2</v>
      </c>
      <c r="N82" s="47">
        <f t="shared" si="104"/>
        <v>0.90127173444460407</v>
      </c>
      <c r="O82" s="47">
        <f t="shared" si="110"/>
        <v>8.8980995135819113E-2</v>
      </c>
      <c r="P82" s="48">
        <f t="shared" si="105"/>
        <v>3090218861.8776903</v>
      </c>
      <c r="Q82" s="3">
        <f t="shared" si="106"/>
        <v>399532.71139599994</v>
      </c>
      <c r="R82" s="49">
        <f t="shared" si="111"/>
        <v>7734.5828607630474</v>
      </c>
      <c r="S82" s="49">
        <f t="shared" si="107"/>
        <v>7327.3818132897204</v>
      </c>
      <c r="T82" s="10">
        <f t="shared" si="122"/>
        <v>0.57431699999999997</v>
      </c>
      <c r="U82" s="10">
        <f t="shared" si="122"/>
        <v>0.77613600000000005</v>
      </c>
      <c r="V82" s="55">
        <f t="shared" si="122"/>
        <v>2.978529</v>
      </c>
      <c r="W82" s="50">
        <f t="shared" si="112"/>
        <v>5518.9630893340645</v>
      </c>
      <c r="X82" s="7">
        <v>15</v>
      </c>
      <c r="Y82" s="66">
        <f t="shared" si="123"/>
        <v>8.3812654067378797E-2</v>
      </c>
      <c r="Z82" s="66">
        <f t="shared" si="123"/>
        <v>0.85022421524663672</v>
      </c>
      <c r="AA82" s="7">
        <f t="shared" si="124"/>
        <v>20</v>
      </c>
      <c r="AB82" s="56">
        <f t="shared" si="113"/>
        <v>367.93087262227095</v>
      </c>
      <c r="AC82" s="68">
        <f t="shared" si="125"/>
        <v>7358.6174524454191</v>
      </c>
      <c r="AD82" s="4"/>
      <c r="AH82" s="221">
        <f t="shared" si="114"/>
        <v>20</v>
      </c>
      <c r="AI82" s="222">
        <f t="shared" si="115"/>
        <v>367.93087262227095</v>
      </c>
      <c r="AJ82" s="222">
        <f t="shared" si="116"/>
        <v>7358.6174524454191</v>
      </c>
      <c r="AK82" s="238">
        <f t="shared" si="117"/>
        <v>1.7928267200623451</v>
      </c>
      <c r="AL82" s="223">
        <f t="shared" si="118"/>
        <v>4.5999999999999999E-2</v>
      </c>
    </row>
    <row r="83" spans="1:38">
      <c r="A83" s="327" t="s">
        <v>65</v>
      </c>
      <c r="B83" s="328"/>
      <c r="C83" s="328"/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328"/>
      <c r="Z83" s="328"/>
      <c r="AA83" s="328"/>
      <c r="AB83" s="328"/>
      <c r="AC83" s="328"/>
      <c r="AD83" s="329"/>
      <c r="AH83" s="317" t="s">
        <v>65</v>
      </c>
      <c r="AI83" s="317"/>
      <c r="AJ83" s="317"/>
      <c r="AK83" s="317"/>
      <c r="AL83" s="317"/>
    </row>
    <row r="84" spans="1:38" ht="16.5" customHeight="1">
      <c r="A84" s="103" t="s">
        <v>47</v>
      </c>
      <c r="B84" s="93" t="s">
        <v>65</v>
      </c>
      <c r="C84" s="16">
        <v>17505</v>
      </c>
      <c r="D84" s="44">
        <v>1422.7139999999999</v>
      </c>
      <c r="E84" s="44">
        <v>14692</v>
      </c>
      <c r="F84" s="44">
        <v>20318</v>
      </c>
      <c r="G84" s="45">
        <v>8.1000000000000003E-2</v>
      </c>
      <c r="H84" s="45">
        <v>1.3</v>
      </c>
      <c r="I84" s="44">
        <v>148152</v>
      </c>
      <c r="J84" s="44">
        <v>3971</v>
      </c>
      <c r="K84" s="313">
        <v>938</v>
      </c>
      <c r="L84" s="46">
        <f>L71</f>
        <v>4.5999999999999999E-2</v>
      </c>
      <c r="M84" s="47">
        <f t="shared" ref="M84:M95" si="127">C84/I84</f>
        <v>0.11815567795237324</v>
      </c>
      <c r="N84" s="47">
        <f t="shared" ref="N84:N95" si="128">1-M84</f>
        <v>0.88184432204762675</v>
      </c>
      <c r="O84" s="47">
        <f>M84*N84</f>
        <v>0.10419491371998829</v>
      </c>
      <c r="P84" s="48">
        <f t="shared" ref="P84:P95" si="129">(I84^2)*(O84*H84)</f>
        <v>2973068455.5</v>
      </c>
      <c r="Q84" s="3">
        <f t="shared" ref="Q84:Q95" si="130">(L84^2)*(C84^2)</f>
        <v>648395.35289999994</v>
      </c>
      <c r="R84" s="49">
        <f>P84/Q84</f>
        <v>4585.2710729691598</v>
      </c>
      <c r="S84" s="49">
        <f t="shared" ref="S84:S95" si="131">R84/(1+(R84/I84))</f>
        <v>4447.6182874708302</v>
      </c>
      <c r="T84" s="15">
        <v>0.51648300000000003</v>
      </c>
      <c r="U84" s="15">
        <v>0.76609899999999997</v>
      </c>
      <c r="V84" s="15">
        <v>2.9048280000000002</v>
      </c>
      <c r="W84" s="50">
        <f>S84/(T84*U84*V84)</f>
        <v>3869.600748242191</v>
      </c>
      <c r="X84" s="15">
        <v>10.156886999999999</v>
      </c>
      <c r="Y84" s="15">
        <v>0.10365488316357097</v>
      </c>
      <c r="Z84" s="15">
        <v>0.91911764705882359</v>
      </c>
      <c r="AA84" s="15">
        <f>X84/((1-Y84)*Z84)</f>
        <v>12.328614111272726</v>
      </c>
      <c r="AB84" s="51">
        <f>W84/X84</f>
        <v>380.98294765336971</v>
      </c>
      <c r="AC84" s="144">
        <f>AA84*AB84</f>
        <v>4696.9917445936117</v>
      </c>
      <c r="AD84" s="98">
        <f>(H84-1)/(X84-1)</f>
        <v>3.276222585251954E-2</v>
      </c>
      <c r="AH84" s="221">
        <f>+AA84</f>
        <v>12.328614111272726</v>
      </c>
      <c r="AI84" s="222">
        <f>+AB84</f>
        <v>380.98294765336971</v>
      </c>
      <c r="AJ84" s="222">
        <f>+AC84</f>
        <v>4696.9917445936117</v>
      </c>
      <c r="AK84" s="238">
        <f>+H84</f>
        <v>1.3</v>
      </c>
      <c r="AL84" s="239">
        <f>+L84</f>
        <v>4.5999999999999999E-2</v>
      </c>
    </row>
    <row r="85" spans="1:38">
      <c r="A85" s="92"/>
      <c r="B85" s="93"/>
      <c r="C85" s="54">
        <f>C84</f>
        <v>17505</v>
      </c>
      <c r="D85" s="54">
        <f t="shared" ref="D85" si="132">D84</f>
        <v>1422.7139999999999</v>
      </c>
      <c r="E85" s="54">
        <f>E84</f>
        <v>14692</v>
      </c>
      <c r="F85" s="54">
        <f>F84</f>
        <v>20318</v>
      </c>
      <c r="G85" s="24">
        <f>G84</f>
        <v>8.1000000000000003E-2</v>
      </c>
      <c r="H85" s="22">
        <f>1+(X85-1)*$AD$31</f>
        <v>1.2265219200178128</v>
      </c>
      <c r="I85" s="21">
        <f>I84</f>
        <v>148152</v>
      </c>
      <c r="J85" s="21">
        <f>J84</f>
        <v>3971</v>
      </c>
      <c r="K85" s="314" t="s">
        <v>74</v>
      </c>
      <c r="L85" s="11">
        <f>L84</f>
        <v>4.5999999999999999E-2</v>
      </c>
      <c r="M85" s="47">
        <f t="shared" si="127"/>
        <v>0.11815567795237324</v>
      </c>
      <c r="N85" s="47">
        <f t="shared" si="128"/>
        <v>0.88184432204762675</v>
      </c>
      <c r="O85" s="47">
        <f t="shared" ref="O85:O95" si="133">M85*N85</f>
        <v>0.10419491371998829</v>
      </c>
      <c r="P85" s="48">
        <f t="shared" si="129"/>
        <v>2805025869.5263481</v>
      </c>
      <c r="Q85" s="3">
        <f t="shared" si="130"/>
        <v>648395.35289999994</v>
      </c>
      <c r="R85" s="49">
        <f t="shared" ref="R85:R95" si="134">P85/Q85</f>
        <v>4326.1042155540536</v>
      </c>
      <c r="S85" s="49">
        <f t="shared" si="131"/>
        <v>4203.3641160485049</v>
      </c>
      <c r="T85" s="10">
        <f>T84</f>
        <v>0.51648300000000003</v>
      </c>
      <c r="U85" s="10">
        <f>U84</f>
        <v>0.76609899999999997</v>
      </c>
      <c r="V85" s="55">
        <f>V84</f>
        <v>2.9048280000000002</v>
      </c>
      <c r="W85" s="50">
        <f t="shared" ref="W85:W95" si="135">S85/(T85*U85*V85)</f>
        <v>3657.0901271846942</v>
      </c>
      <c r="X85" s="7">
        <v>5</v>
      </c>
      <c r="Y85" s="10">
        <f>Y84</f>
        <v>0.10365488316357097</v>
      </c>
      <c r="Z85" s="10">
        <f>Z84</f>
        <v>0.91911764705882359</v>
      </c>
      <c r="AA85" s="7">
        <f>ROUNDUP(X85/((1-Y85)*Z85),0)</f>
        <v>7</v>
      </c>
      <c r="AB85" s="56">
        <f t="shared" ref="AB85:AB95" si="136">W85/X85</f>
        <v>731.41802543693882</v>
      </c>
      <c r="AC85" s="50">
        <f>AA85*AB85</f>
        <v>5119.9261780585721</v>
      </c>
      <c r="AD85" s="8"/>
      <c r="AH85" s="221">
        <f t="shared" ref="AH85:AH95" si="137">+AA85</f>
        <v>7</v>
      </c>
      <c r="AI85" s="222">
        <f t="shared" ref="AI85:AI95" si="138">+AB85</f>
        <v>731.41802543693882</v>
      </c>
      <c r="AJ85" s="222">
        <f t="shared" ref="AJ85:AJ95" si="139">+AC85</f>
        <v>5119.9261780585721</v>
      </c>
      <c r="AK85" s="238">
        <f t="shared" ref="AK85:AK95" si="140">+H85</f>
        <v>1.2265219200178128</v>
      </c>
      <c r="AL85" s="239">
        <f t="shared" ref="AL85:AL95" si="141">+L85</f>
        <v>4.5999999999999999E-2</v>
      </c>
    </row>
    <row r="86" spans="1:38">
      <c r="A86" s="92"/>
      <c r="B86" s="93"/>
      <c r="C86" s="54">
        <f t="shared" ref="C86:G95" si="142">C85</f>
        <v>17505</v>
      </c>
      <c r="D86" s="54">
        <f t="shared" si="142"/>
        <v>1422.7139999999999</v>
      </c>
      <c r="E86" s="54">
        <f t="shared" si="142"/>
        <v>14692</v>
      </c>
      <c r="F86" s="54">
        <f t="shared" si="142"/>
        <v>20318</v>
      </c>
      <c r="G86" s="24">
        <f t="shared" si="142"/>
        <v>8.1000000000000003E-2</v>
      </c>
      <c r="H86" s="22">
        <f t="shared" ref="H86:H95" si="143">1+(X86-1)*$AD$31</f>
        <v>1.283152400022266</v>
      </c>
      <c r="I86" s="21">
        <f>I85</f>
        <v>148152</v>
      </c>
      <c r="J86" s="21">
        <f t="shared" ref="J86:L86" si="144">J85</f>
        <v>3971</v>
      </c>
      <c r="K86" s="314">
        <v>304</v>
      </c>
      <c r="L86" s="11">
        <f t="shared" si="144"/>
        <v>4.5999999999999999E-2</v>
      </c>
      <c r="M86" s="47">
        <f t="shared" si="127"/>
        <v>0.11815567795237324</v>
      </c>
      <c r="N86" s="47">
        <f t="shared" si="128"/>
        <v>0.88184432204762675</v>
      </c>
      <c r="O86" s="47">
        <f t="shared" si="133"/>
        <v>0.10419491371998829</v>
      </c>
      <c r="P86" s="48">
        <f t="shared" si="129"/>
        <v>2934538403.1579356</v>
      </c>
      <c r="Q86" s="3">
        <f t="shared" si="130"/>
        <v>648395.35289999994</v>
      </c>
      <c r="R86" s="49">
        <f t="shared" si="134"/>
        <v>4525.8473707946523</v>
      </c>
      <c r="S86" s="49">
        <f t="shared" si="131"/>
        <v>4391.6871453496151</v>
      </c>
      <c r="T86" s="10">
        <f t="shared" ref="T86:V95" si="145">T85</f>
        <v>0.51648300000000003</v>
      </c>
      <c r="U86" s="10">
        <f t="shared" si="145"/>
        <v>0.76609899999999997</v>
      </c>
      <c r="V86" s="55">
        <f t="shared" si="145"/>
        <v>2.9048280000000002</v>
      </c>
      <c r="W86" s="50">
        <f t="shared" si="135"/>
        <v>3820.9384810660731</v>
      </c>
      <c r="X86" s="7">
        <v>6</v>
      </c>
      <c r="Y86" s="10">
        <f t="shared" ref="Y86:Z95" si="146">Y85</f>
        <v>0.10365488316357097</v>
      </c>
      <c r="Z86" s="10">
        <f t="shared" si="146"/>
        <v>0.91911764705882359</v>
      </c>
      <c r="AA86" s="7">
        <f t="shared" ref="AA86:AA95" si="147">ROUNDUP(X86/((1-Y86)*Z86),0)</f>
        <v>8</v>
      </c>
      <c r="AB86" s="56">
        <f t="shared" si="136"/>
        <v>636.82308017767889</v>
      </c>
      <c r="AC86" s="50">
        <f t="shared" ref="AC86:AC95" si="148">AA86*AB86</f>
        <v>5094.5846414214311</v>
      </c>
      <c r="AD86" s="8"/>
      <c r="AH86" s="221">
        <f t="shared" si="137"/>
        <v>8</v>
      </c>
      <c r="AI86" s="222">
        <f t="shared" si="138"/>
        <v>636.82308017767889</v>
      </c>
      <c r="AJ86" s="222">
        <f t="shared" si="139"/>
        <v>5094.5846414214311</v>
      </c>
      <c r="AK86" s="238">
        <f t="shared" si="140"/>
        <v>1.283152400022266</v>
      </c>
      <c r="AL86" s="239">
        <f t="shared" si="141"/>
        <v>4.5999999999999999E-2</v>
      </c>
    </row>
    <row r="87" spans="1:38">
      <c r="A87" s="92"/>
      <c r="B87" s="93"/>
      <c r="C87" s="54">
        <f t="shared" si="142"/>
        <v>17505</v>
      </c>
      <c r="D87" s="54">
        <f t="shared" si="142"/>
        <v>1422.7139999999999</v>
      </c>
      <c r="E87" s="54">
        <f t="shared" si="142"/>
        <v>14692</v>
      </c>
      <c r="F87" s="54">
        <f t="shared" si="142"/>
        <v>20318</v>
      </c>
      <c r="G87" s="24">
        <f t="shared" si="142"/>
        <v>8.1000000000000003E-2</v>
      </c>
      <c r="H87" s="22">
        <f t="shared" si="143"/>
        <v>1.3397828800267193</v>
      </c>
      <c r="I87" s="21">
        <f t="shared" ref="I87:L95" si="149">I86</f>
        <v>148152</v>
      </c>
      <c r="J87" s="21">
        <f t="shared" si="149"/>
        <v>3971</v>
      </c>
      <c r="K87" s="314" t="s">
        <v>75</v>
      </c>
      <c r="L87" s="11">
        <f t="shared" si="149"/>
        <v>4.5999999999999999E-2</v>
      </c>
      <c r="M87" s="47">
        <f t="shared" si="127"/>
        <v>0.11815567795237324</v>
      </c>
      <c r="N87" s="47">
        <f t="shared" si="128"/>
        <v>0.88184432204762675</v>
      </c>
      <c r="O87" s="47">
        <f t="shared" si="133"/>
        <v>0.10419491371998829</v>
      </c>
      <c r="P87" s="48">
        <f t="shared" si="129"/>
        <v>3064050936.7895226</v>
      </c>
      <c r="Q87" s="3">
        <f t="shared" si="130"/>
        <v>648395.35289999994</v>
      </c>
      <c r="R87" s="49">
        <f t="shared" si="134"/>
        <v>4725.5905260352502</v>
      </c>
      <c r="S87" s="49">
        <f t="shared" si="131"/>
        <v>4579.5180654285987</v>
      </c>
      <c r="T87" s="10">
        <f t="shared" si="145"/>
        <v>0.51648300000000003</v>
      </c>
      <c r="U87" s="10">
        <f t="shared" si="145"/>
        <v>0.76609899999999997</v>
      </c>
      <c r="V87" s="55">
        <f t="shared" si="145"/>
        <v>2.9048280000000002</v>
      </c>
      <c r="W87" s="50">
        <f t="shared" si="135"/>
        <v>3984.3586808004284</v>
      </c>
      <c r="X87" s="7">
        <v>7</v>
      </c>
      <c r="Y87" s="10">
        <f t="shared" si="146"/>
        <v>0.10365488316357097</v>
      </c>
      <c r="Z87" s="10">
        <f t="shared" si="146"/>
        <v>0.91911764705882359</v>
      </c>
      <c r="AA87" s="7">
        <f t="shared" si="147"/>
        <v>9</v>
      </c>
      <c r="AB87" s="56">
        <f t="shared" si="136"/>
        <v>569.19409725720402</v>
      </c>
      <c r="AC87" s="50">
        <f t="shared" si="148"/>
        <v>5122.746875314836</v>
      </c>
      <c r="AD87" s="8"/>
      <c r="AH87" s="221">
        <f t="shared" si="137"/>
        <v>9</v>
      </c>
      <c r="AI87" s="222">
        <f t="shared" si="138"/>
        <v>569.19409725720402</v>
      </c>
      <c r="AJ87" s="222">
        <f t="shared" si="139"/>
        <v>5122.746875314836</v>
      </c>
      <c r="AK87" s="238">
        <f t="shared" si="140"/>
        <v>1.3397828800267193</v>
      </c>
      <c r="AL87" s="239">
        <f t="shared" si="141"/>
        <v>4.5999999999999999E-2</v>
      </c>
    </row>
    <row r="88" spans="1:38">
      <c r="A88" s="92"/>
      <c r="B88" s="93"/>
      <c r="C88" s="54">
        <f t="shared" si="142"/>
        <v>17505</v>
      </c>
      <c r="D88" s="54">
        <f t="shared" si="142"/>
        <v>1422.7139999999999</v>
      </c>
      <c r="E88" s="54">
        <f t="shared" si="142"/>
        <v>14692</v>
      </c>
      <c r="F88" s="54">
        <f t="shared" si="142"/>
        <v>20318</v>
      </c>
      <c r="G88" s="24">
        <f t="shared" si="142"/>
        <v>8.1000000000000003E-2</v>
      </c>
      <c r="H88" s="22">
        <f t="shared" si="143"/>
        <v>1.3964133600311726</v>
      </c>
      <c r="I88" s="21">
        <f t="shared" si="149"/>
        <v>148152</v>
      </c>
      <c r="J88" s="21">
        <f t="shared" si="149"/>
        <v>3971</v>
      </c>
      <c r="K88" s="314">
        <v>634</v>
      </c>
      <c r="L88" s="11">
        <f t="shared" si="149"/>
        <v>4.5999999999999999E-2</v>
      </c>
      <c r="M88" s="47">
        <f t="shared" si="127"/>
        <v>0.11815567795237324</v>
      </c>
      <c r="N88" s="47">
        <f t="shared" si="128"/>
        <v>0.88184432204762675</v>
      </c>
      <c r="O88" s="47">
        <f t="shared" si="133"/>
        <v>0.10419491371998829</v>
      </c>
      <c r="P88" s="48">
        <f t="shared" si="129"/>
        <v>3193563470.4211102</v>
      </c>
      <c r="Q88" s="3">
        <f t="shared" si="130"/>
        <v>648395.35289999994</v>
      </c>
      <c r="R88" s="49">
        <f t="shared" si="134"/>
        <v>4925.3336812758489</v>
      </c>
      <c r="S88" s="49">
        <f t="shared" si="131"/>
        <v>4766.8588026735069</v>
      </c>
      <c r="T88" s="10">
        <f t="shared" si="145"/>
        <v>0.51648300000000003</v>
      </c>
      <c r="U88" s="10">
        <f t="shared" si="145"/>
        <v>0.76609899999999997</v>
      </c>
      <c r="V88" s="55">
        <f t="shared" si="145"/>
        <v>2.9048280000000002</v>
      </c>
      <c r="W88" s="50">
        <f t="shared" si="135"/>
        <v>4147.3524024202261</v>
      </c>
      <c r="X88" s="7">
        <v>8</v>
      </c>
      <c r="Y88" s="10">
        <f t="shared" si="146"/>
        <v>0.10365488316357097</v>
      </c>
      <c r="Z88" s="10">
        <f t="shared" si="146"/>
        <v>0.91911764705882359</v>
      </c>
      <c r="AA88" s="7">
        <f t="shared" si="147"/>
        <v>10</v>
      </c>
      <c r="AB88" s="56">
        <f t="shared" si="136"/>
        <v>518.41905030252826</v>
      </c>
      <c r="AC88" s="50">
        <f t="shared" si="148"/>
        <v>5184.1905030252829</v>
      </c>
      <c r="AD88" s="8"/>
      <c r="AH88" s="221">
        <f t="shared" si="137"/>
        <v>10</v>
      </c>
      <c r="AI88" s="222">
        <f t="shared" si="138"/>
        <v>518.41905030252826</v>
      </c>
      <c r="AJ88" s="222">
        <f t="shared" si="139"/>
        <v>5184.1905030252829</v>
      </c>
      <c r="AK88" s="238">
        <f t="shared" si="140"/>
        <v>1.3964133600311726</v>
      </c>
      <c r="AL88" s="239">
        <f t="shared" si="141"/>
        <v>4.5999999999999999E-2</v>
      </c>
    </row>
    <row r="89" spans="1:38">
      <c r="A89" s="92"/>
      <c r="B89" s="93"/>
      <c r="C89" s="54">
        <f t="shared" si="142"/>
        <v>17505</v>
      </c>
      <c r="D89" s="54">
        <f t="shared" si="142"/>
        <v>1422.7139999999999</v>
      </c>
      <c r="E89" s="54">
        <f t="shared" si="142"/>
        <v>14692</v>
      </c>
      <c r="F89" s="54">
        <f t="shared" si="142"/>
        <v>20318</v>
      </c>
      <c r="G89" s="24">
        <f t="shared" si="142"/>
        <v>8.1000000000000003E-2</v>
      </c>
      <c r="H89" s="22">
        <f t="shared" si="143"/>
        <v>1.4530438400356258</v>
      </c>
      <c r="I89" s="21">
        <f t="shared" si="149"/>
        <v>148152</v>
      </c>
      <c r="J89" s="21">
        <f t="shared" si="149"/>
        <v>3971</v>
      </c>
      <c r="K89" s="314"/>
      <c r="L89" s="11">
        <f t="shared" si="149"/>
        <v>4.5999999999999999E-2</v>
      </c>
      <c r="M89" s="47">
        <f t="shared" si="127"/>
        <v>0.11815567795237324</v>
      </c>
      <c r="N89" s="47">
        <f t="shared" si="128"/>
        <v>0.88184432204762675</v>
      </c>
      <c r="O89" s="47">
        <f t="shared" si="133"/>
        <v>0.10419491371998829</v>
      </c>
      <c r="P89" s="48">
        <f t="shared" si="129"/>
        <v>3323076004.0526972</v>
      </c>
      <c r="Q89" s="3">
        <f t="shared" si="130"/>
        <v>648395.35289999994</v>
      </c>
      <c r="R89" s="49">
        <f t="shared" si="134"/>
        <v>5125.0768365164477</v>
      </c>
      <c r="S89" s="49">
        <f t="shared" si="131"/>
        <v>4953.7112734308939</v>
      </c>
      <c r="T89" s="10">
        <f t="shared" si="145"/>
        <v>0.51648300000000003</v>
      </c>
      <c r="U89" s="10">
        <f t="shared" si="145"/>
        <v>0.76609899999999997</v>
      </c>
      <c r="V89" s="55">
        <f t="shared" si="145"/>
        <v>2.9048280000000002</v>
      </c>
      <c r="W89" s="50">
        <f t="shared" si="135"/>
        <v>4309.9213132214381</v>
      </c>
      <c r="X89" s="7">
        <v>9</v>
      </c>
      <c r="Y89" s="10">
        <f t="shared" si="146"/>
        <v>0.10365488316357097</v>
      </c>
      <c r="Z89" s="10">
        <f t="shared" si="146"/>
        <v>0.91911764705882359</v>
      </c>
      <c r="AA89" s="7">
        <f t="shared" si="147"/>
        <v>11</v>
      </c>
      <c r="AB89" s="56">
        <f t="shared" si="136"/>
        <v>478.88014591349315</v>
      </c>
      <c r="AC89" s="50">
        <f t="shared" si="148"/>
        <v>5267.6816050484249</v>
      </c>
      <c r="AD89" s="4"/>
      <c r="AH89" s="221">
        <f t="shared" si="137"/>
        <v>11</v>
      </c>
      <c r="AI89" s="222">
        <f t="shared" si="138"/>
        <v>478.88014591349315</v>
      </c>
      <c r="AJ89" s="222">
        <f t="shared" si="139"/>
        <v>5267.6816050484249</v>
      </c>
      <c r="AK89" s="238">
        <f t="shared" si="140"/>
        <v>1.4530438400356258</v>
      </c>
      <c r="AL89" s="239">
        <f t="shared" si="141"/>
        <v>4.5999999999999999E-2</v>
      </c>
    </row>
    <row r="90" spans="1:38">
      <c r="A90" s="92"/>
      <c r="B90" s="93"/>
      <c r="C90" s="54">
        <f t="shared" si="142"/>
        <v>17505</v>
      </c>
      <c r="D90" s="54">
        <f t="shared" si="142"/>
        <v>1422.7139999999999</v>
      </c>
      <c r="E90" s="54">
        <f t="shared" si="142"/>
        <v>14692</v>
      </c>
      <c r="F90" s="54">
        <f t="shared" si="142"/>
        <v>20318</v>
      </c>
      <c r="G90" s="24">
        <f t="shared" si="142"/>
        <v>8.1000000000000003E-2</v>
      </c>
      <c r="H90" s="22">
        <f t="shared" si="143"/>
        <v>1.5096743200400788</v>
      </c>
      <c r="I90" s="21">
        <f t="shared" si="149"/>
        <v>148152</v>
      </c>
      <c r="J90" s="21">
        <f t="shared" si="149"/>
        <v>3971</v>
      </c>
      <c r="K90" s="314"/>
      <c r="L90" s="11">
        <f t="shared" si="149"/>
        <v>4.5999999999999999E-2</v>
      </c>
      <c r="M90" s="47">
        <f t="shared" si="127"/>
        <v>0.11815567795237324</v>
      </c>
      <c r="N90" s="47">
        <f t="shared" si="128"/>
        <v>0.88184432204762675</v>
      </c>
      <c r="O90" s="47">
        <f t="shared" si="133"/>
        <v>0.10419491371998829</v>
      </c>
      <c r="P90" s="48">
        <f t="shared" si="129"/>
        <v>3452588537.6842847</v>
      </c>
      <c r="Q90" s="3">
        <f t="shared" si="130"/>
        <v>648395.35289999994</v>
      </c>
      <c r="R90" s="49">
        <f t="shared" si="134"/>
        <v>5324.8199917570464</v>
      </c>
      <c r="S90" s="49">
        <f t="shared" si="131"/>
        <v>5140.0773840711545</v>
      </c>
      <c r="T90" s="10">
        <f t="shared" si="145"/>
        <v>0.51648300000000003</v>
      </c>
      <c r="U90" s="10">
        <f t="shared" si="145"/>
        <v>0.76609899999999997</v>
      </c>
      <c r="V90" s="55">
        <f t="shared" si="145"/>
        <v>2.9048280000000002</v>
      </c>
      <c r="W90" s="50">
        <f t="shared" si="135"/>
        <v>4472.0670718203928</v>
      </c>
      <c r="X90" s="7">
        <v>10</v>
      </c>
      <c r="Y90" s="10">
        <f t="shared" si="146"/>
        <v>0.10365488316357097</v>
      </c>
      <c r="Z90" s="10">
        <f t="shared" si="146"/>
        <v>0.91911764705882359</v>
      </c>
      <c r="AA90" s="7">
        <f t="shared" si="147"/>
        <v>13</v>
      </c>
      <c r="AB90" s="56">
        <f t="shared" si="136"/>
        <v>447.20670718203928</v>
      </c>
      <c r="AC90" s="50">
        <f t="shared" si="148"/>
        <v>5813.6871933665107</v>
      </c>
      <c r="AD90" s="4"/>
      <c r="AH90" s="221">
        <f t="shared" si="137"/>
        <v>13</v>
      </c>
      <c r="AI90" s="222">
        <f t="shared" si="138"/>
        <v>447.20670718203928</v>
      </c>
      <c r="AJ90" s="222">
        <f t="shared" si="139"/>
        <v>5813.6871933665107</v>
      </c>
      <c r="AK90" s="238">
        <f t="shared" si="140"/>
        <v>1.5096743200400788</v>
      </c>
      <c r="AL90" s="239">
        <f t="shared" si="141"/>
        <v>4.5999999999999999E-2</v>
      </c>
    </row>
    <row r="91" spans="1:38">
      <c r="A91" s="92"/>
      <c r="B91" s="93"/>
      <c r="C91" s="54">
        <f t="shared" si="142"/>
        <v>17505</v>
      </c>
      <c r="D91" s="54">
        <f t="shared" si="142"/>
        <v>1422.7139999999999</v>
      </c>
      <c r="E91" s="54">
        <f t="shared" si="142"/>
        <v>14692</v>
      </c>
      <c r="F91" s="54">
        <f t="shared" si="142"/>
        <v>20318</v>
      </c>
      <c r="G91" s="24">
        <f t="shared" si="142"/>
        <v>8.1000000000000003E-2</v>
      </c>
      <c r="H91" s="22">
        <f t="shared" si="143"/>
        <v>1.5663048000445321</v>
      </c>
      <c r="I91" s="21">
        <f t="shared" si="149"/>
        <v>148152</v>
      </c>
      <c r="J91" s="21">
        <f t="shared" si="149"/>
        <v>3971</v>
      </c>
      <c r="K91" s="314"/>
      <c r="L91" s="11">
        <f t="shared" si="149"/>
        <v>4.5999999999999999E-2</v>
      </c>
      <c r="M91" s="47">
        <f t="shared" si="127"/>
        <v>0.11815567795237324</v>
      </c>
      <c r="N91" s="47">
        <f t="shared" si="128"/>
        <v>0.88184432204762675</v>
      </c>
      <c r="O91" s="47">
        <f t="shared" si="133"/>
        <v>0.10419491371998829</v>
      </c>
      <c r="P91" s="48">
        <f t="shared" si="129"/>
        <v>3582101071.3158717</v>
      </c>
      <c r="Q91" s="3">
        <f t="shared" si="130"/>
        <v>648395.35289999994</v>
      </c>
      <c r="R91" s="49">
        <f t="shared" si="134"/>
        <v>5524.5631469976443</v>
      </c>
      <c r="S91" s="49">
        <f t="shared" si="131"/>
        <v>5325.9590310533658</v>
      </c>
      <c r="T91" s="10">
        <f t="shared" si="145"/>
        <v>0.51648300000000003</v>
      </c>
      <c r="U91" s="10">
        <f t="shared" si="145"/>
        <v>0.76609899999999997</v>
      </c>
      <c r="V91" s="55">
        <f t="shared" si="145"/>
        <v>2.9048280000000002</v>
      </c>
      <c r="W91" s="50">
        <f t="shared" si="135"/>
        <v>4633.7913282101836</v>
      </c>
      <c r="X91" s="7">
        <v>11</v>
      </c>
      <c r="Y91" s="10">
        <f t="shared" si="146"/>
        <v>0.10365488316357097</v>
      </c>
      <c r="Z91" s="10">
        <f t="shared" si="146"/>
        <v>0.91911764705882359</v>
      </c>
      <c r="AA91" s="7">
        <f t="shared" si="147"/>
        <v>14</v>
      </c>
      <c r="AB91" s="56">
        <f t="shared" si="136"/>
        <v>421.25375711001669</v>
      </c>
      <c r="AC91" s="50">
        <f t="shared" si="148"/>
        <v>5897.552599540234</v>
      </c>
      <c r="AD91" s="4"/>
      <c r="AH91" s="221">
        <f t="shared" si="137"/>
        <v>14</v>
      </c>
      <c r="AI91" s="222">
        <f t="shared" si="138"/>
        <v>421.25375711001669</v>
      </c>
      <c r="AJ91" s="222">
        <f t="shared" si="139"/>
        <v>5897.552599540234</v>
      </c>
      <c r="AK91" s="238">
        <f t="shared" si="140"/>
        <v>1.5663048000445321</v>
      </c>
      <c r="AL91" s="239">
        <f t="shared" si="141"/>
        <v>4.5999999999999999E-2</v>
      </c>
    </row>
    <row r="92" spans="1:38">
      <c r="A92" s="92"/>
      <c r="B92" s="93"/>
      <c r="C92" s="54">
        <f t="shared" si="142"/>
        <v>17505</v>
      </c>
      <c r="D92" s="54">
        <f t="shared" si="142"/>
        <v>1422.7139999999999</v>
      </c>
      <c r="E92" s="54">
        <f t="shared" si="142"/>
        <v>14692</v>
      </c>
      <c r="F92" s="54">
        <f t="shared" si="142"/>
        <v>20318</v>
      </c>
      <c r="G92" s="24">
        <f t="shared" si="142"/>
        <v>8.1000000000000003E-2</v>
      </c>
      <c r="H92" s="22">
        <f t="shared" si="143"/>
        <v>1.6229352800489854</v>
      </c>
      <c r="I92" s="21">
        <f t="shared" si="149"/>
        <v>148152</v>
      </c>
      <c r="J92" s="21">
        <f t="shared" si="149"/>
        <v>3971</v>
      </c>
      <c r="K92" s="314"/>
      <c r="L92" s="11">
        <f t="shared" si="149"/>
        <v>4.5999999999999999E-2</v>
      </c>
      <c r="M92" s="47">
        <f t="shared" si="127"/>
        <v>0.11815567795237324</v>
      </c>
      <c r="N92" s="47">
        <f t="shared" si="128"/>
        <v>0.88184432204762675</v>
      </c>
      <c r="O92" s="47">
        <f t="shared" si="133"/>
        <v>0.10419491371998829</v>
      </c>
      <c r="P92" s="48">
        <f t="shared" si="129"/>
        <v>3711613604.9474592</v>
      </c>
      <c r="Q92" s="3">
        <f t="shared" si="130"/>
        <v>648395.35289999994</v>
      </c>
      <c r="R92" s="49">
        <f t="shared" si="134"/>
        <v>5724.306302238243</v>
      </c>
      <c r="S92" s="49">
        <f t="shared" si="131"/>
        <v>5511.3581009896152</v>
      </c>
      <c r="T92" s="10">
        <f t="shared" si="145"/>
        <v>0.51648300000000003</v>
      </c>
      <c r="U92" s="10">
        <f t="shared" si="145"/>
        <v>0.76609899999999997</v>
      </c>
      <c r="V92" s="55">
        <f t="shared" si="145"/>
        <v>2.9048280000000002</v>
      </c>
      <c r="W92" s="50">
        <f t="shared" si="135"/>
        <v>4795.0957238166429</v>
      </c>
      <c r="X92" s="7">
        <v>12</v>
      </c>
      <c r="Y92" s="10">
        <f t="shared" si="146"/>
        <v>0.10365488316357097</v>
      </c>
      <c r="Z92" s="10">
        <f t="shared" si="146"/>
        <v>0.91911764705882359</v>
      </c>
      <c r="AA92" s="7">
        <f t="shared" si="147"/>
        <v>15</v>
      </c>
      <c r="AB92" s="56">
        <f t="shared" si="136"/>
        <v>399.59131031805356</v>
      </c>
      <c r="AC92" s="50">
        <f t="shared" si="148"/>
        <v>5993.8696547708032</v>
      </c>
      <c r="AD92" s="4"/>
      <c r="AH92" s="221">
        <f t="shared" si="137"/>
        <v>15</v>
      </c>
      <c r="AI92" s="222">
        <f t="shared" si="138"/>
        <v>399.59131031805356</v>
      </c>
      <c r="AJ92" s="222">
        <f t="shared" si="139"/>
        <v>5993.8696547708032</v>
      </c>
      <c r="AK92" s="238">
        <f t="shared" si="140"/>
        <v>1.6229352800489854</v>
      </c>
      <c r="AL92" s="239">
        <f t="shared" si="141"/>
        <v>4.5999999999999999E-2</v>
      </c>
    </row>
    <row r="93" spans="1:38">
      <c r="A93" s="92"/>
      <c r="B93" s="93"/>
      <c r="C93" s="54">
        <f t="shared" si="142"/>
        <v>17505</v>
      </c>
      <c r="D93" s="54">
        <f t="shared" si="142"/>
        <v>1422.7139999999999</v>
      </c>
      <c r="E93" s="54">
        <f t="shared" si="142"/>
        <v>14692</v>
      </c>
      <c r="F93" s="54">
        <f t="shared" si="142"/>
        <v>20318</v>
      </c>
      <c r="G93" s="24">
        <f t="shared" si="142"/>
        <v>8.1000000000000003E-2</v>
      </c>
      <c r="H93" s="22">
        <f t="shared" si="143"/>
        <v>1.6795657600534386</v>
      </c>
      <c r="I93" s="21">
        <f t="shared" si="149"/>
        <v>148152</v>
      </c>
      <c r="J93" s="21">
        <f t="shared" si="149"/>
        <v>3971</v>
      </c>
      <c r="K93" s="314"/>
      <c r="L93" s="11">
        <f t="shared" si="149"/>
        <v>4.5999999999999999E-2</v>
      </c>
      <c r="M93" s="47">
        <f t="shared" si="127"/>
        <v>0.11815567795237324</v>
      </c>
      <c r="N93" s="47">
        <f t="shared" si="128"/>
        <v>0.88184432204762675</v>
      </c>
      <c r="O93" s="47">
        <f t="shared" si="133"/>
        <v>0.10419491371998829</v>
      </c>
      <c r="P93" s="48">
        <f t="shared" si="129"/>
        <v>3841126138.5790462</v>
      </c>
      <c r="Q93" s="3">
        <f t="shared" si="130"/>
        <v>648395.35289999994</v>
      </c>
      <c r="R93" s="49">
        <f t="shared" si="134"/>
        <v>5924.0494574788408</v>
      </c>
      <c r="S93" s="49">
        <f t="shared" si="131"/>
        <v>5696.2764707088199</v>
      </c>
      <c r="T93" s="10">
        <f t="shared" si="145"/>
        <v>0.51648300000000003</v>
      </c>
      <c r="U93" s="10">
        <f t="shared" si="145"/>
        <v>0.76609899999999997</v>
      </c>
      <c r="V93" s="55">
        <f t="shared" si="145"/>
        <v>2.9048280000000002</v>
      </c>
      <c r="W93" s="50">
        <f t="shared" si="135"/>
        <v>4955.9818915538626</v>
      </c>
      <c r="X93" s="7">
        <v>13</v>
      </c>
      <c r="Y93" s="10">
        <f t="shared" si="146"/>
        <v>0.10365488316357097</v>
      </c>
      <c r="Z93" s="10">
        <f t="shared" si="146"/>
        <v>0.91911764705882359</v>
      </c>
      <c r="AA93" s="7">
        <f t="shared" si="147"/>
        <v>16</v>
      </c>
      <c r="AB93" s="56">
        <f t="shared" si="136"/>
        <v>381.22937627337404</v>
      </c>
      <c r="AC93" s="50">
        <f t="shared" si="148"/>
        <v>6099.6700203739847</v>
      </c>
      <c r="AD93" s="4"/>
      <c r="AH93" s="221">
        <f t="shared" si="137"/>
        <v>16</v>
      </c>
      <c r="AI93" s="222">
        <f t="shared" si="138"/>
        <v>381.22937627337404</v>
      </c>
      <c r="AJ93" s="222">
        <f t="shared" si="139"/>
        <v>6099.6700203739847</v>
      </c>
      <c r="AK93" s="238">
        <f t="shared" si="140"/>
        <v>1.6795657600534386</v>
      </c>
      <c r="AL93" s="239">
        <f t="shared" si="141"/>
        <v>4.5999999999999999E-2</v>
      </c>
    </row>
    <row r="94" spans="1:38">
      <c r="A94" s="92"/>
      <c r="B94" s="93"/>
      <c r="C94" s="54">
        <f t="shared" si="142"/>
        <v>17505</v>
      </c>
      <c r="D94" s="54">
        <f t="shared" si="142"/>
        <v>1422.7139999999999</v>
      </c>
      <c r="E94" s="54">
        <f t="shared" si="142"/>
        <v>14692</v>
      </c>
      <c r="F94" s="54">
        <f t="shared" si="142"/>
        <v>20318</v>
      </c>
      <c r="G94" s="24">
        <f t="shared" si="142"/>
        <v>8.1000000000000003E-2</v>
      </c>
      <c r="H94" s="22">
        <f t="shared" si="143"/>
        <v>1.7361962400578919</v>
      </c>
      <c r="I94" s="21">
        <f t="shared" si="149"/>
        <v>148152</v>
      </c>
      <c r="J94" s="21">
        <f t="shared" si="149"/>
        <v>3971</v>
      </c>
      <c r="K94" s="314"/>
      <c r="L94" s="11">
        <f t="shared" si="149"/>
        <v>4.5999999999999999E-2</v>
      </c>
      <c r="M94" s="47">
        <f t="shared" si="127"/>
        <v>0.11815567795237324</v>
      </c>
      <c r="N94" s="47">
        <f t="shared" si="128"/>
        <v>0.88184432204762675</v>
      </c>
      <c r="O94" s="47">
        <f t="shared" si="133"/>
        <v>0.10419491371998829</v>
      </c>
      <c r="P94" s="48">
        <f t="shared" si="129"/>
        <v>3970638672.2106338</v>
      </c>
      <c r="Q94" s="3">
        <f t="shared" si="130"/>
        <v>648395.35289999994</v>
      </c>
      <c r="R94" s="49">
        <f t="shared" si="134"/>
        <v>6123.7926127194396</v>
      </c>
      <c r="S94" s="49">
        <f t="shared" si="131"/>
        <v>5880.7160073200694</v>
      </c>
      <c r="T94" s="10">
        <f t="shared" si="145"/>
        <v>0.51648300000000003</v>
      </c>
      <c r="U94" s="10">
        <f t="shared" si="145"/>
        <v>0.76609899999999997</v>
      </c>
      <c r="V94" s="55">
        <f t="shared" si="145"/>
        <v>2.9048280000000002</v>
      </c>
      <c r="W94" s="50">
        <f t="shared" si="135"/>
        <v>5116.4514558793098</v>
      </c>
      <c r="X94" s="7">
        <v>14</v>
      </c>
      <c r="Y94" s="10">
        <f t="shared" si="146"/>
        <v>0.10365488316357097</v>
      </c>
      <c r="Z94" s="10">
        <f t="shared" si="146"/>
        <v>0.91911764705882359</v>
      </c>
      <c r="AA94" s="7">
        <f t="shared" si="147"/>
        <v>17</v>
      </c>
      <c r="AB94" s="56">
        <f t="shared" si="136"/>
        <v>365.46081827709355</v>
      </c>
      <c r="AC94" s="50">
        <f t="shared" si="148"/>
        <v>6212.8339107105903</v>
      </c>
      <c r="AD94" s="4"/>
      <c r="AH94" s="221">
        <f t="shared" si="137"/>
        <v>17</v>
      </c>
      <c r="AI94" s="222">
        <f t="shared" si="138"/>
        <v>365.46081827709355</v>
      </c>
      <c r="AJ94" s="222">
        <f t="shared" si="139"/>
        <v>6212.8339107105903</v>
      </c>
      <c r="AK94" s="238">
        <f t="shared" si="140"/>
        <v>1.7361962400578919</v>
      </c>
      <c r="AL94" s="239">
        <f t="shared" si="141"/>
        <v>4.5999999999999999E-2</v>
      </c>
    </row>
    <row r="95" spans="1:38">
      <c r="A95" s="92"/>
      <c r="B95" s="93"/>
      <c r="C95" s="54">
        <f t="shared" si="142"/>
        <v>17505</v>
      </c>
      <c r="D95" s="54">
        <f t="shared" si="142"/>
        <v>1422.7139999999999</v>
      </c>
      <c r="E95" s="54">
        <f t="shared" si="142"/>
        <v>14692</v>
      </c>
      <c r="F95" s="54">
        <f t="shared" si="142"/>
        <v>20318</v>
      </c>
      <c r="G95" s="24">
        <f t="shared" si="142"/>
        <v>8.1000000000000003E-2</v>
      </c>
      <c r="H95" s="22">
        <f t="shared" si="143"/>
        <v>1.7928267200623451</v>
      </c>
      <c r="I95" s="21">
        <f t="shared" si="149"/>
        <v>148152</v>
      </c>
      <c r="J95" s="21">
        <f t="shared" si="149"/>
        <v>3971</v>
      </c>
      <c r="K95" s="314"/>
      <c r="L95" s="11">
        <f t="shared" si="149"/>
        <v>4.5999999999999999E-2</v>
      </c>
      <c r="M95" s="47">
        <f t="shared" si="127"/>
        <v>0.11815567795237324</v>
      </c>
      <c r="N95" s="47">
        <f t="shared" si="128"/>
        <v>0.88184432204762675</v>
      </c>
      <c r="O95" s="47">
        <f t="shared" si="133"/>
        <v>0.10419491371998829</v>
      </c>
      <c r="P95" s="48">
        <f t="shared" si="129"/>
        <v>4100151205.8422208</v>
      </c>
      <c r="Q95" s="3">
        <f t="shared" si="130"/>
        <v>648395.35289999994</v>
      </c>
      <c r="R95" s="49">
        <f t="shared" si="134"/>
        <v>6323.5357679600374</v>
      </c>
      <c r="S95" s="49">
        <f t="shared" si="131"/>
        <v>6064.6785682754535</v>
      </c>
      <c r="T95" s="10">
        <f t="shared" si="145"/>
        <v>0.51648300000000003</v>
      </c>
      <c r="U95" s="10">
        <f t="shared" si="145"/>
        <v>0.76609899999999997</v>
      </c>
      <c r="V95" s="55">
        <f t="shared" si="145"/>
        <v>2.9048280000000002</v>
      </c>
      <c r="W95" s="50">
        <f t="shared" si="135"/>
        <v>5276.5060328484833</v>
      </c>
      <c r="X95" s="7">
        <v>15</v>
      </c>
      <c r="Y95" s="66">
        <f t="shared" si="146"/>
        <v>0.10365488316357097</v>
      </c>
      <c r="Z95" s="66">
        <f t="shared" si="146"/>
        <v>0.91911764705882359</v>
      </c>
      <c r="AA95" s="7">
        <f t="shared" si="147"/>
        <v>19</v>
      </c>
      <c r="AB95" s="56">
        <f t="shared" si="136"/>
        <v>351.76706885656557</v>
      </c>
      <c r="AC95" s="68">
        <f t="shared" si="148"/>
        <v>6683.5743082747458</v>
      </c>
      <c r="AD95" s="4"/>
      <c r="AH95" s="221">
        <f t="shared" si="137"/>
        <v>19</v>
      </c>
      <c r="AI95" s="222">
        <f t="shared" si="138"/>
        <v>351.76706885656557</v>
      </c>
      <c r="AJ95" s="222">
        <f t="shared" si="139"/>
        <v>6683.5743082747458</v>
      </c>
      <c r="AK95" s="238">
        <f t="shared" si="140"/>
        <v>1.7928267200623451</v>
      </c>
      <c r="AL95" s="239">
        <f t="shared" si="141"/>
        <v>4.5999999999999999E-2</v>
      </c>
    </row>
    <row r="96" spans="1:38">
      <c r="A96" s="327" t="s">
        <v>72</v>
      </c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8"/>
      <c r="W96" s="328"/>
      <c r="X96" s="328"/>
      <c r="Y96" s="328"/>
      <c r="Z96" s="328"/>
      <c r="AA96" s="328"/>
      <c r="AB96" s="328"/>
      <c r="AC96" s="328"/>
      <c r="AD96" s="329"/>
      <c r="AH96" s="317" t="s">
        <v>72</v>
      </c>
      <c r="AI96" s="317"/>
      <c r="AJ96" s="317"/>
      <c r="AK96" s="317"/>
      <c r="AL96" s="317"/>
    </row>
    <row r="97" spans="1:38" ht="24" customHeight="1">
      <c r="A97" s="103" t="s">
        <v>47</v>
      </c>
      <c r="B97" s="93" t="s">
        <v>72</v>
      </c>
      <c r="C97" s="16">
        <v>21969</v>
      </c>
      <c r="D97" s="44">
        <v>1849.7560000000001</v>
      </c>
      <c r="E97" s="44">
        <v>18313</v>
      </c>
      <c r="F97" s="44">
        <v>25625</v>
      </c>
      <c r="G97" s="45">
        <v>8.4000000000000005E-2</v>
      </c>
      <c r="H97" s="45">
        <v>1.506</v>
      </c>
      <c r="I97" s="44">
        <v>193901</v>
      </c>
      <c r="J97" s="44">
        <v>4297</v>
      </c>
      <c r="K97" s="313">
        <v>994</v>
      </c>
      <c r="L97" s="46">
        <f>L84</f>
        <v>4.5999999999999999E-2</v>
      </c>
      <c r="M97" s="47">
        <f t="shared" ref="M97:M108" si="150">C97/I97</f>
        <v>0.11330008612642534</v>
      </c>
      <c r="N97" s="47">
        <f t="shared" ref="N97:N108" si="151">1-M97</f>
        <v>0.88669991387357472</v>
      </c>
      <c r="O97" s="47">
        <f>M97*N97</f>
        <v>0.10046317661016994</v>
      </c>
      <c r="P97" s="48">
        <f t="shared" ref="P97:P108" si="152">(I97^2)*(O97*H97)</f>
        <v>5688424206.6479998</v>
      </c>
      <c r="Q97" s="3">
        <f t="shared" ref="Q97:Q108" si="153">(L97^2)*(C97^2)</f>
        <v>1021259.8094759999</v>
      </c>
      <c r="R97" s="49">
        <f>P97/Q97</f>
        <v>5570.0069207332108</v>
      </c>
      <c r="S97" s="49">
        <f t="shared" ref="S97:S108" si="154">R97/(1+(R97/I97))</f>
        <v>5414.4706471867257</v>
      </c>
      <c r="T97" s="15">
        <v>0.55089299999999997</v>
      </c>
      <c r="U97" s="15">
        <v>0.74837900000000002</v>
      </c>
      <c r="V97" s="15">
        <v>2.9973939999999999</v>
      </c>
      <c r="W97" s="50">
        <f>S97/(T97*U97*V97)</f>
        <v>4381.5051211789196</v>
      </c>
      <c r="X97" s="15">
        <v>9.8927160000000001</v>
      </c>
      <c r="Y97" s="15">
        <v>7.7610273590173084E-2</v>
      </c>
      <c r="Z97" s="15">
        <v>0.86985472154963661</v>
      </c>
      <c r="AA97" s="15">
        <f>X97/((1-Y97)*Z97)</f>
        <v>12.329752509394575</v>
      </c>
      <c r="AB97" s="51">
        <f>W97/X97</f>
        <v>442.90214347393777</v>
      </c>
      <c r="AC97" s="144">
        <f>AA97*AB97</f>
        <v>5460.8738149140208</v>
      </c>
      <c r="AD97" s="98">
        <f>(H97-1)/(X97-1)</f>
        <v>5.6900501489083877E-2</v>
      </c>
      <c r="AH97" s="221">
        <f>+AA97</f>
        <v>12.329752509394575</v>
      </c>
      <c r="AI97" s="222">
        <f>+AB97</f>
        <v>442.90214347393777</v>
      </c>
      <c r="AJ97" s="222">
        <f>+AC97</f>
        <v>5460.8738149140208</v>
      </c>
      <c r="AK97" s="238">
        <f>+H97</f>
        <v>1.506</v>
      </c>
      <c r="AL97" s="239">
        <f>+L97</f>
        <v>4.5999999999999999E-2</v>
      </c>
    </row>
    <row r="98" spans="1:38">
      <c r="A98" s="92"/>
      <c r="B98" s="93"/>
      <c r="C98" s="54">
        <f>C97</f>
        <v>21969</v>
      </c>
      <c r="D98" s="54">
        <f t="shared" ref="D98" si="155">D97</f>
        <v>1849.7560000000001</v>
      </c>
      <c r="E98" s="54">
        <f>E97</f>
        <v>18313</v>
      </c>
      <c r="F98" s="54">
        <f>F97</f>
        <v>25625</v>
      </c>
      <c r="G98" s="24">
        <f>G97</f>
        <v>8.4000000000000005E-2</v>
      </c>
      <c r="H98" s="22">
        <f>1+(X98-1)*$AD$31</f>
        <v>1.2265219200178128</v>
      </c>
      <c r="I98" s="21">
        <f>I97</f>
        <v>193901</v>
      </c>
      <c r="J98" s="21">
        <f>J97</f>
        <v>4297</v>
      </c>
      <c r="K98" s="314" t="s">
        <v>74</v>
      </c>
      <c r="L98" s="11">
        <f>L97</f>
        <v>4.5999999999999999E-2</v>
      </c>
      <c r="M98" s="47">
        <f t="shared" si="150"/>
        <v>0.11330008612642534</v>
      </c>
      <c r="N98" s="47">
        <f t="shared" si="151"/>
        <v>0.88669991387357472</v>
      </c>
      <c r="O98" s="47">
        <f t="shared" ref="O98:O108" si="156">M98*N98</f>
        <v>0.10046317661016994</v>
      </c>
      <c r="P98" s="48">
        <f t="shared" si="152"/>
        <v>4632786839.185729</v>
      </c>
      <c r="Q98" s="3">
        <f t="shared" si="153"/>
        <v>1021259.8094759999</v>
      </c>
      <c r="R98" s="49">
        <f t="shared" ref="R98:R108" si="157">P98/Q98</f>
        <v>4536.3450085857921</v>
      </c>
      <c r="S98" s="49">
        <f t="shared" si="154"/>
        <v>4432.6426231500727</v>
      </c>
      <c r="T98" s="10">
        <f>T97</f>
        <v>0.55089299999999997</v>
      </c>
      <c r="U98" s="10">
        <f>U97</f>
        <v>0.74837900000000002</v>
      </c>
      <c r="V98" s="55">
        <f>V97</f>
        <v>2.9973939999999999</v>
      </c>
      <c r="W98" s="50">
        <f t="shared" ref="W98:W108" si="158">S98/(T98*U98*V98)</f>
        <v>3586.9889448526587</v>
      </c>
      <c r="X98" s="7">
        <v>5</v>
      </c>
      <c r="Y98" s="10">
        <f>Y97</f>
        <v>7.7610273590173084E-2</v>
      </c>
      <c r="Z98" s="10">
        <f>Z97</f>
        <v>0.86985472154963661</v>
      </c>
      <c r="AA98" s="7">
        <f>ROUNDUP(X98/((1-Y98)*Z98),0)</f>
        <v>7</v>
      </c>
      <c r="AB98" s="56">
        <f t="shared" ref="AB98:AB108" si="159">W98/X98</f>
        <v>717.39778897053179</v>
      </c>
      <c r="AC98" s="50">
        <f>AA98*AB98</f>
        <v>5021.7845227937223</v>
      </c>
      <c r="AD98" s="8"/>
      <c r="AH98" s="221">
        <f t="shared" ref="AH98:AH108" si="160">+AA98</f>
        <v>7</v>
      </c>
      <c r="AI98" s="222">
        <f t="shared" ref="AI98:AI108" si="161">+AB98</f>
        <v>717.39778897053179</v>
      </c>
      <c r="AJ98" s="222">
        <f t="shared" ref="AJ98:AJ108" si="162">+AC98</f>
        <v>5021.7845227937223</v>
      </c>
      <c r="AK98" s="238">
        <f t="shared" ref="AK98:AK108" si="163">+H98</f>
        <v>1.2265219200178128</v>
      </c>
      <c r="AL98" s="239">
        <f t="shared" ref="AL98:AL108" si="164">+L98</f>
        <v>4.5999999999999999E-2</v>
      </c>
    </row>
    <row r="99" spans="1:38">
      <c r="A99" s="92"/>
      <c r="B99" s="93"/>
      <c r="C99" s="54">
        <f t="shared" ref="C99:G108" si="165">C98</f>
        <v>21969</v>
      </c>
      <c r="D99" s="54">
        <f t="shared" si="165"/>
        <v>1849.7560000000001</v>
      </c>
      <c r="E99" s="54">
        <f t="shared" si="165"/>
        <v>18313</v>
      </c>
      <c r="F99" s="54">
        <f t="shared" si="165"/>
        <v>25625</v>
      </c>
      <c r="G99" s="24">
        <f t="shared" si="165"/>
        <v>8.4000000000000005E-2</v>
      </c>
      <c r="H99" s="22">
        <f t="shared" ref="H99:H108" si="166">1+(X99-1)*$AD$31</f>
        <v>1.283152400022266</v>
      </c>
      <c r="I99" s="21">
        <f>I98</f>
        <v>193901</v>
      </c>
      <c r="J99" s="21">
        <f t="shared" ref="J99:L99" si="167">J98</f>
        <v>4297</v>
      </c>
      <c r="K99" s="314">
        <v>487</v>
      </c>
      <c r="L99" s="11">
        <f t="shared" si="167"/>
        <v>4.5999999999999999E-2</v>
      </c>
      <c r="M99" s="47">
        <f t="shared" si="150"/>
        <v>0.11330008612642534</v>
      </c>
      <c r="N99" s="47">
        <f t="shared" si="151"/>
        <v>0.88669991387357472</v>
      </c>
      <c r="O99" s="47">
        <f t="shared" si="156"/>
        <v>0.10046317661016994</v>
      </c>
      <c r="P99" s="48">
        <f t="shared" si="152"/>
        <v>4846690021.9821615</v>
      </c>
      <c r="Q99" s="3">
        <f t="shared" si="153"/>
        <v>1021259.8094759999</v>
      </c>
      <c r="R99" s="49">
        <f t="shared" si="157"/>
        <v>4745.7953177154386</v>
      </c>
      <c r="S99" s="49">
        <f t="shared" si="154"/>
        <v>4632.4153200083156</v>
      </c>
      <c r="T99" s="10">
        <f t="shared" ref="T99:V108" si="168">T98</f>
        <v>0.55089299999999997</v>
      </c>
      <c r="U99" s="10">
        <f t="shared" si="168"/>
        <v>0.74837900000000002</v>
      </c>
      <c r="V99" s="55">
        <f t="shared" si="168"/>
        <v>2.9973939999999999</v>
      </c>
      <c r="W99" s="50">
        <f t="shared" si="158"/>
        <v>3748.6492716679695</v>
      </c>
      <c r="X99" s="7">
        <v>6</v>
      </c>
      <c r="Y99" s="10">
        <f t="shared" ref="Y99:Z108" si="169">Y98</f>
        <v>7.7610273590173084E-2</v>
      </c>
      <c r="Z99" s="10">
        <f t="shared" si="169"/>
        <v>0.86985472154963661</v>
      </c>
      <c r="AA99" s="7">
        <f t="shared" ref="AA99:AA108" si="170">ROUNDUP(X99/((1-Y99)*Z99),0)</f>
        <v>8</v>
      </c>
      <c r="AB99" s="56">
        <f t="shared" si="159"/>
        <v>624.77487861132829</v>
      </c>
      <c r="AC99" s="50">
        <f t="shared" ref="AC99:AC108" si="171">AA99*AB99</f>
        <v>4998.1990288906263</v>
      </c>
      <c r="AD99" s="8"/>
      <c r="AH99" s="221">
        <f t="shared" si="160"/>
        <v>8</v>
      </c>
      <c r="AI99" s="222">
        <f t="shared" si="161"/>
        <v>624.77487861132829</v>
      </c>
      <c r="AJ99" s="222">
        <f t="shared" si="162"/>
        <v>4998.1990288906263</v>
      </c>
      <c r="AK99" s="238">
        <f t="shared" si="163"/>
        <v>1.283152400022266</v>
      </c>
      <c r="AL99" s="239">
        <f t="shared" si="164"/>
        <v>4.5999999999999999E-2</v>
      </c>
    </row>
    <row r="100" spans="1:38">
      <c r="A100" s="92"/>
      <c r="B100" s="93"/>
      <c r="C100" s="54">
        <f t="shared" si="165"/>
        <v>21969</v>
      </c>
      <c r="D100" s="54">
        <f t="shared" si="165"/>
        <v>1849.7560000000001</v>
      </c>
      <c r="E100" s="54">
        <f t="shared" si="165"/>
        <v>18313</v>
      </c>
      <c r="F100" s="54">
        <f t="shared" si="165"/>
        <v>25625</v>
      </c>
      <c r="G100" s="24">
        <f t="shared" si="165"/>
        <v>8.4000000000000005E-2</v>
      </c>
      <c r="H100" s="22">
        <f t="shared" si="166"/>
        <v>1.3397828800267193</v>
      </c>
      <c r="I100" s="21">
        <f t="shared" ref="I100:L108" si="172">I99</f>
        <v>193901</v>
      </c>
      <c r="J100" s="21">
        <f t="shared" si="172"/>
        <v>4297</v>
      </c>
      <c r="K100" s="314" t="s">
        <v>75</v>
      </c>
      <c r="L100" s="11">
        <f t="shared" si="172"/>
        <v>4.5999999999999999E-2</v>
      </c>
      <c r="M100" s="47">
        <f t="shared" si="150"/>
        <v>0.11330008612642534</v>
      </c>
      <c r="N100" s="47">
        <f t="shared" si="151"/>
        <v>0.88669991387357472</v>
      </c>
      <c r="O100" s="47">
        <f t="shared" si="156"/>
        <v>0.10046317661016994</v>
      </c>
      <c r="P100" s="48">
        <f t="shared" si="152"/>
        <v>5060593204.778595</v>
      </c>
      <c r="Q100" s="3">
        <f t="shared" si="153"/>
        <v>1021259.8094759999</v>
      </c>
      <c r="R100" s="49">
        <f t="shared" si="157"/>
        <v>4955.2456268450869</v>
      </c>
      <c r="S100" s="49">
        <f t="shared" si="154"/>
        <v>4831.7671856979887</v>
      </c>
      <c r="T100" s="10">
        <f t="shared" si="168"/>
        <v>0.55089299999999997</v>
      </c>
      <c r="U100" s="10">
        <f t="shared" si="168"/>
        <v>0.74837900000000002</v>
      </c>
      <c r="V100" s="55">
        <f t="shared" si="168"/>
        <v>2.9973939999999999</v>
      </c>
      <c r="W100" s="50">
        <f t="shared" si="158"/>
        <v>3909.9690529266809</v>
      </c>
      <c r="X100" s="7">
        <v>7</v>
      </c>
      <c r="Y100" s="10">
        <f t="shared" si="169"/>
        <v>7.7610273590173084E-2</v>
      </c>
      <c r="Z100" s="10">
        <f t="shared" si="169"/>
        <v>0.86985472154963661</v>
      </c>
      <c r="AA100" s="7">
        <f t="shared" si="170"/>
        <v>9</v>
      </c>
      <c r="AB100" s="56">
        <f t="shared" si="159"/>
        <v>558.56700756095438</v>
      </c>
      <c r="AC100" s="50">
        <f t="shared" si="171"/>
        <v>5027.1030680485892</v>
      </c>
      <c r="AD100" s="8"/>
      <c r="AH100" s="221">
        <f t="shared" si="160"/>
        <v>9</v>
      </c>
      <c r="AI100" s="222">
        <f t="shared" si="161"/>
        <v>558.56700756095438</v>
      </c>
      <c r="AJ100" s="222">
        <f t="shared" si="162"/>
        <v>5027.1030680485892</v>
      </c>
      <c r="AK100" s="238">
        <f t="shared" si="163"/>
        <v>1.3397828800267193</v>
      </c>
      <c r="AL100" s="239">
        <f t="shared" si="164"/>
        <v>4.5999999999999999E-2</v>
      </c>
    </row>
    <row r="101" spans="1:38">
      <c r="A101" s="92"/>
      <c r="B101" s="93"/>
      <c r="C101" s="54">
        <f t="shared" si="165"/>
        <v>21969</v>
      </c>
      <c r="D101" s="54">
        <f t="shared" si="165"/>
        <v>1849.7560000000001</v>
      </c>
      <c r="E101" s="54">
        <f t="shared" si="165"/>
        <v>18313</v>
      </c>
      <c r="F101" s="54">
        <f t="shared" si="165"/>
        <v>25625</v>
      </c>
      <c r="G101" s="24">
        <f t="shared" si="165"/>
        <v>8.4000000000000005E-2</v>
      </c>
      <c r="H101" s="22">
        <f t="shared" si="166"/>
        <v>1.3964133600311726</v>
      </c>
      <c r="I101" s="21">
        <f t="shared" si="172"/>
        <v>193901</v>
      </c>
      <c r="J101" s="21">
        <f t="shared" si="172"/>
        <v>4297</v>
      </c>
      <c r="K101" s="314">
        <v>507</v>
      </c>
      <c r="L101" s="11">
        <f t="shared" si="172"/>
        <v>4.5999999999999999E-2</v>
      </c>
      <c r="M101" s="47">
        <f t="shared" si="150"/>
        <v>0.11330008612642534</v>
      </c>
      <c r="N101" s="47">
        <f t="shared" si="151"/>
        <v>0.88669991387357472</v>
      </c>
      <c r="O101" s="47">
        <f t="shared" si="156"/>
        <v>0.10046317661016994</v>
      </c>
      <c r="P101" s="48">
        <f t="shared" si="152"/>
        <v>5274496387.5750275</v>
      </c>
      <c r="Q101" s="3">
        <f t="shared" si="153"/>
        <v>1021259.8094759999</v>
      </c>
      <c r="R101" s="49">
        <f t="shared" si="157"/>
        <v>5164.6959359747334</v>
      </c>
      <c r="S101" s="49">
        <f t="shared" si="154"/>
        <v>5030.6995485727921</v>
      </c>
      <c r="T101" s="10">
        <f t="shared" si="168"/>
        <v>0.55089299999999997</v>
      </c>
      <c r="U101" s="10">
        <f t="shared" si="168"/>
        <v>0.74837900000000002</v>
      </c>
      <c r="V101" s="55">
        <f t="shared" si="168"/>
        <v>2.9973939999999999</v>
      </c>
      <c r="W101" s="50">
        <f t="shared" si="158"/>
        <v>4070.9493635609356</v>
      </c>
      <c r="X101" s="7">
        <v>8</v>
      </c>
      <c r="Y101" s="10">
        <f t="shared" si="169"/>
        <v>7.7610273590173084E-2</v>
      </c>
      <c r="Z101" s="10">
        <f t="shared" si="169"/>
        <v>0.86985472154963661</v>
      </c>
      <c r="AA101" s="7">
        <f t="shared" si="170"/>
        <v>10</v>
      </c>
      <c r="AB101" s="56">
        <f t="shared" si="159"/>
        <v>508.86867044511695</v>
      </c>
      <c r="AC101" s="50">
        <f t="shared" si="171"/>
        <v>5088.6867044511691</v>
      </c>
      <c r="AD101" s="8"/>
      <c r="AH101" s="221">
        <f t="shared" si="160"/>
        <v>10</v>
      </c>
      <c r="AI101" s="222">
        <f t="shared" si="161"/>
        <v>508.86867044511695</v>
      </c>
      <c r="AJ101" s="222">
        <f t="shared" si="162"/>
        <v>5088.6867044511691</v>
      </c>
      <c r="AK101" s="238">
        <f t="shared" si="163"/>
        <v>1.3964133600311726</v>
      </c>
      <c r="AL101" s="239">
        <f t="shared" si="164"/>
        <v>4.5999999999999999E-2</v>
      </c>
    </row>
    <row r="102" spans="1:38">
      <c r="A102" s="92"/>
      <c r="B102" s="93"/>
      <c r="C102" s="54">
        <f t="shared" si="165"/>
        <v>21969</v>
      </c>
      <c r="D102" s="54">
        <f t="shared" si="165"/>
        <v>1849.7560000000001</v>
      </c>
      <c r="E102" s="54">
        <f t="shared" si="165"/>
        <v>18313</v>
      </c>
      <c r="F102" s="54">
        <f t="shared" si="165"/>
        <v>25625</v>
      </c>
      <c r="G102" s="24">
        <f t="shared" si="165"/>
        <v>8.4000000000000005E-2</v>
      </c>
      <c r="H102" s="22">
        <f t="shared" si="166"/>
        <v>1.4530438400356258</v>
      </c>
      <c r="I102" s="21">
        <f t="shared" si="172"/>
        <v>193901</v>
      </c>
      <c r="J102" s="21">
        <f t="shared" si="172"/>
        <v>4297</v>
      </c>
      <c r="K102" s="314"/>
      <c r="L102" s="11">
        <f t="shared" si="172"/>
        <v>4.5999999999999999E-2</v>
      </c>
      <c r="M102" s="47">
        <f t="shared" si="150"/>
        <v>0.11330008612642534</v>
      </c>
      <c r="N102" s="47">
        <f t="shared" si="151"/>
        <v>0.88669991387357472</v>
      </c>
      <c r="O102" s="47">
        <f t="shared" si="156"/>
        <v>0.10046317661016994</v>
      </c>
      <c r="P102" s="48">
        <f t="shared" si="152"/>
        <v>5488399570.37146</v>
      </c>
      <c r="Q102" s="3">
        <f t="shared" si="153"/>
        <v>1021259.8094759999</v>
      </c>
      <c r="R102" s="49">
        <f t="shared" si="157"/>
        <v>5374.1462451043808</v>
      </c>
      <c r="S102" s="49">
        <f t="shared" si="154"/>
        <v>5229.2137314017145</v>
      </c>
      <c r="T102" s="10">
        <f t="shared" si="168"/>
        <v>0.55089299999999997</v>
      </c>
      <c r="U102" s="10">
        <f t="shared" si="168"/>
        <v>0.74837900000000002</v>
      </c>
      <c r="V102" s="55">
        <f t="shared" si="168"/>
        <v>2.9973939999999999</v>
      </c>
      <c r="W102" s="50">
        <f t="shared" si="158"/>
        <v>4231.5912739836103</v>
      </c>
      <c r="X102" s="7">
        <v>9</v>
      </c>
      <c r="Y102" s="10">
        <f t="shared" si="169"/>
        <v>7.7610273590173084E-2</v>
      </c>
      <c r="Z102" s="10">
        <f t="shared" si="169"/>
        <v>0.86985472154963661</v>
      </c>
      <c r="AA102" s="7">
        <f t="shared" si="170"/>
        <v>12</v>
      </c>
      <c r="AB102" s="56">
        <f t="shared" si="159"/>
        <v>470.17680822040114</v>
      </c>
      <c r="AC102" s="50">
        <f t="shared" si="171"/>
        <v>5642.1216986448135</v>
      </c>
      <c r="AD102" s="4"/>
      <c r="AH102" s="221">
        <f t="shared" si="160"/>
        <v>12</v>
      </c>
      <c r="AI102" s="222">
        <f t="shared" si="161"/>
        <v>470.17680822040114</v>
      </c>
      <c r="AJ102" s="222">
        <f t="shared" si="162"/>
        <v>5642.1216986448135</v>
      </c>
      <c r="AK102" s="238">
        <f t="shared" si="163"/>
        <v>1.4530438400356258</v>
      </c>
      <c r="AL102" s="239">
        <f t="shared" si="164"/>
        <v>4.5999999999999999E-2</v>
      </c>
    </row>
    <row r="103" spans="1:38">
      <c r="A103" s="92"/>
      <c r="B103" s="93"/>
      <c r="C103" s="54">
        <f t="shared" si="165"/>
        <v>21969</v>
      </c>
      <c r="D103" s="54">
        <f t="shared" si="165"/>
        <v>1849.7560000000001</v>
      </c>
      <c r="E103" s="54">
        <f t="shared" si="165"/>
        <v>18313</v>
      </c>
      <c r="F103" s="54">
        <f t="shared" si="165"/>
        <v>25625</v>
      </c>
      <c r="G103" s="24">
        <f t="shared" si="165"/>
        <v>8.4000000000000005E-2</v>
      </c>
      <c r="H103" s="22">
        <f t="shared" si="166"/>
        <v>1.5096743200400788</v>
      </c>
      <c r="I103" s="21">
        <f t="shared" si="172"/>
        <v>193901</v>
      </c>
      <c r="J103" s="21">
        <f t="shared" si="172"/>
        <v>4297</v>
      </c>
      <c r="K103" s="314"/>
      <c r="L103" s="11">
        <f t="shared" si="172"/>
        <v>4.5999999999999999E-2</v>
      </c>
      <c r="M103" s="47">
        <f t="shared" si="150"/>
        <v>0.11330008612642534</v>
      </c>
      <c r="N103" s="47">
        <f t="shared" si="151"/>
        <v>0.88669991387357472</v>
      </c>
      <c r="O103" s="47">
        <f t="shared" si="156"/>
        <v>0.10046317661016994</v>
      </c>
      <c r="P103" s="48">
        <f t="shared" si="152"/>
        <v>5702302753.1678905</v>
      </c>
      <c r="Q103" s="3">
        <f t="shared" si="153"/>
        <v>1021259.8094759999</v>
      </c>
      <c r="R103" s="49">
        <f t="shared" si="157"/>
        <v>5583.5965542340255</v>
      </c>
      <c r="S103" s="49">
        <f t="shared" si="154"/>
        <v>5427.3110513983311</v>
      </c>
      <c r="T103" s="10">
        <f t="shared" si="168"/>
        <v>0.55089299999999997</v>
      </c>
      <c r="U103" s="10">
        <f t="shared" si="168"/>
        <v>0.74837900000000002</v>
      </c>
      <c r="V103" s="55">
        <f t="shared" si="168"/>
        <v>2.9973939999999999</v>
      </c>
      <c r="W103" s="50">
        <f t="shared" si="158"/>
        <v>4391.8958501120223</v>
      </c>
      <c r="X103" s="7">
        <v>10</v>
      </c>
      <c r="Y103" s="10">
        <f t="shared" si="169"/>
        <v>7.7610273590173084E-2</v>
      </c>
      <c r="Z103" s="10">
        <f t="shared" si="169"/>
        <v>0.86985472154963661</v>
      </c>
      <c r="AA103" s="7">
        <f t="shared" si="170"/>
        <v>13</v>
      </c>
      <c r="AB103" s="56">
        <f t="shared" si="159"/>
        <v>439.18958501120221</v>
      </c>
      <c r="AC103" s="50">
        <f t="shared" si="171"/>
        <v>5709.4646051456284</v>
      </c>
      <c r="AD103" s="4"/>
      <c r="AH103" s="221">
        <f t="shared" si="160"/>
        <v>13</v>
      </c>
      <c r="AI103" s="222">
        <f t="shared" si="161"/>
        <v>439.18958501120221</v>
      </c>
      <c r="AJ103" s="222">
        <f t="shared" si="162"/>
        <v>5709.4646051456284</v>
      </c>
      <c r="AK103" s="238">
        <f t="shared" si="163"/>
        <v>1.5096743200400788</v>
      </c>
      <c r="AL103" s="239">
        <f t="shared" si="164"/>
        <v>4.5999999999999999E-2</v>
      </c>
    </row>
    <row r="104" spans="1:38">
      <c r="A104" s="92"/>
      <c r="B104" s="93"/>
      <c r="C104" s="54">
        <f t="shared" si="165"/>
        <v>21969</v>
      </c>
      <c r="D104" s="54">
        <f t="shared" si="165"/>
        <v>1849.7560000000001</v>
      </c>
      <c r="E104" s="54">
        <f t="shared" si="165"/>
        <v>18313</v>
      </c>
      <c r="F104" s="54">
        <f t="shared" si="165"/>
        <v>25625</v>
      </c>
      <c r="G104" s="24">
        <f t="shared" si="165"/>
        <v>8.4000000000000005E-2</v>
      </c>
      <c r="H104" s="22">
        <f t="shared" si="166"/>
        <v>1.5663048000445321</v>
      </c>
      <c r="I104" s="21">
        <f t="shared" si="172"/>
        <v>193901</v>
      </c>
      <c r="J104" s="21">
        <f t="shared" si="172"/>
        <v>4297</v>
      </c>
      <c r="K104" s="314"/>
      <c r="L104" s="11">
        <f t="shared" si="172"/>
        <v>4.5999999999999999E-2</v>
      </c>
      <c r="M104" s="47">
        <f t="shared" si="150"/>
        <v>0.11330008612642534</v>
      </c>
      <c r="N104" s="47">
        <f t="shared" si="151"/>
        <v>0.88669991387357472</v>
      </c>
      <c r="O104" s="47">
        <f t="shared" si="156"/>
        <v>0.10046317661016994</v>
      </c>
      <c r="P104" s="48">
        <f t="shared" si="152"/>
        <v>5916205935.964324</v>
      </c>
      <c r="Q104" s="3">
        <f t="shared" si="153"/>
        <v>1021259.8094759999</v>
      </c>
      <c r="R104" s="49">
        <f t="shared" si="157"/>
        <v>5793.0468633636738</v>
      </c>
      <c r="S104" s="49">
        <f t="shared" si="154"/>
        <v>5624.9928202499595</v>
      </c>
      <c r="T104" s="10">
        <f t="shared" si="168"/>
        <v>0.55089299999999997</v>
      </c>
      <c r="U104" s="10">
        <f t="shared" si="168"/>
        <v>0.74837900000000002</v>
      </c>
      <c r="V104" s="55">
        <f t="shared" si="168"/>
        <v>2.9973939999999999</v>
      </c>
      <c r="W104" s="50">
        <f t="shared" si="158"/>
        <v>4551.8641533915224</v>
      </c>
      <c r="X104" s="7">
        <v>11</v>
      </c>
      <c r="Y104" s="10">
        <f t="shared" si="169"/>
        <v>7.7610273590173084E-2</v>
      </c>
      <c r="Z104" s="10">
        <f t="shared" si="169"/>
        <v>0.86985472154963661</v>
      </c>
      <c r="AA104" s="7">
        <f t="shared" si="170"/>
        <v>14</v>
      </c>
      <c r="AB104" s="56">
        <f t="shared" si="159"/>
        <v>413.80583212650203</v>
      </c>
      <c r="AC104" s="50">
        <f t="shared" si="171"/>
        <v>5793.2816497710282</v>
      </c>
      <c r="AD104" s="4"/>
      <c r="AH104" s="221">
        <f t="shared" si="160"/>
        <v>14</v>
      </c>
      <c r="AI104" s="222">
        <f t="shared" si="161"/>
        <v>413.80583212650203</v>
      </c>
      <c r="AJ104" s="222">
        <f t="shared" si="162"/>
        <v>5793.2816497710282</v>
      </c>
      <c r="AK104" s="238">
        <f t="shared" si="163"/>
        <v>1.5663048000445321</v>
      </c>
      <c r="AL104" s="239">
        <f t="shared" si="164"/>
        <v>4.5999999999999999E-2</v>
      </c>
    </row>
    <row r="105" spans="1:38">
      <c r="A105" s="92"/>
      <c r="B105" s="93"/>
      <c r="C105" s="54">
        <f t="shared" si="165"/>
        <v>21969</v>
      </c>
      <c r="D105" s="54">
        <f t="shared" si="165"/>
        <v>1849.7560000000001</v>
      </c>
      <c r="E105" s="54">
        <f t="shared" si="165"/>
        <v>18313</v>
      </c>
      <c r="F105" s="54">
        <f t="shared" si="165"/>
        <v>25625</v>
      </c>
      <c r="G105" s="24">
        <f t="shared" si="165"/>
        <v>8.4000000000000005E-2</v>
      </c>
      <c r="H105" s="22">
        <f t="shared" si="166"/>
        <v>1.6229352800489854</v>
      </c>
      <c r="I105" s="21">
        <f t="shared" si="172"/>
        <v>193901</v>
      </c>
      <c r="J105" s="21">
        <f t="shared" si="172"/>
        <v>4297</v>
      </c>
      <c r="K105" s="314"/>
      <c r="L105" s="11">
        <f t="shared" si="172"/>
        <v>4.5999999999999999E-2</v>
      </c>
      <c r="M105" s="47">
        <f t="shared" si="150"/>
        <v>0.11330008612642534</v>
      </c>
      <c r="N105" s="47">
        <f t="shared" si="151"/>
        <v>0.88669991387357472</v>
      </c>
      <c r="O105" s="47">
        <f t="shared" si="156"/>
        <v>0.10046317661016994</v>
      </c>
      <c r="P105" s="48">
        <f t="shared" si="152"/>
        <v>6130109118.7607565</v>
      </c>
      <c r="Q105" s="3">
        <f t="shared" si="153"/>
        <v>1021259.8094759999</v>
      </c>
      <c r="R105" s="49">
        <f t="shared" si="157"/>
        <v>6002.4971724933202</v>
      </c>
      <c r="S105" s="49">
        <f t="shared" si="154"/>
        <v>5822.2603441465872</v>
      </c>
      <c r="T105" s="10">
        <f t="shared" si="168"/>
        <v>0.55089299999999997</v>
      </c>
      <c r="U105" s="10">
        <f t="shared" si="168"/>
        <v>0.74837900000000002</v>
      </c>
      <c r="V105" s="55">
        <f t="shared" si="168"/>
        <v>2.9973939999999999</v>
      </c>
      <c r="W105" s="50">
        <f t="shared" si="158"/>
        <v>4711.4972408189051</v>
      </c>
      <c r="X105" s="7">
        <v>12</v>
      </c>
      <c r="Y105" s="10">
        <f t="shared" si="169"/>
        <v>7.7610273590173084E-2</v>
      </c>
      <c r="Z105" s="10">
        <f t="shared" si="169"/>
        <v>0.86985472154963661</v>
      </c>
      <c r="AA105" s="7">
        <f t="shared" si="170"/>
        <v>15</v>
      </c>
      <c r="AB105" s="56">
        <f t="shared" si="159"/>
        <v>392.62477006824207</v>
      </c>
      <c r="AC105" s="50">
        <f t="shared" si="171"/>
        <v>5889.3715510236307</v>
      </c>
      <c r="AD105" s="4"/>
      <c r="AH105" s="221">
        <f t="shared" si="160"/>
        <v>15</v>
      </c>
      <c r="AI105" s="222">
        <f t="shared" si="161"/>
        <v>392.62477006824207</v>
      </c>
      <c r="AJ105" s="222">
        <f t="shared" si="162"/>
        <v>5889.3715510236307</v>
      </c>
      <c r="AK105" s="238">
        <f t="shared" si="163"/>
        <v>1.6229352800489854</v>
      </c>
      <c r="AL105" s="239">
        <f t="shared" si="164"/>
        <v>4.5999999999999999E-2</v>
      </c>
    </row>
    <row r="106" spans="1:38">
      <c r="A106" s="92"/>
      <c r="B106" s="93"/>
      <c r="C106" s="54">
        <f t="shared" si="165"/>
        <v>21969</v>
      </c>
      <c r="D106" s="54">
        <f t="shared" si="165"/>
        <v>1849.7560000000001</v>
      </c>
      <c r="E106" s="54">
        <f t="shared" si="165"/>
        <v>18313</v>
      </c>
      <c r="F106" s="54">
        <f t="shared" si="165"/>
        <v>25625</v>
      </c>
      <c r="G106" s="24">
        <f t="shared" si="165"/>
        <v>8.4000000000000005E-2</v>
      </c>
      <c r="H106" s="22">
        <f t="shared" si="166"/>
        <v>1.6795657600534386</v>
      </c>
      <c r="I106" s="21">
        <f t="shared" si="172"/>
        <v>193901</v>
      </c>
      <c r="J106" s="21">
        <f t="shared" si="172"/>
        <v>4297</v>
      </c>
      <c r="K106" s="314"/>
      <c r="L106" s="11">
        <f t="shared" si="172"/>
        <v>4.5999999999999999E-2</v>
      </c>
      <c r="M106" s="47">
        <f t="shared" si="150"/>
        <v>0.11330008612642534</v>
      </c>
      <c r="N106" s="47">
        <f t="shared" si="151"/>
        <v>0.88669991387357472</v>
      </c>
      <c r="O106" s="47">
        <f t="shared" si="156"/>
        <v>0.10046317661016994</v>
      </c>
      <c r="P106" s="48">
        <f t="shared" si="152"/>
        <v>6344012301.5571899</v>
      </c>
      <c r="Q106" s="3">
        <f t="shared" si="153"/>
        <v>1021259.8094759999</v>
      </c>
      <c r="R106" s="49">
        <f t="shared" si="157"/>
        <v>6211.9474816229686</v>
      </c>
      <c r="S106" s="49">
        <f t="shared" si="154"/>
        <v>6019.1149238096586</v>
      </c>
      <c r="T106" s="10">
        <f t="shared" si="168"/>
        <v>0.55089299999999997</v>
      </c>
      <c r="U106" s="10">
        <f t="shared" si="168"/>
        <v>0.74837900000000002</v>
      </c>
      <c r="V106" s="55">
        <f t="shared" si="168"/>
        <v>2.9973939999999999</v>
      </c>
      <c r="W106" s="50">
        <f t="shared" si="158"/>
        <v>4870.7961649657054</v>
      </c>
      <c r="X106" s="7">
        <v>13</v>
      </c>
      <c r="Y106" s="10">
        <f t="shared" si="169"/>
        <v>7.7610273590173084E-2</v>
      </c>
      <c r="Z106" s="10">
        <f t="shared" si="169"/>
        <v>0.86985472154963661</v>
      </c>
      <c r="AA106" s="7">
        <f t="shared" si="170"/>
        <v>17</v>
      </c>
      <c r="AB106" s="56">
        <f t="shared" si="159"/>
        <v>374.67662807428502</v>
      </c>
      <c r="AC106" s="50">
        <f t="shared" si="171"/>
        <v>6369.5026772628453</v>
      </c>
      <c r="AD106" s="4"/>
      <c r="AH106" s="221">
        <f t="shared" si="160"/>
        <v>17</v>
      </c>
      <c r="AI106" s="222">
        <f t="shared" si="161"/>
        <v>374.67662807428502</v>
      </c>
      <c r="AJ106" s="222">
        <f t="shared" si="162"/>
        <v>6369.5026772628453</v>
      </c>
      <c r="AK106" s="238">
        <f t="shared" si="163"/>
        <v>1.6795657600534386</v>
      </c>
      <c r="AL106" s="239">
        <f t="shared" si="164"/>
        <v>4.5999999999999999E-2</v>
      </c>
    </row>
    <row r="107" spans="1:38">
      <c r="A107" s="92"/>
      <c r="B107" s="93"/>
      <c r="C107" s="54">
        <f t="shared" si="165"/>
        <v>21969</v>
      </c>
      <c r="D107" s="54">
        <f t="shared" si="165"/>
        <v>1849.7560000000001</v>
      </c>
      <c r="E107" s="54">
        <f t="shared" si="165"/>
        <v>18313</v>
      </c>
      <c r="F107" s="54">
        <f t="shared" si="165"/>
        <v>25625</v>
      </c>
      <c r="G107" s="24">
        <f t="shared" si="165"/>
        <v>8.4000000000000005E-2</v>
      </c>
      <c r="H107" s="22">
        <f t="shared" si="166"/>
        <v>1.7361962400578919</v>
      </c>
      <c r="I107" s="21">
        <f t="shared" si="172"/>
        <v>193901</v>
      </c>
      <c r="J107" s="21">
        <f t="shared" si="172"/>
        <v>4297</v>
      </c>
      <c r="K107" s="314"/>
      <c r="L107" s="11">
        <f t="shared" si="172"/>
        <v>4.5999999999999999E-2</v>
      </c>
      <c r="M107" s="47">
        <f t="shared" si="150"/>
        <v>0.11330008612642534</v>
      </c>
      <c r="N107" s="47">
        <f t="shared" si="151"/>
        <v>0.88669991387357472</v>
      </c>
      <c r="O107" s="47">
        <f t="shared" si="156"/>
        <v>0.10046317661016994</v>
      </c>
      <c r="P107" s="48">
        <f t="shared" si="152"/>
        <v>6557915484.3536215</v>
      </c>
      <c r="Q107" s="3">
        <f t="shared" si="153"/>
        <v>1021259.8094759999</v>
      </c>
      <c r="R107" s="49">
        <f t="shared" si="157"/>
        <v>6421.3977907526141</v>
      </c>
      <c r="S107" s="49">
        <f t="shared" si="154"/>
        <v>6215.5578545206508</v>
      </c>
      <c r="T107" s="10">
        <f t="shared" si="168"/>
        <v>0.55089299999999997</v>
      </c>
      <c r="U107" s="10">
        <f t="shared" si="168"/>
        <v>0.74837900000000002</v>
      </c>
      <c r="V107" s="55">
        <f t="shared" si="168"/>
        <v>2.9973939999999999</v>
      </c>
      <c r="W107" s="50">
        <f t="shared" si="158"/>
        <v>5029.761974001316</v>
      </c>
      <c r="X107" s="7">
        <v>14</v>
      </c>
      <c r="Y107" s="10">
        <f t="shared" si="169"/>
        <v>7.7610273590173084E-2</v>
      </c>
      <c r="Z107" s="10">
        <f t="shared" si="169"/>
        <v>0.86985472154963661</v>
      </c>
      <c r="AA107" s="7">
        <f t="shared" si="170"/>
        <v>18</v>
      </c>
      <c r="AB107" s="56">
        <f t="shared" si="159"/>
        <v>359.26871242866542</v>
      </c>
      <c r="AC107" s="50">
        <f t="shared" si="171"/>
        <v>6466.8368237159775</v>
      </c>
      <c r="AD107" s="4"/>
      <c r="AH107" s="221">
        <f t="shared" si="160"/>
        <v>18</v>
      </c>
      <c r="AI107" s="222">
        <f t="shared" si="161"/>
        <v>359.26871242866542</v>
      </c>
      <c r="AJ107" s="222">
        <f t="shared" si="162"/>
        <v>6466.8368237159775</v>
      </c>
      <c r="AK107" s="238">
        <f t="shared" si="163"/>
        <v>1.7361962400578919</v>
      </c>
      <c r="AL107" s="239">
        <f t="shared" si="164"/>
        <v>4.5999999999999999E-2</v>
      </c>
    </row>
    <row r="108" spans="1:38">
      <c r="A108" s="92"/>
      <c r="B108" s="93"/>
      <c r="C108" s="54">
        <f t="shared" si="165"/>
        <v>21969</v>
      </c>
      <c r="D108" s="54">
        <f t="shared" si="165"/>
        <v>1849.7560000000001</v>
      </c>
      <c r="E108" s="54">
        <f t="shared" si="165"/>
        <v>18313</v>
      </c>
      <c r="F108" s="54">
        <f t="shared" si="165"/>
        <v>25625</v>
      </c>
      <c r="G108" s="24">
        <f t="shared" si="165"/>
        <v>8.4000000000000005E-2</v>
      </c>
      <c r="H108" s="22">
        <f t="shared" si="166"/>
        <v>1.7928267200623451</v>
      </c>
      <c r="I108" s="21">
        <f t="shared" si="172"/>
        <v>193901</v>
      </c>
      <c r="J108" s="21">
        <f t="shared" si="172"/>
        <v>4297</v>
      </c>
      <c r="K108" s="314"/>
      <c r="L108" s="11">
        <f t="shared" si="172"/>
        <v>4.5999999999999999E-2</v>
      </c>
      <c r="M108" s="47">
        <f t="shared" si="150"/>
        <v>0.11330008612642534</v>
      </c>
      <c r="N108" s="47">
        <f t="shared" si="151"/>
        <v>0.88669991387357472</v>
      </c>
      <c r="O108" s="47">
        <f t="shared" si="156"/>
        <v>0.10046317661016994</v>
      </c>
      <c r="P108" s="48">
        <f t="shared" si="152"/>
        <v>6771818667.150054</v>
      </c>
      <c r="Q108" s="3">
        <f t="shared" si="153"/>
        <v>1021259.8094759999</v>
      </c>
      <c r="R108" s="49">
        <f t="shared" si="157"/>
        <v>6630.8480998822615</v>
      </c>
      <c r="S108" s="49">
        <f t="shared" si="154"/>
        <v>6411.5904261494979</v>
      </c>
      <c r="T108" s="10">
        <f t="shared" si="168"/>
        <v>0.55089299999999997</v>
      </c>
      <c r="U108" s="10">
        <f t="shared" si="168"/>
        <v>0.74837900000000002</v>
      </c>
      <c r="V108" s="55">
        <f t="shared" si="168"/>
        <v>2.9973939999999999</v>
      </c>
      <c r="W108" s="50">
        <f t="shared" si="158"/>
        <v>5188.3957117159989</v>
      </c>
      <c r="X108" s="7">
        <v>15</v>
      </c>
      <c r="Y108" s="66">
        <f t="shared" si="169"/>
        <v>7.7610273590173084E-2</v>
      </c>
      <c r="Z108" s="66">
        <f t="shared" si="169"/>
        <v>0.86985472154963661</v>
      </c>
      <c r="AA108" s="7">
        <f t="shared" si="170"/>
        <v>19</v>
      </c>
      <c r="AB108" s="56">
        <f t="shared" si="159"/>
        <v>345.89304744773324</v>
      </c>
      <c r="AC108" s="68">
        <f t="shared" si="171"/>
        <v>6571.9679015069314</v>
      </c>
      <c r="AD108" s="4"/>
      <c r="AH108" s="221">
        <f t="shared" si="160"/>
        <v>19</v>
      </c>
      <c r="AI108" s="222">
        <f t="shared" si="161"/>
        <v>345.89304744773324</v>
      </c>
      <c r="AJ108" s="222">
        <f t="shared" si="162"/>
        <v>6571.9679015069314</v>
      </c>
      <c r="AK108" s="238">
        <f t="shared" si="163"/>
        <v>1.7928267200623451</v>
      </c>
      <c r="AL108" s="239">
        <f t="shared" si="164"/>
        <v>4.5999999999999999E-2</v>
      </c>
    </row>
    <row r="109" spans="1:38">
      <c r="A109" s="327" t="s">
        <v>66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28"/>
      <c r="AB109" s="328"/>
      <c r="AC109" s="328"/>
      <c r="AD109" s="329"/>
      <c r="AH109" s="317" t="s">
        <v>66</v>
      </c>
      <c r="AI109" s="317"/>
      <c r="AJ109" s="317"/>
      <c r="AK109" s="317"/>
      <c r="AL109" s="317"/>
    </row>
    <row r="110" spans="1:38" ht="24">
      <c r="A110" s="103" t="s">
        <v>47</v>
      </c>
      <c r="B110" s="93" t="s">
        <v>66</v>
      </c>
      <c r="C110" s="16">
        <v>29353</v>
      </c>
      <c r="D110" s="44">
        <v>2004.6220000000001</v>
      </c>
      <c r="E110" s="44">
        <v>25385</v>
      </c>
      <c r="F110" s="44">
        <v>33321</v>
      </c>
      <c r="G110" s="45">
        <v>6.8000000000000005E-2</v>
      </c>
      <c r="H110" s="45">
        <v>1.339</v>
      </c>
      <c r="I110" s="44">
        <v>185453</v>
      </c>
      <c r="J110" s="44">
        <v>3962</v>
      </c>
      <c r="K110" s="313">
        <v>864</v>
      </c>
      <c r="L110" s="46">
        <f>L97</f>
        <v>4.5999999999999999E-2</v>
      </c>
      <c r="M110" s="47">
        <f t="shared" ref="M110:M121" si="173">C110/I110</f>
        <v>0.1582772993696516</v>
      </c>
      <c r="N110" s="47">
        <f t="shared" ref="N110:N121" si="174">1-M110</f>
        <v>0.84172270063034837</v>
      </c>
      <c r="O110" s="47">
        <f>M110*N110</f>
        <v>0.13322559587390129</v>
      </c>
      <c r="P110" s="48">
        <f t="shared" ref="P110:P121" si="175">(I110^2)*(O110*H110)</f>
        <v>6135302418.6999998</v>
      </c>
      <c r="Q110" s="3">
        <f t="shared" ref="Q110:Q121" si="176">(L110^2)*(C110^2)</f>
        <v>1823142.6566439997</v>
      </c>
      <c r="R110" s="49">
        <f>P110/Q110</f>
        <v>3365.2344188982597</v>
      </c>
      <c r="S110" s="49">
        <f t="shared" ref="S110:S121" si="177">R110/(1+(R110/I110))</f>
        <v>3305.257146422482</v>
      </c>
      <c r="T110" s="15">
        <v>0.56566899999999998</v>
      </c>
      <c r="U110" s="15">
        <v>0.74862899999999999</v>
      </c>
      <c r="V110" s="15">
        <v>3.1673650000000002</v>
      </c>
      <c r="W110" s="50">
        <f>S110/(T110*U110*V110)</f>
        <v>2464.2122598670321</v>
      </c>
      <c r="X110" s="15">
        <v>10.18425</v>
      </c>
      <c r="Y110" s="15">
        <v>9.0482573726541601E-2</v>
      </c>
      <c r="Z110" s="15">
        <v>0.92188651436993363</v>
      </c>
      <c r="AA110" s="15">
        <f>X110/((1-Y110)*Z110)</f>
        <v>12.146203836930457</v>
      </c>
      <c r="AB110" s="51">
        <f>W110/X110</f>
        <v>241.96305666760261</v>
      </c>
      <c r="AC110" s="144">
        <f>AA110*AB110</f>
        <v>2938.9326072914564</v>
      </c>
      <c r="AD110" s="98">
        <f>(H110-1)/(X110-1)</f>
        <v>3.6911016141764431E-2</v>
      </c>
      <c r="AH110" s="221">
        <f>+AA110</f>
        <v>12.146203836930457</v>
      </c>
      <c r="AI110" s="222">
        <f>+AB110</f>
        <v>241.96305666760261</v>
      </c>
      <c r="AJ110" s="222">
        <f>+AC110</f>
        <v>2938.9326072914564</v>
      </c>
      <c r="AK110" s="238">
        <f>+H110</f>
        <v>1.339</v>
      </c>
      <c r="AL110" s="239">
        <f>+L110</f>
        <v>4.5999999999999999E-2</v>
      </c>
    </row>
    <row r="111" spans="1:38">
      <c r="A111" s="92"/>
      <c r="B111" s="93"/>
      <c r="C111" s="54">
        <f>C110</f>
        <v>29353</v>
      </c>
      <c r="D111" s="54">
        <f t="shared" ref="D111" si="178">D110</f>
        <v>2004.6220000000001</v>
      </c>
      <c r="E111" s="54">
        <f>E110</f>
        <v>25385</v>
      </c>
      <c r="F111" s="54">
        <f>F110</f>
        <v>33321</v>
      </c>
      <c r="G111" s="24">
        <f>G110</f>
        <v>6.8000000000000005E-2</v>
      </c>
      <c r="H111" s="22">
        <f>1+(X111-1)*$AD$31</f>
        <v>1.2265219200178128</v>
      </c>
      <c r="I111" s="21">
        <f>I110</f>
        <v>185453</v>
      </c>
      <c r="J111" s="21">
        <f>J110</f>
        <v>3962</v>
      </c>
      <c r="K111" s="314"/>
      <c r="L111" s="11">
        <f>L110</f>
        <v>4.5999999999999999E-2</v>
      </c>
      <c r="M111" s="47">
        <f t="shared" si="173"/>
        <v>0.1582772993696516</v>
      </c>
      <c r="N111" s="47">
        <f t="shared" si="174"/>
        <v>0.84172270063034837</v>
      </c>
      <c r="O111" s="47">
        <f t="shared" ref="O111:O121" si="179">M111*N111</f>
        <v>0.13322559587390129</v>
      </c>
      <c r="P111" s="48">
        <f t="shared" si="175"/>
        <v>5619927485.0439539</v>
      </c>
      <c r="Q111" s="3">
        <f t="shared" si="176"/>
        <v>1823142.6566439997</v>
      </c>
      <c r="R111" s="49">
        <f t="shared" ref="R111:R121" si="180">P111/Q111</f>
        <v>3082.549500206962</v>
      </c>
      <c r="S111" s="49">
        <f t="shared" si="177"/>
        <v>3032.1499259812231</v>
      </c>
      <c r="T111" s="10">
        <f>T110</f>
        <v>0.56566899999999998</v>
      </c>
      <c r="U111" s="10">
        <f>U110</f>
        <v>0.74862899999999999</v>
      </c>
      <c r="V111" s="55">
        <f>V110</f>
        <v>3.1673650000000002</v>
      </c>
      <c r="W111" s="50">
        <f t="shared" ref="W111:W121" si="181">S111/(T111*U111*V111)</f>
        <v>2260.5990064782636</v>
      </c>
      <c r="X111" s="7">
        <v>5</v>
      </c>
      <c r="Y111" s="10">
        <f>Y110</f>
        <v>9.0482573726541601E-2</v>
      </c>
      <c r="Z111" s="10">
        <f>Z110</f>
        <v>0.92188651436993363</v>
      </c>
      <c r="AA111" s="7">
        <f>ROUNDUP(X111/((1-Y111)*Z111),0)</f>
        <v>6</v>
      </c>
      <c r="AB111" s="56">
        <f t="shared" ref="AB111:AB121" si="182">W111/X111</f>
        <v>452.11980129565274</v>
      </c>
      <c r="AC111" s="50">
        <f>AA111*AB111</f>
        <v>2712.7188077739165</v>
      </c>
      <c r="AD111" s="8"/>
      <c r="AH111" s="221">
        <f t="shared" ref="AH111:AH121" si="183">+AA111</f>
        <v>6</v>
      </c>
      <c r="AI111" s="222">
        <f t="shared" ref="AI111:AI121" si="184">+AB111</f>
        <v>452.11980129565274</v>
      </c>
      <c r="AJ111" s="222">
        <f t="shared" ref="AJ111:AJ121" si="185">+AC111</f>
        <v>2712.7188077739165</v>
      </c>
      <c r="AK111" s="238">
        <f t="shared" ref="AK111:AK121" si="186">+H111</f>
        <v>1.2265219200178128</v>
      </c>
      <c r="AL111" s="239">
        <f t="shared" ref="AL111:AL121" si="187">+L111</f>
        <v>4.5999999999999999E-2</v>
      </c>
    </row>
    <row r="112" spans="1:38">
      <c r="A112" s="92"/>
      <c r="B112" s="93"/>
      <c r="C112" s="54">
        <f t="shared" ref="C112:G121" si="188">C111</f>
        <v>29353</v>
      </c>
      <c r="D112" s="54">
        <f t="shared" si="188"/>
        <v>2004.6220000000001</v>
      </c>
      <c r="E112" s="54">
        <f t="shared" si="188"/>
        <v>25385</v>
      </c>
      <c r="F112" s="54">
        <f t="shared" si="188"/>
        <v>33321</v>
      </c>
      <c r="G112" s="24">
        <f t="shared" si="188"/>
        <v>6.8000000000000005E-2</v>
      </c>
      <c r="H112" s="22">
        <f t="shared" ref="H112:H121" si="189">1+(X112-1)*$AD$31</f>
        <v>1.283152400022266</v>
      </c>
      <c r="I112" s="21">
        <f>I111</f>
        <v>185453</v>
      </c>
      <c r="J112" s="21">
        <f t="shared" ref="J112:L112" si="190">J111</f>
        <v>3962</v>
      </c>
      <c r="K112" s="314" t="s">
        <v>74</v>
      </c>
      <c r="L112" s="11">
        <f t="shared" si="190"/>
        <v>4.5999999999999999E-2</v>
      </c>
      <c r="M112" s="47">
        <f t="shared" si="173"/>
        <v>0.1582772993696516</v>
      </c>
      <c r="N112" s="47">
        <f t="shared" si="174"/>
        <v>0.84172270063034837</v>
      </c>
      <c r="O112" s="47">
        <f t="shared" si="179"/>
        <v>0.13322559587390129</v>
      </c>
      <c r="P112" s="48">
        <f t="shared" si="175"/>
        <v>5879408531.3049431</v>
      </c>
      <c r="Q112" s="3">
        <f t="shared" si="176"/>
        <v>1823142.6566439997</v>
      </c>
      <c r="R112" s="49">
        <f t="shared" si="180"/>
        <v>3224.8757440230306</v>
      </c>
      <c r="S112" s="49">
        <f t="shared" si="177"/>
        <v>3169.7562790440129</v>
      </c>
      <c r="T112" s="10">
        <f t="shared" ref="T112:V121" si="191">T111</f>
        <v>0.56566899999999998</v>
      </c>
      <c r="U112" s="10">
        <f t="shared" si="191"/>
        <v>0.74862899999999999</v>
      </c>
      <c r="V112" s="55">
        <f t="shared" si="191"/>
        <v>3.1673650000000002</v>
      </c>
      <c r="W112" s="50">
        <f t="shared" si="181"/>
        <v>2363.1904985259976</v>
      </c>
      <c r="X112" s="7">
        <v>6</v>
      </c>
      <c r="Y112" s="10">
        <f t="shared" ref="Y112:Z121" si="192">Y111</f>
        <v>9.0482573726541601E-2</v>
      </c>
      <c r="Z112" s="10">
        <f t="shared" si="192"/>
        <v>0.92188651436993363</v>
      </c>
      <c r="AA112" s="7">
        <f t="shared" ref="AA112:AA121" si="193">ROUNDUP(X112/((1-Y112)*Z112),0)</f>
        <v>8</v>
      </c>
      <c r="AB112" s="56">
        <f t="shared" si="182"/>
        <v>393.86508308766628</v>
      </c>
      <c r="AC112" s="50">
        <f t="shared" ref="AC112:AC121" si="194">AA112*AB112</f>
        <v>3150.9206647013302</v>
      </c>
      <c r="AD112" s="8"/>
      <c r="AH112" s="221">
        <f t="shared" si="183"/>
        <v>8</v>
      </c>
      <c r="AI112" s="222">
        <f t="shared" si="184"/>
        <v>393.86508308766628</v>
      </c>
      <c r="AJ112" s="222">
        <f t="shared" si="185"/>
        <v>3150.9206647013302</v>
      </c>
      <c r="AK112" s="238">
        <f t="shared" si="186"/>
        <v>1.283152400022266</v>
      </c>
      <c r="AL112" s="239">
        <f t="shared" si="187"/>
        <v>4.5999999999999999E-2</v>
      </c>
    </row>
    <row r="113" spans="1:38">
      <c r="A113" s="92"/>
      <c r="B113" s="93"/>
      <c r="C113" s="54">
        <f t="shared" si="188"/>
        <v>29353</v>
      </c>
      <c r="D113" s="54">
        <f t="shared" si="188"/>
        <v>2004.6220000000001</v>
      </c>
      <c r="E113" s="54">
        <f t="shared" si="188"/>
        <v>25385</v>
      </c>
      <c r="F113" s="54">
        <f t="shared" si="188"/>
        <v>33321</v>
      </c>
      <c r="G113" s="24">
        <f t="shared" si="188"/>
        <v>6.8000000000000005E-2</v>
      </c>
      <c r="H113" s="22">
        <f t="shared" si="189"/>
        <v>1.3397828800267193</v>
      </c>
      <c r="I113" s="21">
        <f t="shared" ref="I113:L121" si="195">I112</f>
        <v>185453</v>
      </c>
      <c r="J113" s="21">
        <f t="shared" si="195"/>
        <v>3962</v>
      </c>
      <c r="K113" s="314">
        <v>242</v>
      </c>
      <c r="L113" s="11">
        <f t="shared" si="195"/>
        <v>4.5999999999999999E-2</v>
      </c>
      <c r="M113" s="47">
        <f t="shared" si="173"/>
        <v>0.1582772993696516</v>
      </c>
      <c r="N113" s="47">
        <f t="shared" si="174"/>
        <v>0.84172270063034837</v>
      </c>
      <c r="O113" s="47">
        <f t="shared" si="179"/>
        <v>0.13322559587390129</v>
      </c>
      <c r="P113" s="48">
        <f t="shared" si="175"/>
        <v>6138889577.5659313</v>
      </c>
      <c r="Q113" s="3">
        <f t="shared" si="176"/>
        <v>1823142.6566439997</v>
      </c>
      <c r="R113" s="49">
        <f t="shared" si="180"/>
        <v>3367.2019878390988</v>
      </c>
      <c r="S113" s="49">
        <f t="shared" si="177"/>
        <v>3307.1551861327971</v>
      </c>
      <c r="T113" s="10">
        <f t="shared" si="191"/>
        <v>0.56566899999999998</v>
      </c>
      <c r="U113" s="10">
        <f t="shared" si="191"/>
        <v>0.74862899999999999</v>
      </c>
      <c r="V113" s="55">
        <f t="shared" si="191"/>
        <v>3.1673650000000002</v>
      </c>
      <c r="W113" s="50">
        <f t="shared" si="181"/>
        <v>2465.6273306214921</v>
      </c>
      <c r="X113" s="7">
        <v>7</v>
      </c>
      <c r="Y113" s="10">
        <f t="shared" si="192"/>
        <v>9.0482573726541601E-2</v>
      </c>
      <c r="Z113" s="10">
        <f t="shared" si="192"/>
        <v>0.92188651436993363</v>
      </c>
      <c r="AA113" s="7">
        <f t="shared" si="193"/>
        <v>9</v>
      </c>
      <c r="AB113" s="56">
        <f t="shared" si="182"/>
        <v>352.23247580307032</v>
      </c>
      <c r="AC113" s="50">
        <f t="shared" si="194"/>
        <v>3170.0922822276329</v>
      </c>
      <c r="AD113" s="8"/>
      <c r="AH113" s="221">
        <f t="shared" si="183"/>
        <v>9</v>
      </c>
      <c r="AI113" s="222">
        <f t="shared" si="184"/>
        <v>352.23247580307032</v>
      </c>
      <c r="AJ113" s="222">
        <f t="shared" si="185"/>
        <v>3170.0922822276329</v>
      </c>
      <c r="AK113" s="238">
        <f t="shared" si="186"/>
        <v>1.3397828800267193</v>
      </c>
      <c r="AL113" s="239">
        <f t="shared" si="187"/>
        <v>4.5999999999999999E-2</v>
      </c>
    </row>
    <row r="114" spans="1:38">
      <c r="A114" s="92"/>
      <c r="B114" s="93"/>
      <c r="C114" s="54">
        <f t="shared" si="188"/>
        <v>29353</v>
      </c>
      <c r="D114" s="54">
        <f t="shared" si="188"/>
        <v>2004.6220000000001</v>
      </c>
      <c r="E114" s="54">
        <f t="shared" si="188"/>
        <v>25385</v>
      </c>
      <c r="F114" s="54">
        <f t="shared" si="188"/>
        <v>33321</v>
      </c>
      <c r="G114" s="24">
        <f t="shared" si="188"/>
        <v>6.8000000000000005E-2</v>
      </c>
      <c r="H114" s="22">
        <f t="shared" si="189"/>
        <v>1.3964133600311726</v>
      </c>
      <c r="I114" s="21">
        <f t="shared" si="195"/>
        <v>185453</v>
      </c>
      <c r="J114" s="21">
        <f t="shared" si="195"/>
        <v>3962</v>
      </c>
      <c r="K114" s="314" t="s">
        <v>75</v>
      </c>
      <c r="L114" s="11">
        <f t="shared" si="195"/>
        <v>4.5999999999999999E-2</v>
      </c>
      <c r="M114" s="47">
        <f t="shared" si="173"/>
        <v>0.1582772993696516</v>
      </c>
      <c r="N114" s="47">
        <f t="shared" si="174"/>
        <v>0.84172270063034837</v>
      </c>
      <c r="O114" s="47">
        <f t="shared" si="179"/>
        <v>0.13322559587390129</v>
      </c>
      <c r="P114" s="48">
        <f t="shared" si="175"/>
        <v>6398370623.8269205</v>
      </c>
      <c r="Q114" s="3">
        <f t="shared" si="176"/>
        <v>1823142.6566439997</v>
      </c>
      <c r="R114" s="49">
        <f t="shared" si="180"/>
        <v>3509.5282316551675</v>
      </c>
      <c r="S114" s="49">
        <f t="shared" si="177"/>
        <v>3444.3471159914043</v>
      </c>
      <c r="T114" s="10">
        <f t="shared" si="191"/>
        <v>0.56566899999999998</v>
      </c>
      <c r="U114" s="10">
        <f t="shared" si="191"/>
        <v>0.74862899999999999</v>
      </c>
      <c r="V114" s="55">
        <f t="shared" si="191"/>
        <v>3.1673650000000002</v>
      </c>
      <c r="W114" s="50">
        <f t="shared" si="181"/>
        <v>2567.9098522335594</v>
      </c>
      <c r="X114" s="7">
        <v>8</v>
      </c>
      <c r="Y114" s="10">
        <f t="shared" si="192"/>
        <v>9.0482573726541601E-2</v>
      </c>
      <c r="Z114" s="10">
        <f t="shared" si="192"/>
        <v>0.92188651436993363</v>
      </c>
      <c r="AA114" s="7">
        <f t="shared" si="193"/>
        <v>10</v>
      </c>
      <c r="AB114" s="56">
        <f t="shared" si="182"/>
        <v>320.98873152919492</v>
      </c>
      <c r="AC114" s="50">
        <f t="shared" si="194"/>
        <v>3209.8873152919491</v>
      </c>
      <c r="AD114" s="8"/>
      <c r="AH114" s="221">
        <f t="shared" si="183"/>
        <v>10</v>
      </c>
      <c r="AI114" s="222">
        <f t="shared" si="184"/>
        <v>320.98873152919492</v>
      </c>
      <c r="AJ114" s="222">
        <f t="shared" si="185"/>
        <v>3209.8873152919491</v>
      </c>
      <c r="AK114" s="238">
        <f t="shared" si="186"/>
        <v>1.3964133600311726</v>
      </c>
      <c r="AL114" s="239">
        <f t="shared" si="187"/>
        <v>4.5999999999999999E-2</v>
      </c>
    </row>
    <row r="115" spans="1:38">
      <c r="A115" s="92"/>
      <c r="B115" s="93"/>
      <c r="C115" s="54">
        <f t="shared" si="188"/>
        <v>29353</v>
      </c>
      <c r="D115" s="54">
        <f t="shared" si="188"/>
        <v>2004.6220000000001</v>
      </c>
      <c r="E115" s="54">
        <f t="shared" si="188"/>
        <v>25385</v>
      </c>
      <c r="F115" s="54">
        <f t="shared" si="188"/>
        <v>33321</v>
      </c>
      <c r="G115" s="24">
        <f t="shared" si="188"/>
        <v>6.8000000000000005E-2</v>
      </c>
      <c r="H115" s="22">
        <f t="shared" si="189"/>
        <v>1.4530438400356258</v>
      </c>
      <c r="I115" s="21">
        <f t="shared" si="195"/>
        <v>185453</v>
      </c>
      <c r="J115" s="21">
        <f t="shared" si="195"/>
        <v>3962</v>
      </c>
      <c r="K115" s="314">
        <v>622</v>
      </c>
      <c r="L115" s="11">
        <f t="shared" si="195"/>
        <v>4.5999999999999999E-2</v>
      </c>
      <c r="M115" s="47">
        <f t="shared" si="173"/>
        <v>0.1582772993696516</v>
      </c>
      <c r="N115" s="47">
        <f t="shared" si="174"/>
        <v>0.84172270063034837</v>
      </c>
      <c r="O115" s="47">
        <f t="shared" si="179"/>
        <v>0.13322559587390129</v>
      </c>
      <c r="P115" s="48">
        <f t="shared" si="175"/>
        <v>6657851670.0879097</v>
      </c>
      <c r="Q115" s="3">
        <f t="shared" si="176"/>
        <v>1823142.6566439997</v>
      </c>
      <c r="R115" s="49">
        <f t="shared" si="180"/>
        <v>3651.8544754712361</v>
      </c>
      <c r="S115" s="49">
        <f t="shared" si="177"/>
        <v>3581.3325359524956</v>
      </c>
      <c r="T115" s="10">
        <f t="shared" si="191"/>
        <v>0.56566899999999998</v>
      </c>
      <c r="U115" s="10">
        <f t="shared" si="191"/>
        <v>0.74862899999999999</v>
      </c>
      <c r="V115" s="55">
        <f t="shared" si="191"/>
        <v>3.1673650000000002</v>
      </c>
      <c r="W115" s="50">
        <f t="shared" si="181"/>
        <v>2670.0384117789258</v>
      </c>
      <c r="X115" s="7">
        <v>9</v>
      </c>
      <c r="Y115" s="10">
        <f t="shared" si="192"/>
        <v>9.0482573726541601E-2</v>
      </c>
      <c r="Z115" s="10">
        <f t="shared" si="192"/>
        <v>0.92188651436993363</v>
      </c>
      <c r="AA115" s="7">
        <f t="shared" si="193"/>
        <v>11</v>
      </c>
      <c r="AB115" s="56">
        <f t="shared" si="182"/>
        <v>296.67093464210285</v>
      </c>
      <c r="AC115" s="50">
        <f t="shared" si="194"/>
        <v>3263.3802810631314</v>
      </c>
      <c r="AD115" s="4"/>
      <c r="AH115" s="221">
        <f t="shared" si="183"/>
        <v>11</v>
      </c>
      <c r="AI115" s="222">
        <f t="shared" si="184"/>
        <v>296.67093464210285</v>
      </c>
      <c r="AJ115" s="222">
        <f t="shared" si="185"/>
        <v>3263.3802810631314</v>
      </c>
      <c r="AK115" s="238">
        <f t="shared" si="186"/>
        <v>1.4530438400356258</v>
      </c>
      <c r="AL115" s="239">
        <f t="shared" si="187"/>
        <v>4.5999999999999999E-2</v>
      </c>
    </row>
    <row r="116" spans="1:38">
      <c r="A116" s="92"/>
      <c r="B116" s="93"/>
      <c r="C116" s="54">
        <f t="shared" si="188"/>
        <v>29353</v>
      </c>
      <c r="D116" s="54">
        <f t="shared" si="188"/>
        <v>2004.6220000000001</v>
      </c>
      <c r="E116" s="54">
        <f t="shared" si="188"/>
        <v>25385</v>
      </c>
      <c r="F116" s="54">
        <f t="shared" si="188"/>
        <v>33321</v>
      </c>
      <c r="G116" s="24">
        <f t="shared" si="188"/>
        <v>6.8000000000000005E-2</v>
      </c>
      <c r="H116" s="22">
        <f t="shared" si="189"/>
        <v>1.5096743200400788</v>
      </c>
      <c r="I116" s="21">
        <f t="shared" si="195"/>
        <v>185453</v>
      </c>
      <c r="J116" s="21">
        <f t="shared" si="195"/>
        <v>3962</v>
      </c>
      <c r="K116" s="314"/>
      <c r="L116" s="11">
        <f t="shared" si="195"/>
        <v>4.5999999999999999E-2</v>
      </c>
      <c r="M116" s="47">
        <f t="shared" si="173"/>
        <v>0.1582772993696516</v>
      </c>
      <c r="N116" s="47">
        <f t="shared" si="174"/>
        <v>0.84172270063034837</v>
      </c>
      <c r="O116" s="47">
        <f t="shared" si="179"/>
        <v>0.13322559587390129</v>
      </c>
      <c r="P116" s="48">
        <f t="shared" si="175"/>
        <v>6917332716.348897</v>
      </c>
      <c r="Q116" s="3">
        <f t="shared" si="176"/>
        <v>1823142.6566439997</v>
      </c>
      <c r="R116" s="49">
        <f t="shared" si="180"/>
        <v>3794.1807192873039</v>
      </c>
      <c r="S116" s="49">
        <f t="shared" si="177"/>
        <v>3718.1119119428763</v>
      </c>
      <c r="T116" s="10">
        <f t="shared" si="191"/>
        <v>0.56566899999999998</v>
      </c>
      <c r="U116" s="10">
        <f t="shared" si="191"/>
        <v>0.74862899999999999</v>
      </c>
      <c r="V116" s="55">
        <f t="shared" si="191"/>
        <v>3.1673650000000002</v>
      </c>
      <c r="W116" s="50">
        <f t="shared" si="181"/>
        <v>2772.0133566261898</v>
      </c>
      <c r="X116" s="7">
        <v>10</v>
      </c>
      <c r="Y116" s="10">
        <f t="shared" si="192"/>
        <v>9.0482573726541601E-2</v>
      </c>
      <c r="Z116" s="10">
        <f t="shared" si="192"/>
        <v>0.92188651436993363</v>
      </c>
      <c r="AA116" s="7">
        <f t="shared" si="193"/>
        <v>12</v>
      </c>
      <c r="AB116" s="56">
        <f t="shared" si="182"/>
        <v>277.20133566261899</v>
      </c>
      <c r="AC116" s="50">
        <f t="shared" si="194"/>
        <v>3326.4160279514281</v>
      </c>
      <c r="AD116" s="4"/>
      <c r="AH116" s="221">
        <f t="shared" si="183"/>
        <v>12</v>
      </c>
      <c r="AI116" s="222">
        <f t="shared" si="184"/>
        <v>277.20133566261899</v>
      </c>
      <c r="AJ116" s="222">
        <f t="shared" si="185"/>
        <v>3326.4160279514281</v>
      </c>
      <c r="AK116" s="238">
        <f t="shared" si="186"/>
        <v>1.5096743200400788</v>
      </c>
      <c r="AL116" s="239">
        <f t="shared" si="187"/>
        <v>4.5999999999999999E-2</v>
      </c>
    </row>
    <row r="117" spans="1:38">
      <c r="A117" s="92"/>
      <c r="B117" s="93"/>
      <c r="C117" s="54">
        <f t="shared" si="188"/>
        <v>29353</v>
      </c>
      <c r="D117" s="54">
        <f t="shared" si="188"/>
        <v>2004.6220000000001</v>
      </c>
      <c r="E117" s="54">
        <f t="shared" si="188"/>
        <v>25385</v>
      </c>
      <c r="F117" s="54">
        <f t="shared" si="188"/>
        <v>33321</v>
      </c>
      <c r="G117" s="24">
        <f t="shared" si="188"/>
        <v>6.8000000000000005E-2</v>
      </c>
      <c r="H117" s="22">
        <f t="shared" si="189"/>
        <v>1.5663048000445321</v>
      </c>
      <c r="I117" s="21">
        <f t="shared" si="195"/>
        <v>185453</v>
      </c>
      <c r="J117" s="21">
        <f t="shared" si="195"/>
        <v>3962</v>
      </c>
      <c r="K117" s="314"/>
      <c r="L117" s="11">
        <f t="shared" si="195"/>
        <v>4.5999999999999999E-2</v>
      </c>
      <c r="M117" s="47">
        <f t="shared" si="173"/>
        <v>0.1582772993696516</v>
      </c>
      <c r="N117" s="47">
        <f t="shared" si="174"/>
        <v>0.84172270063034837</v>
      </c>
      <c r="O117" s="47">
        <f t="shared" si="179"/>
        <v>0.13322559587390129</v>
      </c>
      <c r="P117" s="48">
        <f t="shared" si="175"/>
        <v>7176813762.6098862</v>
      </c>
      <c r="Q117" s="3">
        <f t="shared" si="176"/>
        <v>1823142.6566439997</v>
      </c>
      <c r="R117" s="49">
        <f t="shared" si="180"/>
        <v>3936.5069631033725</v>
      </c>
      <c r="S117" s="49">
        <f t="shared" si="177"/>
        <v>3854.6857084887743</v>
      </c>
      <c r="T117" s="10">
        <f t="shared" si="191"/>
        <v>0.56566899999999998</v>
      </c>
      <c r="U117" s="10">
        <f t="shared" si="191"/>
        <v>0.74862899999999999</v>
      </c>
      <c r="V117" s="55">
        <f t="shared" si="191"/>
        <v>3.1673650000000002</v>
      </c>
      <c r="W117" s="50">
        <f t="shared" si="181"/>
        <v>2873.8350330997605</v>
      </c>
      <c r="X117" s="7">
        <v>11</v>
      </c>
      <c r="Y117" s="10">
        <f t="shared" si="192"/>
        <v>9.0482573726541601E-2</v>
      </c>
      <c r="Z117" s="10">
        <f t="shared" si="192"/>
        <v>0.92188651436993363</v>
      </c>
      <c r="AA117" s="7">
        <f t="shared" si="193"/>
        <v>14</v>
      </c>
      <c r="AB117" s="56">
        <f t="shared" si="182"/>
        <v>261.2577302817964</v>
      </c>
      <c r="AC117" s="50">
        <f t="shared" si="194"/>
        <v>3657.6082239451498</v>
      </c>
      <c r="AD117" s="4"/>
      <c r="AH117" s="221">
        <f t="shared" si="183"/>
        <v>14</v>
      </c>
      <c r="AI117" s="222">
        <f t="shared" si="184"/>
        <v>261.2577302817964</v>
      </c>
      <c r="AJ117" s="222">
        <f t="shared" si="185"/>
        <v>3657.6082239451498</v>
      </c>
      <c r="AK117" s="238">
        <f t="shared" si="186"/>
        <v>1.5663048000445321</v>
      </c>
      <c r="AL117" s="239">
        <f t="shared" si="187"/>
        <v>4.5999999999999999E-2</v>
      </c>
    </row>
    <row r="118" spans="1:38">
      <c r="A118" s="92"/>
      <c r="B118" s="93"/>
      <c r="C118" s="54">
        <f t="shared" si="188"/>
        <v>29353</v>
      </c>
      <c r="D118" s="54">
        <f t="shared" si="188"/>
        <v>2004.6220000000001</v>
      </c>
      <c r="E118" s="54">
        <f t="shared" si="188"/>
        <v>25385</v>
      </c>
      <c r="F118" s="54">
        <f t="shared" si="188"/>
        <v>33321</v>
      </c>
      <c r="G118" s="24">
        <f t="shared" si="188"/>
        <v>6.8000000000000005E-2</v>
      </c>
      <c r="H118" s="22">
        <f t="shared" si="189"/>
        <v>1.6229352800489854</v>
      </c>
      <c r="I118" s="21">
        <f t="shared" si="195"/>
        <v>185453</v>
      </c>
      <c r="J118" s="21">
        <f t="shared" si="195"/>
        <v>3962</v>
      </c>
      <c r="K118" s="314"/>
      <c r="L118" s="11">
        <f t="shared" si="195"/>
        <v>4.5999999999999999E-2</v>
      </c>
      <c r="M118" s="47">
        <f t="shared" si="173"/>
        <v>0.1582772993696516</v>
      </c>
      <c r="N118" s="47">
        <f t="shared" si="174"/>
        <v>0.84172270063034837</v>
      </c>
      <c r="O118" s="47">
        <f t="shared" si="179"/>
        <v>0.13322559587390129</v>
      </c>
      <c r="P118" s="48">
        <f t="shared" si="175"/>
        <v>7436294808.8708744</v>
      </c>
      <c r="Q118" s="3">
        <f t="shared" si="176"/>
        <v>1823142.6566439997</v>
      </c>
      <c r="R118" s="49">
        <f t="shared" si="180"/>
        <v>4078.8332069194407</v>
      </c>
      <c r="S118" s="49">
        <f t="shared" si="177"/>
        <v>3991.0543887210988</v>
      </c>
      <c r="T118" s="10">
        <f t="shared" si="191"/>
        <v>0.56566899999999998</v>
      </c>
      <c r="U118" s="10">
        <f t="shared" si="191"/>
        <v>0.74862899999999999</v>
      </c>
      <c r="V118" s="55">
        <f t="shared" si="191"/>
        <v>3.1673650000000002</v>
      </c>
      <c r="W118" s="50">
        <f t="shared" si="181"/>
        <v>2975.5037864837755</v>
      </c>
      <c r="X118" s="7">
        <v>12</v>
      </c>
      <c r="Y118" s="10">
        <f t="shared" si="192"/>
        <v>9.0482573726541601E-2</v>
      </c>
      <c r="Z118" s="10">
        <f t="shared" si="192"/>
        <v>0.92188651436993363</v>
      </c>
      <c r="AA118" s="7">
        <f t="shared" si="193"/>
        <v>15</v>
      </c>
      <c r="AB118" s="56">
        <f t="shared" si="182"/>
        <v>247.95864887364795</v>
      </c>
      <c r="AC118" s="50">
        <f t="shared" si="194"/>
        <v>3719.379733104719</v>
      </c>
      <c r="AD118" s="4"/>
      <c r="AH118" s="221">
        <f t="shared" si="183"/>
        <v>15</v>
      </c>
      <c r="AI118" s="222">
        <f t="shared" si="184"/>
        <v>247.95864887364795</v>
      </c>
      <c r="AJ118" s="222">
        <f t="shared" si="185"/>
        <v>3719.379733104719</v>
      </c>
      <c r="AK118" s="238">
        <f t="shared" si="186"/>
        <v>1.6229352800489854</v>
      </c>
      <c r="AL118" s="239">
        <f t="shared" si="187"/>
        <v>4.5999999999999999E-2</v>
      </c>
    </row>
    <row r="119" spans="1:38">
      <c r="A119" s="92"/>
      <c r="B119" s="93"/>
      <c r="C119" s="54">
        <f t="shared" si="188"/>
        <v>29353</v>
      </c>
      <c r="D119" s="54">
        <f t="shared" si="188"/>
        <v>2004.6220000000001</v>
      </c>
      <c r="E119" s="54">
        <f t="shared" si="188"/>
        <v>25385</v>
      </c>
      <c r="F119" s="54">
        <f t="shared" si="188"/>
        <v>33321</v>
      </c>
      <c r="G119" s="24">
        <f t="shared" si="188"/>
        <v>6.8000000000000005E-2</v>
      </c>
      <c r="H119" s="22">
        <f t="shared" si="189"/>
        <v>1.6795657600534386</v>
      </c>
      <c r="I119" s="21">
        <f t="shared" si="195"/>
        <v>185453</v>
      </c>
      <c r="J119" s="21">
        <f t="shared" si="195"/>
        <v>3962</v>
      </c>
      <c r="K119" s="314"/>
      <c r="L119" s="11">
        <f t="shared" si="195"/>
        <v>4.5999999999999999E-2</v>
      </c>
      <c r="M119" s="47">
        <f t="shared" si="173"/>
        <v>0.1582772993696516</v>
      </c>
      <c r="N119" s="47">
        <f t="shared" si="174"/>
        <v>0.84172270063034837</v>
      </c>
      <c r="O119" s="47">
        <f t="shared" si="179"/>
        <v>0.13322559587390129</v>
      </c>
      <c r="P119" s="48">
        <f t="shared" si="175"/>
        <v>7695775855.1318636</v>
      </c>
      <c r="Q119" s="3">
        <f t="shared" si="176"/>
        <v>1823142.6566439997</v>
      </c>
      <c r="R119" s="49">
        <f t="shared" si="180"/>
        <v>4221.1594507355094</v>
      </c>
      <c r="S119" s="49">
        <f t="shared" si="177"/>
        <v>4127.2184143806771</v>
      </c>
      <c r="T119" s="10">
        <f t="shared" si="191"/>
        <v>0.56566899999999998</v>
      </c>
      <c r="U119" s="10">
        <f t="shared" si="191"/>
        <v>0.74862899999999999</v>
      </c>
      <c r="V119" s="55">
        <f t="shared" si="191"/>
        <v>3.1673650000000002</v>
      </c>
      <c r="W119" s="50">
        <f t="shared" si="181"/>
        <v>3077.019961026007</v>
      </c>
      <c r="X119" s="7">
        <v>13</v>
      </c>
      <c r="Y119" s="10">
        <f t="shared" si="192"/>
        <v>9.0482573726541601E-2</v>
      </c>
      <c r="Z119" s="10">
        <f t="shared" si="192"/>
        <v>0.92188651436993363</v>
      </c>
      <c r="AA119" s="7">
        <f t="shared" si="193"/>
        <v>16</v>
      </c>
      <c r="AB119" s="56">
        <f t="shared" si="182"/>
        <v>236.69384315584668</v>
      </c>
      <c r="AC119" s="50">
        <f t="shared" si="194"/>
        <v>3787.1014904935469</v>
      </c>
      <c r="AD119" s="4"/>
      <c r="AH119" s="221">
        <f t="shared" si="183"/>
        <v>16</v>
      </c>
      <c r="AI119" s="222">
        <f t="shared" si="184"/>
        <v>236.69384315584668</v>
      </c>
      <c r="AJ119" s="222">
        <f t="shared" si="185"/>
        <v>3787.1014904935469</v>
      </c>
      <c r="AK119" s="238">
        <f t="shared" si="186"/>
        <v>1.6795657600534386</v>
      </c>
      <c r="AL119" s="239">
        <f t="shared" si="187"/>
        <v>4.5999999999999999E-2</v>
      </c>
    </row>
    <row r="120" spans="1:38">
      <c r="A120" s="92"/>
      <c r="B120" s="93"/>
      <c r="C120" s="54">
        <f t="shared" si="188"/>
        <v>29353</v>
      </c>
      <c r="D120" s="54">
        <f t="shared" si="188"/>
        <v>2004.6220000000001</v>
      </c>
      <c r="E120" s="54">
        <f t="shared" si="188"/>
        <v>25385</v>
      </c>
      <c r="F120" s="54">
        <f t="shared" si="188"/>
        <v>33321</v>
      </c>
      <c r="G120" s="24">
        <f t="shared" si="188"/>
        <v>6.8000000000000005E-2</v>
      </c>
      <c r="H120" s="22">
        <f t="shared" si="189"/>
        <v>1.7361962400578919</v>
      </c>
      <c r="I120" s="21">
        <f t="shared" si="195"/>
        <v>185453</v>
      </c>
      <c r="J120" s="21">
        <f t="shared" si="195"/>
        <v>3962</v>
      </c>
      <c r="K120" s="314"/>
      <c r="L120" s="11">
        <f t="shared" si="195"/>
        <v>4.5999999999999999E-2</v>
      </c>
      <c r="M120" s="47">
        <f t="shared" si="173"/>
        <v>0.1582772993696516</v>
      </c>
      <c r="N120" s="47">
        <f t="shared" si="174"/>
        <v>0.84172270063034837</v>
      </c>
      <c r="O120" s="47">
        <f t="shared" si="179"/>
        <v>0.13322559587390129</v>
      </c>
      <c r="P120" s="48">
        <f t="shared" si="175"/>
        <v>7955256901.3928528</v>
      </c>
      <c r="Q120" s="3">
        <f t="shared" si="176"/>
        <v>1823142.6566439997</v>
      </c>
      <c r="R120" s="49">
        <f t="shared" si="180"/>
        <v>4363.4856945515785</v>
      </c>
      <c r="S120" s="49">
        <f t="shared" si="177"/>
        <v>4263.1782458234684</v>
      </c>
      <c r="T120" s="10">
        <f t="shared" si="191"/>
        <v>0.56566899999999998</v>
      </c>
      <c r="U120" s="10">
        <f t="shared" si="191"/>
        <v>0.74862899999999999</v>
      </c>
      <c r="V120" s="55">
        <f t="shared" si="191"/>
        <v>3.1673650000000002</v>
      </c>
      <c r="W120" s="50">
        <f t="shared" si="181"/>
        <v>3178.3838999417471</v>
      </c>
      <c r="X120" s="7">
        <v>14</v>
      </c>
      <c r="Y120" s="10">
        <f t="shared" si="192"/>
        <v>9.0482573726541601E-2</v>
      </c>
      <c r="Z120" s="10">
        <f t="shared" si="192"/>
        <v>0.92188651436993363</v>
      </c>
      <c r="AA120" s="7">
        <f t="shared" si="193"/>
        <v>17</v>
      </c>
      <c r="AB120" s="56">
        <f t="shared" si="182"/>
        <v>227.02742142441051</v>
      </c>
      <c r="AC120" s="50">
        <f t="shared" si="194"/>
        <v>3859.4661642149786</v>
      </c>
      <c r="AD120" s="4"/>
      <c r="AH120" s="221">
        <f t="shared" si="183"/>
        <v>17</v>
      </c>
      <c r="AI120" s="222">
        <f t="shared" si="184"/>
        <v>227.02742142441051</v>
      </c>
      <c r="AJ120" s="222">
        <f t="shared" si="185"/>
        <v>3859.4661642149786</v>
      </c>
      <c r="AK120" s="238">
        <f t="shared" si="186"/>
        <v>1.7361962400578919</v>
      </c>
      <c r="AL120" s="239">
        <f t="shared" si="187"/>
        <v>4.5999999999999999E-2</v>
      </c>
    </row>
    <row r="121" spans="1:38">
      <c r="A121" s="92"/>
      <c r="B121" s="93"/>
      <c r="C121" s="54">
        <f t="shared" si="188"/>
        <v>29353</v>
      </c>
      <c r="D121" s="54">
        <f t="shared" si="188"/>
        <v>2004.6220000000001</v>
      </c>
      <c r="E121" s="54">
        <f t="shared" si="188"/>
        <v>25385</v>
      </c>
      <c r="F121" s="54">
        <f t="shared" si="188"/>
        <v>33321</v>
      </c>
      <c r="G121" s="24">
        <f t="shared" si="188"/>
        <v>6.8000000000000005E-2</v>
      </c>
      <c r="H121" s="22">
        <f t="shared" si="189"/>
        <v>1.7928267200623451</v>
      </c>
      <c r="I121" s="21">
        <f t="shared" si="195"/>
        <v>185453</v>
      </c>
      <c r="J121" s="21">
        <f t="shared" si="195"/>
        <v>3962</v>
      </c>
      <c r="K121" s="314"/>
      <c r="L121" s="11">
        <f t="shared" si="195"/>
        <v>4.5999999999999999E-2</v>
      </c>
      <c r="M121" s="47">
        <f t="shared" si="173"/>
        <v>0.1582772993696516</v>
      </c>
      <c r="N121" s="47">
        <f t="shared" si="174"/>
        <v>0.84172270063034837</v>
      </c>
      <c r="O121" s="47">
        <f t="shared" si="179"/>
        <v>0.13322559587390129</v>
      </c>
      <c r="P121" s="48">
        <f t="shared" si="175"/>
        <v>8214737947.653841</v>
      </c>
      <c r="Q121" s="3">
        <f t="shared" si="176"/>
        <v>1823142.6566439997</v>
      </c>
      <c r="R121" s="49">
        <f t="shared" si="180"/>
        <v>4505.8119383676467</v>
      </c>
      <c r="S121" s="49">
        <f t="shared" si="177"/>
        <v>4398.9343420257437</v>
      </c>
      <c r="T121" s="10">
        <f t="shared" si="191"/>
        <v>0.56566899999999998</v>
      </c>
      <c r="U121" s="10">
        <f t="shared" si="191"/>
        <v>0.74862899999999999</v>
      </c>
      <c r="V121" s="55">
        <f t="shared" si="191"/>
        <v>3.1673650000000002</v>
      </c>
      <c r="W121" s="50">
        <f t="shared" si="181"/>
        <v>3279.5959454176709</v>
      </c>
      <c r="X121" s="7">
        <v>15</v>
      </c>
      <c r="Y121" s="66">
        <f t="shared" si="192"/>
        <v>9.0482573726541601E-2</v>
      </c>
      <c r="Z121" s="66">
        <f t="shared" si="192"/>
        <v>0.92188651436993363</v>
      </c>
      <c r="AA121" s="7">
        <f t="shared" si="193"/>
        <v>18</v>
      </c>
      <c r="AB121" s="56">
        <f t="shared" si="182"/>
        <v>218.6397296945114</v>
      </c>
      <c r="AC121" s="68">
        <f t="shared" si="194"/>
        <v>3935.5151345012055</v>
      </c>
      <c r="AD121" s="4"/>
      <c r="AH121" s="244">
        <f t="shared" si="183"/>
        <v>18</v>
      </c>
      <c r="AI121" s="245">
        <f t="shared" si="184"/>
        <v>218.6397296945114</v>
      </c>
      <c r="AJ121" s="245">
        <f t="shared" si="185"/>
        <v>3935.5151345012055</v>
      </c>
      <c r="AK121" s="231">
        <f t="shared" si="186"/>
        <v>1.7928267200623451</v>
      </c>
      <c r="AL121" s="246">
        <f t="shared" si="187"/>
        <v>4.5999999999999999E-2</v>
      </c>
    </row>
    <row r="122" spans="1:38">
      <c r="A122" s="69"/>
      <c r="B122" s="70"/>
      <c r="C122" s="71"/>
      <c r="D122" s="71"/>
      <c r="E122" s="71"/>
      <c r="F122" s="71"/>
      <c r="G122" s="72"/>
      <c r="H122" s="73"/>
      <c r="I122" s="74"/>
      <c r="J122" s="74"/>
      <c r="K122" s="316"/>
      <c r="L122" s="75"/>
      <c r="M122" s="76"/>
      <c r="N122" s="76"/>
      <c r="O122" s="76"/>
      <c r="P122" s="77"/>
      <c r="Q122" s="78"/>
      <c r="R122" s="79"/>
      <c r="S122" s="79"/>
      <c r="T122" s="80"/>
      <c r="U122" s="80"/>
      <c r="V122" s="81"/>
      <c r="W122" s="79"/>
      <c r="X122" s="79"/>
      <c r="Y122" s="80"/>
      <c r="Z122" s="80"/>
      <c r="AA122" s="80"/>
      <c r="AB122" s="79"/>
      <c r="AC122" s="80"/>
      <c r="AD122" s="99"/>
      <c r="AH122" s="39" t="s">
        <v>26</v>
      </c>
      <c r="AI122" s="241"/>
      <c r="AJ122" s="240"/>
      <c r="AK122" s="242"/>
      <c r="AL122" s="243"/>
    </row>
  </sheetData>
  <mergeCells count="24">
    <mergeCell ref="A96:AD96"/>
    <mergeCell ref="A109:AD109"/>
    <mergeCell ref="G44:L44"/>
    <mergeCell ref="X44:AD44"/>
    <mergeCell ref="A57:AD57"/>
    <mergeCell ref="A70:AD70"/>
    <mergeCell ref="A83:AD83"/>
    <mergeCell ref="G30:L30"/>
    <mergeCell ref="X30:AD30"/>
    <mergeCell ref="T1:V1"/>
    <mergeCell ref="C3:J3"/>
    <mergeCell ref="L2:R2"/>
    <mergeCell ref="Y2:Z2"/>
    <mergeCell ref="G17:L17"/>
    <mergeCell ref="X17:AD17"/>
    <mergeCell ref="AH70:AL70"/>
    <mergeCell ref="AH83:AL83"/>
    <mergeCell ref="AH96:AL96"/>
    <mergeCell ref="AH109:AL109"/>
    <mergeCell ref="AH4:AL4"/>
    <mergeCell ref="AH17:AL17"/>
    <mergeCell ref="AH30:AL30"/>
    <mergeCell ref="AH44:AL44"/>
    <mergeCell ref="AH57:AL57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3"/>
  <sheetViews>
    <sheetView showGridLines="0" zoomScale="85" zoomScaleNormal="85" workbookViewId="0">
      <pane ySplit="4" topLeftCell="A5" activePane="bottomLeft" state="frozen"/>
      <selection activeCell="P1" sqref="P1"/>
      <selection pane="bottomLeft" activeCell="L6" sqref="L6"/>
    </sheetView>
  </sheetViews>
  <sheetFormatPr baseColWidth="10" defaultColWidth="10.7109375" defaultRowHeight="15"/>
  <cols>
    <col min="1" max="1" width="22.28515625" bestFit="1" customWidth="1"/>
    <col min="2" max="2" width="12.5703125" customWidth="1"/>
    <col min="16" max="16" width="12" customWidth="1"/>
    <col min="19" max="19" width="12.28515625" customWidth="1"/>
    <col min="20" max="20" width="4.5703125" customWidth="1"/>
    <col min="21" max="21" width="4.7109375" customWidth="1"/>
    <col min="22" max="24" width="12.7109375" customWidth="1"/>
    <col min="29" max="29" width="19.140625" customWidth="1"/>
    <col min="30" max="30" width="11.7109375" customWidth="1"/>
    <col min="31" max="31" width="12.5703125" customWidth="1"/>
    <col min="32" max="32" width="14.7109375" customWidth="1"/>
  </cols>
  <sheetData>
    <row r="1" spans="1:33" ht="18.75">
      <c r="A1" s="217" t="s">
        <v>115</v>
      </c>
      <c r="AC1" s="217" t="s">
        <v>105</v>
      </c>
      <c r="AE1" s="42"/>
    </row>
    <row r="2" spans="1:33" ht="34.5">
      <c r="A2" s="218" t="s">
        <v>114</v>
      </c>
      <c r="R2" s="40" t="s">
        <v>31</v>
      </c>
      <c r="S2" s="34"/>
      <c r="T2" s="34"/>
      <c r="U2" s="34"/>
      <c r="V2" s="34"/>
      <c r="W2" s="34"/>
      <c r="X2" s="34"/>
      <c r="AC2" s="218" t="s">
        <v>114</v>
      </c>
      <c r="AD2" s="216"/>
      <c r="AE2" s="216"/>
      <c r="AF2" s="216"/>
    </row>
    <row r="3" spans="1:33" ht="36">
      <c r="F3" s="273"/>
      <c r="G3" t="s">
        <v>126</v>
      </c>
      <c r="H3" s="165">
        <f>(F5-E5) / 2</f>
        <v>9039</v>
      </c>
      <c r="I3" t="s">
        <v>125</v>
      </c>
      <c r="J3">
        <f>H3/(C5*1.96)</f>
        <v>4.1685736311499952E-2</v>
      </c>
      <c r="R3" s="40"/>
      <c r="S3" s="34"/>
      <c r="T3" s="34"/>
      <c r="U3" s="34"/>
      <c r="V3" s="34"/>
      <c r="W3" s="34"/>
      <c r="X3" s="34"/>
      <c r="AC3" s="214" t="s">
        <v>36</v>
      </c>
      <c r="AD3" s="214" t="s">
        <v>24</v>
      </c>
      <c r="AE3" s="214" t="s">
        <v>37</v>
      </c>
      <c r="AF3" s="215" t="s">
        <v>25</v>
      </c>
      <c r="AG3" s="214" t="s">
        <v>10</v>
      </c>
    </row>
    <row r="4" spans="1:33" ht="60">
      <c r="A4" s="12" t="s">
        <v>0</v>
      </c>
      <c r="B4" s="12" t="s">
        <v>1</v>
      </c>
      <c r="C4" s="12" t="s">
        <v>2</v>
      </c>
      <c r="D4" s="12" t="s">
        <v>3</v>
      </c>
      <c r="E4" s="13" t="s">
        <v>4</v>
      </c>
      <c r="F4" s="13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4" t="s">
        <v>10</v>
      </c>
      <c r="L4" s="2" t="s">
        <v>11</v>
      </c>
      <c r="M4" s="2" t="s">
        <v>12</v>
      </c>
      <c r="N4" s="2" t="s">
        <v>13</v>
      </c>
      <c r="O4" s="14" t="s">
        <v>14</v>
      </c>
      <c r="P4" s="14" t="s">
        <v>15</v>
      </c>
      <c r="Q4" s="1" t="s">
        <v>28</v>
      </c>
      <c r="R4" s="1" t="s">
        <v>16</v>
      </c>
      <c r="S4" s="9" t="s">
        <v>38</v>
      </c>
      <c r="T4" s="2" t="s">
        <v>17</v>
      </c>
      <c r="U4" s="2" t="s">
        <v>18</v>
      </c>
      <c r="V4" s="9" t="s">
        <v>29</v>
      </c>
      <c r="W4" s="9" t="s">
        <v>19</v>
      </c>
      <c r="X4" s="35" t="s">
        <v>30</v>
      </c>
      <c r="Y4" s="9" t="s">
        <v>20</v>
      </c>
      <c r="AC4" s="317" t="s">
        <v>21</v>
      </c>
      <c r="AD4" s="317"/>
      <c r="AE4" s="317"/>
      <c r="AF4" s="317"/>
      <c r="AG4" s="317"/>
    </row>
    <row r="5" spans="1:33" s="29" customFormat="1">
      <c r="A5" s="159" t="s">
        <v>27</v>
      </c>
      <c r="B5" s="160" t="s">
        <v>21</v>
      </c>
      <c r="C5" s="16">
        <v>110631</v>
      </c>
      <c r="D5" s="30">
        <v>4606.9660000000003</v>
      </c>
      <c r="E5" s="30">
        <v>101592</v>
      </c>
      <c r="F5" s="30">
        <v>119670</v>
      </c>
      <c r="G5" s="31">
        <v>4.2000000000000003E-2</v>
      </c>
      <c r="H5" s="31">
        <v>1.2290000000000001</v>
      </c>
      <c r="I5" s="30">
        <v>1734039</v>
      </c>
      <c r="J5" s="30">
        <v>10336</v>
      </c>
      <c r="K5" s="32">
        <v>2.1999999999999999E-2</v>
      </c>
      <c r="L5" s="25">
        <f>C5/I5</f>
        <v>6.3799603123113141E-2</v>
      </c>
      <c r="M5" s="25">
        <f>1-L5</f>
        <v>0.93620039687688683</v>
      </c>
      <c r="N5" s="25">
        <f>L5*M5</f>
        <v>5.9729213764446391E-2</v>
      </c>
      <c r="O5" s="26">
        <f>I5^2*(N5*H5)*1.96</f>
        <v>432625858449.16034</v>
      </c>
      <c r="P5" s="27">
        <f>K5^2*(C5^2)</f>
        <v>5923781.5899239993</v>
      </c>
      <c r="Q5" s="28">
        <f>O5/P5</f>
        <v>73032.040746578379</v>
      </c>
      <c r="R5" s="28">
        <f>Q5/(1+(Q5/I5))</f>
        <v>70080.480539290496</v>
      </c>
      <c r="S5" s="15">
        <v>9.2368190000000006</v>
      </c>
      <c r="T5" s="15">
        <v>6.8721366097459338E-2</v>
      </c>
      <c r="U5" s="15">
        <v>0.85988212180746348</v>
      </c>
      <c r="V5" s="15">
        <f>S5/((1-T5)*U5)</f>
        <v>11.534635493153841</v>
      </c>
      <c r="W5" s="37">
        <f>R5/S5</f>
        <v>7587.0795497119179</v>
      </c>
      <c r="X5" s="37">
        <f>V5*W5</f>
        <v>87514.197063488755</v>
      </c>
      <c r="Y5" s="294">
        <f>(H5-1)/(S5-1)</f>
        <v>2.7801994920611958E-2</v>
      </c>
      <c r="AC5" s="221">
        <f>+V5</f>
        <v>11.534635493153841</v>
      </c>
      <c r="AD5" s="222">
        <f>+W5</f>
        <v>7587.0795497119179</v>
      </c>
      <c r="AE5" s="237">
        <f>+X5</f>
        <v>87514.197063488755</v>
      </c>
      <c r="AF5" s="238">
        <f>+H5</f>
        <v>1.2290000000000001</v>
      </c>
      <c r="AG5" s="239">
        <f>+K5</f>
        <v>2.1999999999999999E-2</v>
      </c>
    </row>
    <row r="6" spans="1:33">
      <c r="A6" s="17"/>
      <c r="B6" s="6"/>
      <c r="C6" s="23">
        <f>C5</f>
        <v>110631</v>
      </c>
      <c r="D6" s="23">
        <f t="shared" ref="D6:G16" si="0">D5</f>
        <v>4606.9660000000003</v>
      </c>
      <c r="E6" s="23">
        <f t="shared" si="0"/>
        <v>101592</v>
      </c>
      <c r="F6" s="23">
        <f t="shared" si="0"/>
        <v>119670</v>
      </c>
      <c r="G6" s="24">
        <f t="shared" si="0"/>
        <v>4.2000000000000003E-2</v>
      </c>
      <c r="H6" s="22">
        <f>1+(S6-1)*Y5</f>
        <v>1.1112079796824479</v>
      </c>
      <c r="I6" s="21">
        <f>I5</f>
        <v>1734039</v>
      </c>
      <c r="J6" s="21">
        <f>J5</f>
        <v>10336</v>
      </c>
      <c r="K6" s="11">
        <v>2.1999999999999999E-2</v>
      </c>
      <c r="L6" s="25">
        <f t="shared" ref="L6:L16" si="1">C6/I6</f>
        <v>6.3799603123113141E-2</v>
      </c>
      <c r="M6" s="25">
        <f t="shared" ref="M6:M16" si="2">1-L6</f>
        <v>0.93620039687688683</v>
      </c>
      <c r="N6" s="25">
        <f t="shared" ref="N6:N16" si="3">L6*M6</f>
        <v>5.9729213764446391E-2</v>
      </c>
      <c r="O6" s="26">
        <f t="shared" ref="O6:O16" si="4">I6^2*(N6*H6)</f>
        <v>199572120242.80405</v>
      </c>
      <c r="P6" s="27">
        <f t="shared" ref="P6:P16" si="5">K6^2*(C6^2)</f>
        <v>5923781.5899239993</v>
      </c>
      <c r="Q6" s="28">
        <f t="shared" ref="Q6:Q16" si="6">O6/P6</f>
        <v>33689.98623822735</v>
      </c>
      <c r="R6" s="28">
        <f>Q6/(1+(Q6/I6))</f>
        <v>33047.910907920472</v>
      </c>
      <c r="S6" s="7">
        <v>5</v>
      </c>
      <c r="T6" s="10">
        <f>T5</f>
        <v>6.8721366097459338E-2</v>
      </c>
      <c r="U6" s="10">
        <f>U5</f>
        <v>0.85988212180746348</v>
      </c>
      <c r="V6" s="36">
        <f>S6/((1-T6)*U6)</f>
        <v>6.2438354011017427</v>
      </c>
      <c r="W6" s="38">
        <f>R6/S6</f>
        <v>6609.5821815840945</v>
      </c>
      <c r="X6" s="38">
        <f>V6*W6</f>
        <v>41269.14321186606</v>
      </c>
      <c r="Y6" s="33">
        <f t="shared" ref="Y6:Y8" si="7">(H6-1)/(S6-1)</f>
        <v>2.7801994920611972E-2</v>
      </c>
      <c r="AC6" s="221">
        <f t="shared" ref="AC6:AE16" si="8">+V6</f>
        <v>6.2438354011017427</v>
      </c>
      <c r="AD6" s="222">
        <f t="shared" si="8"/>
        <v>6609.5821815840945</v>
      </c>
      <c r="AE6" s="237">
        <f t="shared" si="8"/>
        <v>41269.14321186606</v>
      </c>
      <c r="AF6" s="238">
        <f t="shared" ref="AF6:AF16" si="9">+H6</f>
        <v>1.1112079796824479</v>
      </c>
      <c r="AG6" s="239">
        <f t="shared" ref="AG6:AG16" si="10">+K6</f>
        <v>2.1999999999999999E-2</v>
      </c>
    </row>
    <row r="7" spans="1:33">
      <c r="A7" s="17"/>
      <c r="B7" s="6"/>
      <c r="C7" s="23">
        <f t="shared" ref="C7:C16" si="11">C6</f>
        <v>110631</v>
      </c>
      <c r="D7" s="23">
        <f t="shared" si="0"/>
        <v>4606.9660000000003</v>
      </c>
      <c r="E7" s="23">
        <f t="shared" si="0"/>
        <v>101592</v>
      </c>
      <c r="F7" s="23">
        <f t="shared" si="0"/>
        <v>119670</v>
      </c>
      <c r="G7" s="24">
        <f t="shared" si="0"/>
        <v>4.2000000000000003E-2</v>
      </c>
      <c r="H7" s="22">
        <f>1+(S7-1)*Y5</f>
        <v>1.1390099746030597</v>
      </c>
      <c r="I7" s="21">
        <f t="shared" ref="I7:K16" si="12">I6</f>
        <v>1734039</v>
      </c>
      <c r="J7" s="21">
        <f t="shared" si="12"/>
        <v>10336</v>
      </c>
      <c r="K7" s="11">
        <f t="shared" si="12"/>
        <v>2.1999999999999999E-2</v>
      </c>
      <c r="L7" s="25">
        <f t="shared" si="1"/>
        <v>6.3799603123113141E-2</v>
      </c>
      <c r="M7" s="25">
        <f t="shared" si="2"/>
        <v>0.93620039687688683</v>
      </c>
      <c r="N7" s="25">
        <f t="shared" si="3"/>
        <v>5.9729213764446391E-2</v>
      </c>
      <c r="O7" s="26">
        <f>I7^2*(N7*H7)</f>
        <v>204565337691.50504</v>
      </c>
      <c r="P7" s="27">
        <f t="shared" si="5"/>
        <v>5923781.5899239993</v>
      </c>
      <c r="Q7" s="28">
        <f>O7/P7</f>
        <v>34532.896695492374</v>
      </c>
      <c r="R7" s="28">
        <f t="shared" ref="R7:R16" si="13">Q7/(1+(Q7/I7))</f>
        <v>33858.612004884249</v>
      </c>
      <c r="S7" s="7">
        <v>6</v>
      </c>
      <c r="T7" s="10">
        <f t="shared" ref="T7:U16" si="14">T6</f>
        <v>6.8721366097459338E-2</v>
      </c>
      <c r="U7" s="10">
        <f t="shared" si="14"/>
        <v>0.85988212180746348</v>
      </c>
      <c r="V7" s="36">
        <f>S7/((1-T7)*U7)</f>
        <v>7.4926024813220913</v>
      </c>
      <c r="W7" s="38">
        <f t="shared" ref="W7:W16" si="15">R7/S7</f>
        <v>5643.1020008140413</v>
      </c>
      <c r="X7" s="38">
        <f t="shared" ref="X7:X16" si="16">V7*W7</f>
        <v>42281.520053652945</v>
      </c>
      <c r="Y7" s="33">
        <f t="shared" si="7"/>
        <v>2.7801994920611951E-2</v>
      </c>
      <c r="AC7" s="221">
        <f t="shared" si="8"/>
        <v>7.4926024813220913</v>
      </c>
      <c r="AD7" s="222">
        <f t="shared" si="8"/>
        <v>5643.1020008140413</v>
      </c>
      <c r="AE7" s="237">
        <f t="shared" si="8"/>
        <v>42281.520053652945</v>
      </c>
      <c r="AF7" s="238">
        <f t="shared" si="9"/>
        <v>1.1390099746030597</v>
      </c>
      <c r="AG7" s="239">
        <f t="shared" si="10"/>
        <v>2.1999999999999999E-2</v>
      </c>
    </row>
    <row r="8" spans="1:33">
      <c r="A8" s="17"/>
      <c r="B8" s="6"/>
      <c r="C8" s="23">
        <f t="shared" si="11"/>
        <v>110631</v>
      </c>
      <c r="D8" s="23">
        <f t="shared" si="0"/>
        <v>4606.9660000000003</v>
      </c>
      <c r="E8" s="23">
        <f t="shared" si="0"/>
        <v>101592</v>
      </c>
      <c r="F8" s="23">
        <f t="shared" si="0"/>
        <v>119670</v>
      </c>
      <c r="G8" s="24">
        <f t="shared" si="0"/>
        <v>4.2000000000000003E-2</v>
      </c>
      <c r="H8" s="22">
        <f>1+(S8-1)*Y5</f>
        <v>1.1668119695236718</v>
      </c>
      <c r="I8" s="21">
        <f t="shared" si="12"/>
        <v>1734039</v>
      </c>
      <c r="J8" s="21">
        <f t="shared" si="12"/>
        <v>10336</v>
      </c>
      <c r="K8" s="11">
        <f t="shared" si="12"/>
        <v>2.1999999999999999E-2</v>
      </c>
      <c r="L8" s="25">
        <f t="shared" si="1"/>
        <v>6.3799603123113141E-2</v>
      </c>
      <c r="M8" s="25">
        <f t="shared" si="2"/>
        <v>0.93620039687688683</v>
      </c>
      <c r="N8" s="25">
        <f t="shared" si="3"/>
        <v>5.9729213764446391E-2</v>
      </c>
      <c r="O8" s="26">
        <f t="shared" si="4"/>
        <v>209558555140.20605</v>
      </c>
      <c r="P8" s="27">
        <f t="shared" si="5"/>
        <v>5923781.5899239993</v>
      </c>
      <c r="Q8" s="28">
        <f t="shared" si="6"/>
        <v>35375.807152757407</v>
      </c>
      <c r="R8" s="28">
        <f t="shared" si="13"/>
        <v>34668.54070135767</v>
      </c>
      <c r="S8" s="7">
        <v>7</v>
      </c>
      <c r="T8" s="10">
        <f t="shared" si="14"/>
        <v>6.8721366097459338E-2</v>
      </c>
      <c r="U8" s="10">
        <f t="shared" si="14"/>
        <v>0.85988212180746348</v>
      </c>
      <c r="V8" s="36">
        <f t="shared" ref="V8:V16" si="17">S8/((1-T8)*U8)</f>
        <v>8.7413695615424398</v>
      </c>
      <c r="W8" s="38">
        <f>R8/S8</f>
        <v>4952.6486716225245</v>
      </c>
      <c r="X8" s="38">
        <f>V8*W8</f>
        <v>43292.932347134731</v>
      </c>
      <c r="Y8" s="33">
        <f t="shared" si="7"/>
        <v>2.7801994920611972E-2</v>
      </c>
      <c r="AC8" s="221">
        <f t="shared" si="8"/>
        <v>8.7413695615424398</v>
      </c>
      <c r="AD8" s="222">
        <f t="shared" si="8"/>
        <v>4952.6486716225245</v>
      </c>
      <c r="AE8" s="237">
        <f t="shared" si="8"/>
        <v>43292.932347134731</v>
      </c>
      <c r="AF8" s="238">
        <f t="shared" si="9"/>
        <v>1.1668119695236718</v>
      </c>
      <c r="AG8" s="239">
        <f t="shared" si="10"/>
        <v>2.1999999999999999E-2</v>
      </c>
    </row>
    <row r="9" spans="1:33" s="34" customFormat="1">
      <c r="A9" s="274"/>
      <c r="B9" s="275"/>
      <c r="C9" s="276">
        <f t="shared" si="11"/>
        <v>110631</v>
      </c>
      <c r="D9" s="276">
        <f t="shared" si="0"/>
        <v>4606.9660000000003</v>
      </c>
      <c r="E9" s="276">
        <f t="shared" si="0"/>
        <v>101592</v>
      </c>
      <c r="F9" s="276">
        <f t="shared" si="0"/>
        <v>119670</v>
      </c>
      <c r="G9" s="277">
        <f t="shared" si="0"/>
        <v>4.2000000000000003E-2</v>
      </c>
      <c r="H9" s="169">
        <f>1+(S9-1)*Y5</f>
        <v>1.1946139644442837</v>
      </c>
      <c r="I9" s="278">
        <f t="shared" si="12"/>
        <v>1734039</v>
      </c>
      <c r="J9" s="278">
        <f t="shared" si="12"/>
        <v>10336</v>
      </c>
      <c r="K9" s="279">
        <f t="shared" si="12"/>
        <v>2.1999999999999999E-2</v>
      </c>
      <c r="L9" s="280">
        <f t="shared" si="1"/>
        <v>6.3799603123113141E-2</v>
      </c>
      <c r="M9" s="280">
        <f t="shared" si="2"/>
        <v>0.93620039687688683</v>
      </c>
      <c r="N9" s="280">
        <f t="shared" si="3"/>
        <v>5.9729213764446391E-2</v>
      </c>
      <c r="O9" s="281">
        <f>I9^2*(N9*H9)</f>
        <v>214551772588.90704</v>
      </c>
      <c r="P9" s="282">
        <f t="shared" si="5"/>
        <v>5923781.5899239993</v>
      </c>
      <c r="Q9" s="283">
        <f>O9/P9</f>
        <v>36218.717610022431</v>
      </c>
      <c r="R9" s="283">
        <f t="shared" si="13"/>
        <v>35477.698100679139</v>
      </c>
      <c r="S9" s="284">
        <v>8</v>
      </c>
      <c r="T9" s="285">
        <f t="shared" si="14"/>
        <v>6.8721366097459338E-2</v>
      </c>
      <c r="U9" s="285">
        <f t="shared" si="14"/>
        <v>0.85988212180746348</v>
      </c>
      <c r="V9" s="286">
        <f t="shared" si="17"/>
        <v>9.9901366417627884</v>
      </c>
      <c r="W9" s="287">
        <f t="shared" si="15"/>
        <v>4434.7122625848924</v>
      </c>
      <c r="X9" s="287">
        <f t="shared" si="16"/>
        <v>44303.381470124092</v>
      </c>
      <c r="Y9" s="288"/>
      <c r="AC9" s="289">
        <f t="shared" si="8"/>
        <v>9.9901366417627884</v>
      </c>
      <c r="AD9" s="290">
        <f t="shared" si="8"/>
        <v>4434.7122625848924</v>
      </c>
      <c r="AE9" s="291">
        <f t="shared" si="8"/>
        <v>44303.381470124092</v>
      </c>
      <c r="AF9" s="292">
        <f t="shared" si="9"/>
        <v>1.1946139644442837</v>
      </c>
      <c r="AG9" s="293">
        <f t="shared" si="10"/>
        <v>2.1999999999999999E-2</v>
      </c>
    </row>
    <row r="10" spans="1:33">
      <c r="A10" s="17"/>
      <c r="B10" s="5"/>
      <c r="C10" s="23">
        <f t="shared" si="11"/>
        <v>110631</v>
      </c>
      <c r="D10" s="23">
        <f t="shared" si="0"/>
        <v>4606.9660000000003</v>
      </c>
      <c r="E10" s="23">
        <f t="shared" si="0"/>
        <v>101592</v>
      </c>
      <c r="F10" s="23">
        <f t="shared" si="0"/>
        <v>119670</v>
      </c>
      <c r="G10" s="24">
        <f t="shared" si="0"/>
        <v>4.2000000000000003E-2</v>
      </c>
      <c r="H10" s="22">
        <f>1+(S10-1)*Y5</f>
        <v>1.2224159593648958</v>
      </c>
      <c r="I10" s="21">
        <f t="shared" si="12"/>
        <v>1734039</v>
      </c>
      <c r="J10" s="21">
        <f t="shared" si="12"/>
        <v>10336</v>
      </c>
      <c r="K10" s="11">
        <f t="shared" si="12"/>
        <v>2.1999999999999999E-2</v>
      </c>
      <c r="L10" s="25">
        <f t="shared" si="1"/>
        <v>6.3799603123113141E-2</v>
      </c>
      <c r="M10" s="25">
        <f t="shared" si="2"/>
        <v>0.93620039687688683</v>
      </c>
      <c r="N10" s="25">
        <f t="shared" si="3"/>
        <v>5.9729213764446391E-2</v>
      </c>
      <c r="O10" s="26">
        <f t="shared" si="4"/>
        <v>219544990037.60806</v>
      </c>
      <c r="P10" s="27">
        <f t="shared" si="5"/>
        <v>5923781.5899239993</v>
      </c>
      <c r="Q10" s="28">
        <f t="shared" si="6"/>
        <v>37061.628067287464</v>
      </c>
      <c r="R10" s="28">
        <f t="shared" si="13"/>
        <v>36286.085304086679</v>
      </c>
      <c r="S10" s="7">
        <v>9</v>
      </c>
      <c r="T10" s="10">
        <f t="shared" si="14"/>
        <v>6.8721366097459338E-2</v>
      </c>
      <c r="U10" s="10">
        <f t="shared" si="14"/>
        <v>0.85988212180746348</v>
      </c>
      <c r="V10" s="36">
        <f t="shared" si="17"/>
        <v>11.238903721983137</v>
      </c>
      <c r="W10" s="38">
        <f t="shared" si="15"/>
        <v>4031.7872560096312</v>
      </c>
      <c r="X10" s="38">
        <f t="shared" si="16"/>
        <v>45312.868797810821</v>
      </c>
      <c r="Y10" s="4"/>
      <c r="AC10" s="221">
        <f t="shared" si="8"/>
        <v>11.238903721983137</v>
      </c>
      <c r="AD10" s="222">
        <f t="shared" si="8"/>
        <v>4031.7872560096312</v>
      </c>
      <c r="AE10" s="237">
        <f t="shared" si="8"/>
        <v>45312.868797810821</v>
      </c>
      <c r="AF10" s="238">
        <f t="shared" si="9"/>
        <v>1.2224159593648958</v>
      </c>
      <c r="AG10" s="239">
        <f t="shared" si="10"/>
        <v>2.1999999999999999E-2</v>
      </c>
    </row>
    <row r="11" spans="1:33">
      <c r="A11" s="17"/>
      <c r="B11" s="5"/>
      <c r="C11" s="23">
        <f t="shared" si="11"/>
        <v>110631</v>
      </c>
      <c r="D11" s="23">
        <f t="shared" si="0"/>
        <v>4606.9660000000003</v>
      </c>
      <c r="E11" s="23">
        <f t="shared" si="0"/>
        <v>101592</v>
      </c>
      <c r="F11" s="23">
        <f t="shared" si="0"/>
        <v>119670</v>
      </c>
      <c r="G11" s="24">
        <f t="shared" si="0"/>
        <v>4.2000000000000003E-2</v>
      </c>
      <c r="H11" s="22">
        <f>1+(S11-1)*Y5</f>
        <v>1.2502179542855076</v>
      </c>
      <c r="I11" s="21">
        <f t="shared" si="12"/>
        <v>1734039</v>
      </c>
      <c r="J11" s="21">
        <f t="shared" si="12"/>
        <v>10336</v>
      </c>
      <c r="K11" s="11">
        <f t="shared" si="12"/>
        <v>2.1999999999999999E-2</v>
      </c>
      <c r="L11" s="25">
        <f t="shared" si="1"/>
        <v>6.3799603123113141E-2</v>
      </c>
      <c r="M11" s="25">
        <f t="shared" si="2"/>
        <v>0.93620039687688683</v>
      </c>
      <c r="N11" s="25">
        <f t="shared" si="3"/>
        <v>5.9729213764446391E-2</v>
      </c>
      <c r="O11" s="26">
        <f t="shared" si="4"/>
        <v>224538207486.30905</v>
      </c>
      <c r="P11" s="27">
        <f t="shared" si="5"/>
        <v>5923781.5899239993</v>
      </c>
      <c r="Q11" s="28">
        <f t="shared" si="6"/>
        <v>37904.538524552496</v>
      </c>
      <c r="R11" s="28">
        <f t="shared" si="13"/>
        <v>37093.703410722839</v>
      </c>
      <c r="S11" s="7">
        <v>10</v>
      </c>
      <c r="T11" s="10">
        <f t="shared" si="14"/>
        <v>6.8721366097459338E-2</v>
      </c>
      <c r="U11" s="10">
        <f t="shared" si="14"/>
        <v>0.85988212180746348</v>
      </c>
      <c r="V11" s="36">
        <f t="shared" si="17"/>
        <v>12.487670802203485</v>
      </c>
      <c r="W11" s="38">
        <f t="shared" si="15"/>
        <v>3709.3703410722837</v>
      </c>
      <c r="X11" s="38">
        <f t="shared" si="16"/>
        <v>46321.395702767943</v>
      </c>
      <c r="Y11" s="4"/>
      <c r="AC11" s="221">
        <f t="shared" si="8"/>
        <v>12.487670802203485</v>
      </c>
      <c r="AD11" s="222">
        <f t="shared" si="8"/>
        <v>3709.3703410722837</v>
      </c>
      <c r="AE11" s="237">
        <f t="shared" si="8"/>
        <v>46321.395702767943</v>
      </c>
      <c r="AF11" s="238">
        <f t="shared" si="9"/>
        <v>1.2502179542855076</v>
      </c>
      <c r="AG11" s="239">
        <f t="shared" si="10"/>
        <v>2.1999999999999999E-2</v>
      </c>
    </row>
    <row r="12" spans="1:33">
      <c r="A12" s="17"/>
      <c r="B12" s="5"/>
      <c r="C12" s="23">
        <f t="shared" si="11"/>
        <v>110631</v>
      </c>
      <c r="D12" s="23">
        <f t="shared" si="0"/>
        <v>4606.9660000000003</v>
      </c>
      <c r="E12" s="23">
        <f t="shared" si="0"/>
        <v>101592</v>
      </c>
      <c r="F12" s="23">
        <f t="shared" si="0"/>
        <v>119670</v>
      </c>
      <c r="G12" s="24">
        <f t="shared" si="0"/>
        <v>4.2000000000000003E-2</v>
      </c>
      <c r="H12" s="22">
        <f>1+(S12-1)*Y5</f>
        <v>1.2780199492061195</v>
      </c>
      <c r="I12" s="21">
        <f t="shared" si="12"/>
        <v>1734039</v>
      </c>
      <c r="J12" s="21">
        <f t="shared" si="12"/>
        <v>10336</v>
      </c>
      <c r="K12" s="11">
        <f t="shared" si="12"/>
        <v>2.1999999999999999E-2</v>
      </c>
      <c r="L12" s="25">
        <f t="shared" si="1"/>
        <v>6.3799603123113141E-2</v>
      </c>
      <c r="M12" s="25">
        <f t="shared" si="2"/>
        <v>0.93620039687688683</v>
      </c>
      <c r="N12" s="25">
        <f t="shared" si="3"/>
        <v>5.9729213764446391E-2</v>
      </c>
      <c r="O12" s="26">
        <f t="shared" si="4"/>
        <v>229531424935.01004</v>
      </c>
      <c r="P12" s="27">
        <f t="shared" si="5"/>
        <v>5923781.5899239993</v>
      </c>
      <c r="Q12" s="28">
        <f t="shared" si="6"/>
        <v>38747.448981817521</v>
      </c>
      <c r="R12" s="28">
        <f t="shared" si="13"/>
        <v>37900.553517639732</v>
      </c>
      <c r="S12" s="7">
        <v>11</v>
      </c>
      <c r="T12" s="10">
        <f t="shared" si="14"/>
        <v>6.8721366097459338E-2</v>
      </c>
      <c r="U12" s="10">
        <f t="shared" si="14"/>
        <v>0.85988212180746348</v>
      </c>
      <c r="V12" s="36">
        <f t="shared" si="17"/>
        <v>13.736437882423834</v>
      </c>
      <c r="W12" s="38">
        <f t="shared" si="15"/>
        <v>3445.5048652399755</v>
      </c>
      <c r="X12" s="38">
        <f t="shared" si="16"/>
        <v>47328.963554958027</v>
      </c>
      <c r="Y12" s="4"/>
      <c r="AC12" s="221">
        <f t="shared" si="8"/>
        <v>13.736437882423834</v>
      </c>
      <c r="AD12" s="222">
        <f t="shared" si="8"/>
        <v>3445.5048652399755</v>
      </c>
      <c r="AE12" s="237">
        <f t="shared" si="8"/>
        <v>47328.963554958027</v>
      </c>
      <c r="AF12" s="238">
        <f t="shared" si="9"/>
        <v>1.2780199492061195</v>
      </c>
      <c r="AG12" s="239">
        <f t="shared" si="10"/>
        <v>2.1999999999999999E-2</v>
      </c>
    </row>
    <row r="13" spans="1:33">
      <c r="A13" s="17"/>
      <c r="B13" s="5"/>
      <c r="C13" s="23">
        <f t="shared" si="11"/>
        <v>110631</v>
      </c>
      <c r="D13" s="23">
        <f t="shared" si="0"/>
        <v>4606.9660000000003</v>
      </c>
      <c r="E13" s="23">
        <f t="shared" si="0"/>
        <v>101592</v>
      </c>
      <c r="F13" s="23">
        <f t="shared" si="0"/>
        <v>119670</v>
      </c>
      <c r="G13" s="24">
        <f t="shared" si="0"/>
        <v>4.2000000000000003E-2</v>
      </c>
      <c r="H13" s="22">
        <f>1+(12-1)*Y5</f>
        <v>1.3058219441267316</v>
      </c>
      <c r="I13" s="21">
        <f t="shared" si="12"/>
        <v>1734039</v>
      </c>
      <c r="J13" s="21">
        <f t="shared" si="12"/>
        <v>10336</v>
      </c>
      <c r="K13" s="11">
        <f t="shared" si="12"/>
        <v>2.1999999999999999E-2</v>
      </c>
      <c r="L13" s="25">
        <f t="shared" si="1"/>
        <v>6.3799603123113141E-2</v>
      </c>
      <c r="M13" s="25">
        <f t="shared" si="2"/>
        <v>0.93620039687688683</v>
      </c>
      <c r="N13" s="25">
        <f t="shared" si="3"/>
        <v>5.9729213764446391E-2</v>
      </c>
      <c r="O13" s="26">
        <f t="shared" si="4"/>
        <v>234524642383.71109</v>
      </c>
      <c r="P13" s="27">
        <f t="shared" si="5"/>
        <v>5923781.5899239993</v>
      </c>
      <c r="Q13" s="28">
        <f t="shared" si="6"/>
        <v>39590.35943908256</v>
      </c>
      <c r="R13" s="28">
        <f t="shared" si="13"/>
        <v>38706.636719804024</v>
      </c>
      <c r="S13" s="7">
        <v>12</v>
      </c>
      <c r="T13" s="10">
        <f t="shared" si="14"/>
        <v>6.8721366097459338E-2</v>
      </c>
      <c r="U13" s="10">
        <f t="shared" si="14"/>
        <v>0.85988212180746348</v>
      </c>
      <c r="V13" s="36">
        <f t="shared" si="17"/>
        <v>14.985204962644183</v>
      </c>
      <c r="W13" s="38">
        <f t="shared" si="15"/>
        <v>3225.5530599836688</v>
      </c>
      <c r="X13" s="38">
        <f t="shared" si="16"/>
        <v>48335.573721739405</v>
      </c>
      <c r="Y13" s="4"/>
      <c r="AC13" s="221">
        <f t="shared" si="8"/>
        <v>14.985204962644183</v>
      </c>
      <c r="AD13" s="222">
        <f t="shared" si="8"/>
        <v>3225.5530599836688</v>
      </c>
      <c r="AE13" s="237">
        <f t="shared" si="8"/>
        <v>48335.573721739405</v>
      </c>
      <c r="AF13" s="238">
        <f t="shared" si="9"/>
        <v>1.3058219441267316</v>
      </c>
      <c r="AG13" s="239">
        <f t="shared" si="10"/>
        <v>2.1999999999999999E-2</v>
      </c>
    </row>
    <row r="14" spans="1:33">
      <c r="A14" s="17"/>
      <c r="B14" s="5"/>
      <c r="C14" s="23">
        <f t="shared" si="11"/>
        <v>110631</v>
      </c>
      <c r="D14" s="23">
        <f t="shared" si="0"/>
        <v>4606.9660000000003</v>
      </c>
      <c r="E14" s="23">
        <f t="shared" si="0"/>
        <v>101592</v>
      </c>
      <c r="F14" s="23">
        <f t="shared" si="0"/>
        <v>119670</v>
      </c>
      <c r="G14" s="24">
        <f t="shared" si="0"/>
        <v>4.2000000000000003E-2</v>
      </c>
      <c r="H14" s="22">
        <f>1+(S14-1)*Y5</f>
        <v>1.3336239390473434</v>
      </c>
      <c r="I14" s="21">
        <f t="shared" si="12"/>
        <v>1734039</v>
      </c>
      <c r="J14" s="21">
        <f t="shared" si="12"/>
        <v>10336</v>
      </c>
      <c r="K14" s="11">
        <f t="shared" si="12"/>
        <v>2.1999999999999999E-2</v>
      </c>
      <c r="L14" s="25">
        <f t="shared" si="1"/>
        <v>6.3799603123113141E-2</v>
      </c>
      <c r="M14" s="25">
        <f t="shared" si="2"/>
        <v>0.93620039687688683</v>
      </c>
      <c r="N14" s="25">
        <f t="shared" si="3"/>
        <v>5.9729213764446391E-2</v>
      </c>
      <c r="O14" s="26">
        <f t="shared" si="4"/>
        <v>239517859832.41208</v>
      </c>
      <c r="P14" s="27">
        <f t="shared" si="5"/>
        <v>5923781.5899239993</v>
      </c>
      <c r="Q14" s="28">
        <f t="shared" si="6"/>
        <v>40433.269896347585</v>
      </c>
      <c r="R14" s="28">
        <f t="shared" si="13"/>
        <v>39511.954110101804</v>
      </c>
      <c r="S14" s="7">
        <v>13</v>
      </c>
      <c r="T14" s="10">
        <f t="shared" si="14"/>
        <v>6.8721366097459338E-2</v>
      </c>
      <c r="U14" s="10">
        <f t="shared" si="14"/>
        <v>0.85988212180746348</v>
      </c>
      <c r="V14" s="36">
        <f t="shared" si="17"/>
        <v>16.233972042864533</v>
      </c>
      <c r="W14" s="38">
        <f t="shared" si="15"/>
        <v>3039.3810853924465</v>
      </c>
      <c r="X14" s="38">
        <f t="shared" si="16"/>
        <v>49341.227567872236</v>
      </c>
      <c r="Y14" s="4"/>
      <c r="AC14" s="221">
        <f t="shared" si="8"/>
        <v>16.233972042864533</v>
      </c>
      <c r="AD14" s="222">
        <f t="shared" si="8"/>
        <v>3039.3810853924465</v>
      </c>
      <c r="AE14" s="237">
        <f t="shared" si="8"/>
        <v>49341.227567872236</v>
      </c>
      <c r="AF14" s="238">
        <f t="shared" si="9"/>
        <v>1.3336239390473434</v>
      </c>
      <c r="AG14" s="239">
        <f t="shared" si="10"/>
        <v>2.1999999999999999E-2</v>
      </c>
    </row>
    <row r="15" spans="1:33">
      <c r="A15" s="17"/>
      <c r="B15" s="5"/>
      <c r="C15" s="23">
        <f t="shared" si="11"/>
        <v>110631</v>
      </c>
      <c r="D15" s="23">
        <f t="shared" si="0"/>
        <v>4606.9660000000003</v>
      </c>
      <c r="E15" s="23">
        <f t="shared" si="0"/>
        <v>101592</v>
      </c>
      <c r="F15" s="23">
        <f t="shared" si="0"/>
        <v>119670</v>
      </c>
      <c r="G15" s="24">
        <f t="shared" si="0"/>
        <v>4.2000000000000003E-2</v>
      </c>
      <c r="H15" s="22">
        <f>1+(S15-1)*Y5</f>
        <v>1.3614259339679555</v>
      </c>
      <c r="I15" s="21">
        <f t="shared" si="12"/>
        <v>1734039</v>
      </c>
      <c r="J15" s="21">
        <f t="shared" si="12"/>
        <v>10336</v>
      </c>
      <c r="K15" s="11">
        <f t="shared" si="12"/>
        <v>2.1999999999999999E-2</v>
      </c>
      <c r="L15" s="25">
        <f t="shared" si="1"/>
        <v>6.3799603123113141E-2</v>
      </c>
      <c r="M15" s="25">
        <f t="shared" si="2"/>
        <v>0.93620039687688683</v>
      </c>
      <c r="N15" s="25">
        <f t="shared" si="3"/>
        <v>5.9729213764446391E-2</v>
      </c>
      <c r="O15" s="26">
        <f t="shared" si="4"/>
        <v>244511077281.1131</v>
      </c>
      <c r="P15" s="27">
        <f t="shared" si="5"/>
        <v>5923781.5899239993</v>
      </c>
      <c r="Q15" s="28">
        <f t="shared" si="6"/>
        <v>41276.180353612617</v>
      </c>
      <c r="R15" s="28">
        <f t="shared" si="13"/>
        <v>40316.506779343617</v>
      </c>
      <c r="S15" s="7">
        <v>14</v>
      </c>
      <c r="T15" s="10">
        <f t="shared" si="14"/>
        <v>6.8721366097459338E-2</v>
      </c>
      <c r="U15" s="10">
        <f t="shared" si="14"/>
        <v>0.85988212180746348</v>
      </c>
      <c r="V15" s="36">
        <f t="shared" si="17"/>
        <v>17.48273912308488</v>
      </c>
      <c r="W15" s="38">
        <f t="shared" si="15"/>
        <v>2879.7504842388298</v>
      </c>
      <c r="X15" s="38">
        <f t="shared" si="16"/>
        <v>50345.926455524816</v>
      </c>
      <c r="Y15" s="4"/>
      <c r="AC15" s="221">
        <f t="shared" si="8"/>
        <v>17.48273912308488</v>
      </c>
      <c r="AD15" s="222">
        <f t="shared" si="8"/>
        <v>2879.7504842388298</v>
      </c>
      <c r="AE15" s="237">
        <f t="shared" si="8"/>
        <v>50345.926455524816</v>
      </c>
      <c r="AF15" s="238">
        <f t="shared" si="9"/>
        <v>1.3614259339679555</v>
      </c>
      <c r="AG15" s="239">
        <f t="shared" si="10"/>
        <v>2.1999999999999999E-2</v>
      </c>
    </row>
    <row r="16" spans="1:33">
      <c r="A16" s="17"/>
      <c r="B16" s="17"/>
      <c r="C16" s="23">
        <f t="shared" si="11"/>
        <v>110631</v>
      </c>
      <c r="D16" s="23">
        <f t="shared" si="0"/>
        <v>4606.9660000000003</v>
      </c>
      <c r="E16" s="23">
        <f t="shared" si="0"/>
        <v>101592</v>
      </c>
      <c r="F16" s="23">
        <f t="shared" si="0"/>
        <v>119670</v>
      </c>
      <c r="G16" s="24">
        <f t="shared" si="0"/>
        <v>4.2000000000000003E-2</v>
      </c>
      <c r="H16" s="22">
        <f>1+(S16-1)*Y5</f>
        <v>1.3892279288885674</v>
      </c>
      <c r="I16" s="21">
        <f t="shared" si="12"/>
        <v>1734039</v>
      </c>
      <c r="J16" s="21">
        <f t="shared" si="12"/>
        <v>10336</v>
      </c>
      <c r="K16" s="11">
        <f t="shared" si="12"/>
        <v>2.1999999999999999E-2</v>
      </c>
      <c r="L16" s="25">
        <f t="shared" si="1"/>
        <v>6.3799603123113141E-2</v>
      </c>
      <c r="M16" s="25">
        <f t="shared" si="2"/>
        <v>0.93620039687688683</v>
      </c>
      <c r="N16" s="25">
        <f t="shared" si="3"/>
        <v>5.9729213764446391E-2</v>
      </c>
      <c r="O16" s="26">
        <f t="shared" si="4"/>
        <v>249504294729.81415</v>
      </c>
      <c r="P16" s="27">
        <f t="shared" si="5"/>
        <v>5923781.5899239993</v>
      </c>
      <c r="Q16" s="28">
        <f t="shared" si="6"/>
        <v>42119.090810877657</v>
      </c>
      <c r="R16" s="28">
        <f t="shared" si="13"/>
        <v>41120.295816269347</v>
      </c>
      <c r="S16" s="3">
        <v>15</v>
      </c>
      <c r="T16" s="10">
        <f t="shared" si="14"/>
        <v>6.8721366097459338E-2</v>
      </c>
      <c r="U16" s="10">
        <f t="shared" si="14"/>
        <v>0.85988212180746348</v>
      </c>
      <c r="V16" s="36">
        <f t="shared" si="17"/>
        <v>18.73150620330523</v>
      </c>
      <c r="W16" s="38">
        <f t="shared" si="15"/>
        <v>2741.3530544179566</v>
      </c>
      <c r="X16" s="38">
        <f t="shared" si="16"/>
        <v>51349.671744279694</v>
      </c>
      <c r="Y16" s="4"/>
      <c r="AC16" s="221">
        <f>+V16</f>
        <v>18.73150620330523</v>
      </c>
      <c r="AD16" s="222">
        <f t="shared" si="8"/>
        <v>2741.3530544179566</v>
      </c>
      <c r="AE16" s="237">
        <f t="shared" si="8"/>
        <v>51349.671744279694</v>
      </c>
      <c r="AF16" s="238">
        <f t="shared" si="9"/>
        <v>1.3892279288885674</v>
      </c>
      <c r="AG16" s="239">
        <f t="shared" si="10"/>
        <v>2.1999999999999999E-2</v>
      </c>
    </row>
    <row r="17" spans="1:33">
      <c r="A17" s="18"/>
      <c r="B17" s="19"/>
      <c r="C17" s="19"/>
      <c r="D17" s="19"/>
      <c r="E17" s="19"/>
      <c r="F17" s="19"/>
      <c r="G17" s="331" t="s">
        <v>22</v>
      </c>
      <c r="H17" s="331"/>
      <c r="I17" s="331"/>
      <c r="J17" s="331"/>
      <c r="K17" s="331"/>
      <c r="L17" s="19"/>
      <c r="M17" s="19"/>
      <c r="N17" s="19"/>
      <c r="O17" s="19"/>
      <c r="P17" s="19"/>
      <c r="Q17" s="19"/>
      <c r="R17" s="19"/>
      <c r="S17" s="331" t="s">
        <v>22</v>
      </c>
      <c r="T17" s="331"/>
      <c r="U17" s="331"/>
      <c r="V17" s="331"/>
      <c r="W17" s="331"/>
      <c r="X17" s="331"/>
      <c r="Y17" s="332"/>
      <c r="AC17" s="317" t="s">
        <v>22</v>
      </c>
      <c r="AD17" s="317"/>
      <c r="AE17" s="317"/>
      <c r="AF17" s="317"/>
      <c r="AG17" s="317"/>
    </row>
    <row r="18" spans="1:33">
      <c r="A18" s="159" t="s">
        <v>27</v>
      </c>
      <c r="B18" s="160" t="s">
        <v>22</v>
      </c>
      <c r="C18" s="16">
        <v>70946</v>
      </c>
      <c r="D18" s="30">
        <v>3888.75</v>
      </c>
      <c r="E18" s="30">
        <v>63316</v>
      </c>
      <c r="F18" s="30">
        <v>78576</v>
      </c>
      <c r="G18" s="31">
        <v>5.5E-2</v>
      </c>
      <c r="H18" s="31">
        <v>1.333</v>
      </c>
      <c r="I18" s="30">
        <v>1257539</v>
      </c>
      <c r="J18" s="30">
        <v>7106</v>
      </c>
      <c r="K18" s="212">
        <v>0.03</v>
      </c>
      <c r="L18" s="25">
        <f>C18/I18</f>
        <v>5.6416540560571084E-2</v>
      </c>
      <c r="M18" s="25">
        <f>1-L18</f>
        <v>0.9435834594394289</v>
      </c>
      <c r="N18" s="25">
        <f>L18*M18</f>
        <v>5.323371451174852E-2</v>
      </c>
      <c r="O18" s="26">
        <f>I18^2*(N18*H18)</f>
        <v>112217307961.674</v>
      </c>
      <c r="P18" s="27">
        <f>K18^2*(C18^2)</f>
        <v>4530001.4243999999</v>
      </c>
      <c r="Q18" s="28">
        <f>O18/P18</f>
        <v>24772.024873377875</v>
      </c>
      <c r="R18" s="28">
        <f>Q18/(1+(Q18/I18))</f>
        <v>24293.472319103574</v>
      </c>
      <c r="S18" s="15">
        <v>8.9835650000000005</v>
      </c>
      <c r="T18" s="15">
        <v>6.9226509137899211E-2</v>
      </c>
      <c r="U18" s="15">
        <v>0.82944364561442319</v>
      </c>
      <c r="V18" s="15">
        <f>S18/((1-T18)*U18)</f>
        <v>11.636378101261181</v>
      </c>
      <c r="W18" s="37">
        <f>R18/S18</f>
        <v>2704.212895337605</v>
      </c>
      <c r="X18" s="37">
        <f>V18*W18</f>
        <v>31467.243716454603</v>
      </c>
      <c r="Y18" s="33">
        <f>(H18-1)/(S18-1)</f>
        <v>4.1710689397531045E-2</v>
      </c>
      <c r="AC18" s="221">
        <f>+V18</f>
        <v>11.636378101261181</v>
      </c>
      <c r="AD18" s="222">
        <f>+W18</f>
        <v>2704.212895337605</v>
      </c>
      <c r="AE18" s="237">
        <f>+X18</f>
        <v>31467.243716454603</v>
      </c>
      <c r="AF18" s="238">
        <f>+H18</f>
        <v>1.333</v>
      </c>
      <c r="AG18" s="239">
        <f>+K18</f>
        <v>0.03</v>
      </c>
    </row>
    <row r="19" spans="1:33">
      <c r="A19" s="17"/>
      <c r="B19" s="6"/>
      <c r="C19" s="23">
        <f>C18</f>
        <v>70946</v>
      </c>
      <c r="D19" s="23">
        <f t="shared" ref="D19:G29" si="18">D18</f>
        <v>3888.75</v>
      </c>
      <c r="E19" s="23">
        <f t="shared" si="18"/>
        <v>63316</v>
      </c>
      <c r="F19" s="23">
        <f t="shared" si="18"/>
        <v>78576</v>
      </c>
      <c r="G19" s="24">
        <f t="shared" si="18"/>
        <v>5.5E-2</v>
      </c>
      <c r="H19" s="22">
        <f>1+(S19-1)*Y18</f>
        <v>1.1668427575901241</v>
      </c>
      <c r="I19" s="21">
        <f>I18</f>
        <v>1257539</v>
      </c>
      <c r="J19" s="21">
        <f>J18</f>
        <v>7106</v>
      </c>
      <c r="K19" s="11">
        <f>K18</f>
        <v>0.03</v>
      </c>
      <c r="L19" s="25">
        <f t="shared" ref="L19:L29" si="19">C19/I19</f>
        <v>5.6416540560571084E-2</v>
      </c>
      <c r="M19" s="25">
        <f t="shared" ref="M19:M29" si="20">1-L19</f>
        <v>0.9435834594394289</v>
      </c>
      <c r="N19" s="25">
        <f t="shared" ref="N19:N29" si="21">L19*M19</f>
        <v>5.323371451174852E-2</v>
      </c>
      <c r="O19" s="26">
        <f t="shared" ref="O19:O29" si="22">I19^2*(N19*H19)</f>
        <v>98229522184.050919</v>
      </c>
      <c r="P19" s="27">
        <f t="shared" ref="P19:P29" si="23">K19^2*(C19^2)</f>
        <v>4530001.4243999999</v>
      </c>
      <c r="Q19" s="28">
        <f t="shared" ref="Q19:Q29" si="24">O19/P19</f>
        <v>21684.214414361129</v>
      </c>
      <c r="R19" s="28">
        <f t="shared" ref="R19:R29" si="25">Q19/(1+(Q19/I19))</f>
        <v>21316.643571782843</v>
      </c>
      <c r="S19" s="7">
        <v>5</v>
      </c>
      <c r="T19" s="10">
        <f>T18</f>
        <v>6.9226509137899211E-2</v>
      </c>
      <c r="U19" s="10">
        <f>U18</f>
        <v>0.82944364561442319</v>
      </c>
      <c r="V19" s="10">
        <f t="shared" ref="V19:V29" si="26">S19/((1-T19)*U19)</f>
        <v>6.4764812751180525</v>
      </c>
      <c r="W19" s="38">
        <f t="shared" ref="W19:W29" si="27">R19/S19</f>
        <v>4263.3287143565685</v>
      </c>
      <c r="X19" s="38">
        <f t="shared" ref="X19:X29" si="28">V19*W19</f>
        <v>27611.368588203437</v>
      </c>
      <c r="Y19" s="8"/>
      <c r="Z19" s="145"/>
      <c r="AC19" s="221">
        <f t="shared" ref="AC19:AE29" si="29">+V19</f>
        <v>6.4764812751180525</v>
      </c>
      <c r="AD19" s="222">
        <f t="shared" si="29"/>
        <v>4263.3287143565685</v>
      </c>
      <c r="AE19" s="237">
        <f t="shared" si="29"/>
        <v>27611.368588203437</v>
      </c>
      <c r="AF19" s="238">
        <f t="shared" ref="AF19:AF29" si="30">+H19</f>
        <v>1.1668427575901241</v>
      </c>
      <c r="AG19" s="239">
        <f t="shared" ref="AG19:AG29" si="31">+K19</f>
        <v>0.03</v>
      </c>
    </row>
    <row r="20" spans="1:33">
      <c r="A20" s="17"/>
      <c r="B20" s="6"/>
      <c r="C20" s="23">
        <f t="shared" ref="C20:C29" si="32">C19</f>
        <v>70946</v>
      </c>
      <c r="D20" s="23">
        <f t="shared" si="18"/>
        <v>3888.75</v>
      </c>
      <c r="E20" s="23">
        <f t="shared" si="18"/>
        <v>63316</v>
      </c>
      <c r="F20" s="23">
        <f t="shared" si="18"/>
        <v>78576</v>
      </c>
      <c r="G20" s="24">
        <f t="shared" si="18"/>
        <v>5.5E-2</v>
      </c>
      <c r="H20" s="22">
        <f>1+(S20-1)*Y18</f>
        <v>1.2085534469876551</v>
      </c>
      <c r="I20" s="21">
        <f t="shared" ref="I20:K29" si="33">I19</f>
        <v>1257539</v>
      </c>
      <c r="J20" s="21">
        <f t="shared" si="33"/>
        <v>7106</v>
      </c>
      <c r="K20" s="11">
        <f t="shared" si="33"/>
        <v>0.03</v>
      </c>
      <c r="L20" s="25">
        <f t="shared" si="19"/>
        <v>5.6416540560571084E-2</v>
      </c>
      <c r="M20" s="25">
        <f t="shared" si="20"/>
        <v>0.9435834594394289</v>
      </c>
      <c r="N20" s="25">
        <f t="shared" si="21"/>
        <v>5.323371451174852E-2</v>
      </c>
      <c r="O20" s="26">
        <f t="shared" si="22"/>
        <v>101740895985.56366</v>
      </c>
      <c r="P20" s="27">
        <f t="shared" si="23"/>
        <v>4530001.4243999999</v>
      </c>
      <c r="Q20" s="28">
        <f t="shared" si="24"/>
        <v>22459.351875157361</v>
      </c>
      <c r="R20" s="28">
        <f t="shared" si="25"/>
        <v>22065.271300043201</v>
      </c>
      <c r="S20" s="7">
        <v>6</v>
      </c>
      <c r="T20" s="10">
        <f t="shared" ref="T20:U29" si="34">T19</f>
        <v>6.9226509137899211E-2</v>
      </c>
      <c r="U20" s="10">
        <f t="shared" si="34"/>
        <v>0.82944364561442319</v>
      </c>
      <c r="V20" s="36">
        <f>S20/((1-T20)*U20)</f>
        <v>7.7717775301416632</v>
      </c>
      <c r="W20" s="38">
        <f t="shared" si="27"/>
        <v>3677.5452166738669</v>
      </c>
      <c r="X20" s="38">
        <f t="shared" si="28"/>
        <v>28581.063281025912</v>
      </c>
      <c r="Y20" s="8"/>
      <c r="AC20" s="221">
        <f t="shared" si="29"/>
        <v>7.7717775301416632</v>
      </c>
      <c r="AD20" s="222">
        <f t="shared" si="29"/>
        <v>3677.5452166738669</v>
      </c>
      <c r="AE20" s="237">
        <f t="shared" si="29"/>
        <v>28581.063281025912</v>
      </c>
      <c r="AF20" s="238">
        <f t="shared" si="30"/>
        <v>1.2085534469876551</v>
      </c>
      <c r="AG20" s="239">
        <f t="shared" si="31"/>
        <v>0.03</v>
      </c>
    </row>
    <row r="21" spans="1:33">
      <c r="A21" s="17"/>
      <c r="B21" s="6"/>
      <c r="C21" s="23">
        <f t="shared" si="32"/>
        <v>70946</v>
      </c>
      <c r="D21" s="23">
        <f t="shared" si="18"/>
        <v>3888.75</v>
      </c>
      <c r="E21" s="23">
        <f t="shared" si="18"/>
        <v>63316</v>
      </c>
      <c r="F21" s="23">
        <f t="shared" si="18"/>
        <v>78576</v>
      </c>
      <c r="G21" s="24">
        <f t="shared" si="18"/>
        <v>5.5E-2</v>
      </c>
      <c r="H21" s="22">
        <f>1+(S21-1)*Y18</f>
        <v>1.2502641363851863</v>
      </c>
      <c r="I21" s="21">
        <f t="shared" si="33"/>
        <v>1257539</v>
      </c>
      <c r="J21" s="21">
        <f t="shared" si="33"/>
        <v>7106</v>
      </c>
      <c r="K21" s="11">
        <f t="shared" si="33"/>
        <v>0.03</v>
      </c>
      <c r="L21" s="25">
        <f t="shared" si="19"/>
        <v>5.6416540560571084E-2</v>
      </c>
      <c r="M21" s="25">
        <f t="shared" si="20"/>
        <v>0.9435834594394289</v>
      </c>
      <c r="N21" s="25">
        <f t="shared" si="21"/>
        <v>5.323371451174852E-2</v>
      </c>
      <c r="O21" s="26">
        <f t="shared" si="22"/>
        <v>105252269787.07639</v>
      </c>
      <c r="P21" s="27">
        <f t="shared" si="23"/>
        <v>4530001.4243999999</v>
      </c>
      <c r="Q21" s="28">
        <f t="shared" si="24"/>
        <v>23234.489335953593</v>
      </c>
      <c r="R21" s="28">
        <f t="shared" si="25"/>
        <v>22812.992873700587</v>
      </c>
      <c r="S21" s="7">
        <v>7</v>
      </c>
      <c r="T21" s="10">
        <f t="shared" si="34"/>
        <v>6.9226509137899211E-2</v>
      </c>
      <c r="U21" s="10">
        <f t="shared" si="34"/>
        <v>0.82944364561442319</v>
      </c>
      <c r="V21" s="36">
        <f t="shared" si="26"/>
        <v>9.0670737851652738</v>
      </c>
      <c r="W21" s="38">
        <f t="shared" si="27"/>
        <v>3258.9989819572265</v>
      </c>
      <c r="X21" s="38">
        <f t="shared" si="28"/>
        <v>29549.584235184684</v>
      </c>
      <c r="Y21" s="8"/>
      <c r="AC21" s="221">
        <f t="shared" si="29"/>
        <v>9.0670737851652738</v>
      </c>
      <c r="AD21" s="222">
        <f t="shared" si="29"/>
        <v>3258.9989819572265</v>
      </c>
      <c r="AE21" s="237">
        <f t="shared" si="29"/>
        <v>29549.584235184684</v>
      </c>
      <c r="AF21" s="238">
        <f t="shared" si="30"/>
        <v>1.2502641363851863</v>
      </c>
      <c r="AG21" s="239">
        <f t="shared" si="31"/>
        <v>0.03</v>
      </c>
    </row>
    <row r="22" spans="1:33">
      <c r="A22" s="17"/>
      <c r="B22" s="6"/>
      <c r="C22" s="23">
        <f t="shared" si="32"/>
        <v>70946</v>
      </c>
      <c r="D22" s="23">
        <f t="shared" si="18"/>
        <v>3888.75</v>
      </c>
      <c r="E22" s="23">
        <f t="shared" si="18"/>
        <v>63316</v>
      </c>
      <c r="F22" s="23">
        <f t="shared" si="18"/>
        <v>78576</v>
      </c>
      <c r="G22" s="24">
        <f t="shared" si="18"/>
        <v>5.5E-2</v>
      </c>
      <c r="H22" s="22">
        <f>1+(S22-1)*Y18</f>
        <v>1.2919748257827173</v>
      </c>
      <c r="I22" s="21">
        <f t="shared" si="33"/>
        <v>1257539</v>
      </c>
      <c r="J22" s="21">
        <f t="shared" si="33"/>
        <v>7106</v>
      </c>
      <c r="K22" s="11">
        <f t="shared" si="33"/>
        <v>0.03</v>
      </c>
      <c r="L22" s="25">
        <f t="shared" si="19"/>
        <v>5.6416540560571084E-2</v>
      </c>
      <c r="M22" s="25">
        <f t="shared" si="20"/>
        <v>0.9435834594394289</v>
      </c>
      <c r="N22" s="25">
        <f t="shared" si="21"/>
        <v>5.323371451174852E-2</v>
      </c>
      <c r="O22" s="26">
        <f t="shared" si="22"/>
        <v>108763643588.58913</v>
      </c>
      <c r="P22" s="27">
        <f t="shared" si="23"/>
        <v>4530001.4243999999</v>
      </c>
      <c r="Q22" s="28">
        <f t="shared" si="24"/>
        <v>24009.626796749828</v>
      </c>
      <c r="R22" s="28">
        <f t="shared" si="25"/>
        <v>23559.809937002505</v>
      </c>
      <c r="S22" s="7">
        <v>8</v>
      </c>
      <c r="T22" s="10">
        <f t="shared" si="34"/>
        <v>6.9226509137899211E-2</v>
      </c>
      <c r="U22" s="10">
        <f t="shared" si="34"/>
        <v>0.82944364561442319</v>
      </c>
      <c r="V22" s="36">
        <f t="shared" si="26"/>
        <v>10.362370040188884</v>
      </c>
      <c r="W22" s="38">
        <f t="shared" si="27"/>
        <v>2944.9762421253131</v>
      </c>
      <c r="X22" s="38">
        <f t="shared" si="28"/>
        <v>30516.933580467386</v>
      </c>
      <c r="Y22" s="8"/>
      <c r="AC22" s="221">
        <f t="shared" si="29"/>
        <v>10.362370040188884</v>
      </c>
      <c r="AD22" s="222">
        <f t="shared" si="29"/>
        <v>2944.9762421253131</v>
      </c>
      <c r="AE22" s="237">
        <f t="shared" si="29"/>
        <v>30516.933580467386</v>
      </c>
      <c r="AF22" s="238">
        <f t="shared" si="30"/>
        <v>1.2919748257827173</v>
      </c>
      <c r="AG22" s="239">
        <f t="shared" si="31"/>
        <v>0.03</v>
      </c>
    </row>
    <row r="23" spans="1:33">
      <c r="A23" s="17"/>
      <c r="B23" s="5"/>
      <c r="C23" s="23">
        <f t="shared" si="32"/>
        <v>70946</v>
      </c>
      <c r="D23" s="23">
        <f t="shared" si="18"/>
        <v>3888.75</v>
      </c>
      <c r="E23" s="23">
        <f t="shared" si="18"/>
        <v>63316</v>
      </c>
      <c r="F23" s="23">
        <f t="shared" si="18"/>
        <v>78576</v>
      </c>
      <c r="G23" s="24">
        <f t="shared" si="18"/>
        <v>5.5E-2</v>
      </c>
      <c r="H23" s="22">
        <f>1+(S23-1)*Y18</f>
        <v>1.3336855151802482</v>
      </c>
      <c r="I23" s="21">
        <f t="shared" si="33"/>
        <v>1257539</v>
      </c>
      <c r="J23" s="21">
        <f t="shared" si="33"/>
        <v>7106</v>
      </c>
      <c r="K23" s="11">
        <f t="shared" si="33"/>
        <v>0.03</v>
      </c>
      <c r="L23" s="25">
        <f t="shared" si="19"/>
        <v>5.6416540560571084E-2</v>
      </c>
      <c r="M23" s="25">
        <f t="shared" si="20"/>
        <v>0.9435834594394289</v>
      </c>
      <c r="N23" s="25">
        <f t="shared" si="21"/>
        <v>5.323371451174852E-2</v>
      </c>
      <c r="O23" s="26">
        <f>I23^2*(N23*H23)</f>
        <v>112275017390.10184</v>
      </c>
      <c r="P23" s="27">
        <f t="shared" si="23"/>
        <v>4530001.4243999999</v>
      </c>
      <c r="Q23" s="28">
        <f t="shared" si="24"/>
        <v>24784.764257546056</v>
      </c>
      <c r="R23" s="28">
        <f t="shared" si="25"/>
        <v>24305.724130220802</v>
      </c>
      <c r="S23" s="7">
        <v>9</v>
      </c>
      <c r="T23" s="10">
        <f t="shared" si="34"/>
        <v>6.9226509137899211E-2</v>
      </c>
      <c r="U23" s="10">
        <f t="shared" si="34"/>
        <v>0.82944364561442319</v>
      </c>
      <c r="V23" s="36">
        <f t="shared" si="26"/>
        <v>11.657666295212493</v>
      </c>
      <c r="W23" s="38">
        <f>R23/S23</f>
        <v>2700.6360144689779</v>
      </c>
      <c r="X23" s="38">
        <f>V23*W23</f>
        <v>31483.113441512003</v>
      </c>
      <c r="Y23" s="4"/>
      <c r="AC23" s="221">
        <f t="shared" si="29"/>
        <v>11.657666295212493</v>
      </c>
      <c r="AD23" s="222">
        <f t="shared" si="29"/>
        <v>2700.6360144689779</v>
      </c>
      <c r="AE23" s="237">
        <f t="shared" si="29"/>
        <v>31483.113441512003</v>
      </c>
      <c r="AF23" s="238">
        <f t="shared" si="30"/>
        <v>1.3336855151802482</v>
      </c>
      <c r="AG23" s="239">
        <f t="shared" si="31"/>
        <v>0.03</v>
      </c>
    </row>
    <row r="24" spans="1:33">
      <c r="A24" s="17"/>
      <c r="B24" s="5"/>
      <c r="C24" s="23">
        <f t="shared" si="32"/>
        <v>70946</v>
      </c>
      <c r="D24" s="23">
        <f t="shared" si="18"/>
        <v>3888.75</v>
      </c>
      <c r="E24" s="23">
        <f t="shared" si="18"/>
        <v>63316</v>
      </c>
      <c r="F24" s="23">
        <f t="shared" si="18"/>
        <v>78576</v>
      </c>
      <c r="G24" s="24">
        <f t="shared" si="18"/>
        <v>5.5E-2</v>
      </c>
      <c r="H24" s="22">
        <f>1+(S24-1)*Y18</f>
        <v>1.3753962045777794</v>
      </c>
      <c r="I24" s="21">
        <f t="shared" si="33"/>
        <v>1257539</v>
      </c>
      <c r="J24" s="21">
        <f t="shared" si="33"/>
        <v>7106</v>
      </c>
      <c r="K24" s="11">
        <f t="shared" si="33"/>
        <v>0.03</v>
      </c>
      <c r="L24" s="25">
        <f t="shared" si="19"/>
        <v>5.6416540560571084E-2</v>
      </c>
      <c r="M24" s="25">
        <f t="shared" si="20"/>
        <v>0.9435834594394289</v>
      </c>
      <c r="N24" s="25">
        <f t="shared" si="21"/>
        <v>5.323371451174852E-2</v>
      </c>
      <c r="O24" s="26">
        <f t="shared" si="22"/>
        <v>115786391191.61459</v>
      </c>
      <c r="P24" s="27">
        <f t="shared" si="23"/>
        <v>4530001.4243999999</v>
      </c>
      <c r="Q24" s="28">
        <f t="shared" si="24"/>
        <v>25559.901718342295</v>
      </c>
      <c r="R24" s="28">
        <f t="shared" si="25"/>
        <v>25050.737089663711</v>
      </c>
      <c r="S24" s="7">
        <v>10</v>
      </c>
      <c r="T24" s="10">
        <f t="shared" si="34"/>
        <v>6.9226509137899211E-2</v>
      </c>
      <c r="U24" s="10">
        <f t="shared" si="34"/>
        <v>0.82944364561442319</v>
      </c>
      <c r="V24" s="36">
        <f t="shared" si="26"/>
        <v>12.952962550236105</v>
      </c>
      <c r="W24" s="38">
        <f t="shared" si="27"/>
        <v>2505.0737089663712</v>
      </c>
      <c r="X24" s="38">
        <f t="shared" si="28"/>
        <v>32448.125937822468</v>
      </c>
      <c r="Y24" s="4"/>
      <c r="AC24" s="221">
        <f t="shared" si="29"/>
        <v>12.952962550236105</v>
      </c>
      <c r="AD24" s="222">
        <f t="shared" si="29"/>
        <v>2505.0737089663712</v>
      </c>
      <c r="AE24" s="237">
        <f t="shared" si="29"/>
        <v>32448.125937822468</v>
      </c>
      <c r="AF24" s="238">
        <f t="shared" si="30"/>
        <v>1.3753962045777794</v>
      </c>
      <c r="AG24" s="239">
        <f t="shared" si="31"/>
        <v>0.03</v>
      </c>
    </row>
    <row r="25" spans="1:33">
      <c r="A25" s="17"/>
      <c r="B25" s="5"/>
      <c r="C25" s="23">
        <f t="shared" si="32"/>
        <v>70946</v>
      </c>
      <c r="D25" s="23">
        <f t="shared" si="18"/>
        <v>3888.75</v>
      </c>
      <c r="E25" s="23">
        <f t="shared" si="18"/>
        <v>63316</v>
      </c>
      <c r="F25" s="23">
        <f t="shared" si="18"/>
        <v>78576</v>
      </c>
      <c r="G25" s="24">
        <f t="shared" si="18"/>
        <v>5.5E-2</v>
      </c>
      <c r="H25" s="22">
        <f>1+(S25-1)*Y18</f>
        <v>1.4171068939753104</v>
      </c>
      <c r="I25" s="21">
        <f t="shared" si="33"/>
        <v>1257539</v>
      </c>
      <c r="J25" s="21">
        <f t="shared" si="33"/>
        <v>7106</v>
      </c>
      <c r="K25" s="11">
        <f t="shared" si="33"/>
        <v>0.03</v>
      </c>
      <c r="L25" s="25">
        <f t="shared" si="19"/>
        <v>5.6416540560571084E-2</v>
      </c>
      <c r="M25" s="25">
        <f t="shared" si="20"/>
        <v>0.9435834594394289</v>
      </c>
      <c r="N25" s="25">
        <f t="shared" si="21"/>
        <v>5.323371451174852E-2</v>
      </c>
      <c r="O25" s="26">
        <f t="shared" si="22"/>
        <v>119297764993.12732</v>
      </c>
      <c r="P25" s="27">
        <f t="shared" si="23"/>
        <v>4530001.4243999999</v>
      </c>
      <c r="Q25" s="28">
        <f t="shared" si="24"/>
        <v>26335.039179138523</v>
      </c>
      <c r="R25" s="28">
        <f t="shared" si="25"/>
        <v>25794.85044768775</v>
      </c>
      <c r="S25" s="7">
        <v>11</v>
      </c>
      <c r="T25" s="10">
        <f t="shared" si="34"/>
        <v>6.9226509137899211E-2</v>
      </c>
      <c r="U25" s="10">
        <f t="shared" si="34"/>
        <v>0.82944364561442319</v>
      </c>
      <c r="V25" s="36">
        <f t="shared" si="26"/>
        <v>14.248258805259715</v>
      </c>
      <c r="W25" s="38">
        <f t="shared" si="27"/>
        <v>2344.98640433525</v>
      </c>
      <c r="X25" s="38">
        <f t="shared" si="28"/>
        <v>33411.973183784045</v>
      </c>
      <c r="Y25" s="4"/>
      <c r="AC25" s="221">
        <f t="shared" si="29"/>
        <v>14.248258805259715</v>
      </c>
      <c r="AD25" s="222">
        <f t="shared" si="29"/>
        <v>2344.98640433525</v>
      </c>
      <c r="AE25" s="237">
        <f t="shared" si="29"/>
        <v>33411.973183784045</v>
      </c>
      <c r="AF25" s="238">
        <f t="shared" si="30"/>
        <v>1.4171068939753104</v>
      </c>
      <c r="AG25" s="239">
        <f t="shared" si="31"/>
        <v>0.03</v>
      </c>
    </row>
    <row r="26" spans="1:33">
      <c r="A26" s="17"/>
      <c r="B26" s="5"/>
      <c r="C26" s="23">
        <f t="shared" si="32"/>
        <v>70946</v>
      </c>
      <c r="D26" s="23">
        <f t="shared" si="18"/>
        <v>3888.75</v>
      </c>
      <c r="E26" s="23">
        <f t="shared" si="18"/>
        <v>63316</v>
      </c>
      <c r="F26" s="23">
        <f t="shared" si="18"/>
        <v>78576</v>
      </c>
      <c r="G26" s="24">
        <f t="shared" si="18"/>
        <v>5.5E-2</v>
      </c>
      <c r="H26" s="22">
        <f>1+(12-1)*Y18</f>
        <v>1.4588175833728414</v>
      </c>
      <c r="I26" s="21">
        <f t="shared" si="33"/>
        <v>1257539</v>
      </c>
      <c r="J26" s="21">
        <f t="shared" si="33"/>
        <v>7106</v>
      </c>
      <c r="K26" s="11">
        <f t="shared" si="33"/>
        <v>0.03</v>
      </c>
      <c r="L26" s="25">
        <f t="shared" si="19"/>
        <v>5.6416540560571084E-2</v>
      </c>
      <c r="M26" s="25">
        <f t="shared" si="20"/>
        <v>0.9435834594394289</v>
      </c>
      <c r="N26" s="25">
        <f t="shared" si="21"/>
        <v>5.323371451174852E-2</v>
      </c>
      <c r="O26" s="26">
        <f t="shared" si="22"/>
        <v>122809138794.64005</v>
      </c>
      <c r="P26" s="27">
        <f t="shared" si="23"/>
        <v>4530001.4243999999</v>
      </c>
      <c r="Q26" s="28">
        <f t="shared" si="24"/>
        <v>27110.176639934754</v>
      </c>
      <c r="R26" s="28">
        <f t="shared" si="25"/>
        <v>26538.065832709708</v>
      </c>
      <c r="S26" s="7">
        <v>12</v>
      </c>
      <c r="T26" s="10">
        <f t="shared" si="34"/>
        <v>6.9226509137899211E-2</v>
      </c>
      <c r="U26" s="10">
        <f t="shared" si="34"/>
        <v>0.82944364561442319</v>
      </c>
      <c r="V26" s="36">
        <f t="shared" si="26"/>
        <v>15.543555060283326</v>
      </c>
      <c r="W26" s="38">
        <f t="shared" si="27"/>
        <v>2211.5054860591422</v>
      </c>
      <c r="X26" s="38">
        <f t="shared" si="28"/>
        <v>34374.657288678914</v>
      </c>
      <c r="Y26" s="4"/>
      <c r="AC26" s="221">
        <f t="shared" si="29"/>
        <v>15.543555060283326</v>
      </c>
      <c r="AD26" s="222">
        <f t="shared" si="29"/>
        <v>2211.5054860591422</v>
      </c>
      <c r="AE26" s="237">
        <f t="shared" si="29"/>
        <v>34374.657288678914</v>
      </c>
      <c r="AF26" s="238">
        <f t="shared" si="30"/>
        <v>1.4588175833728414</v>
      </c>
      <c r="AG26" s="239">
        <f t="shared" si="31"/>
        <v>0.03</v>
      </c>
    </row>
    <row r="27" spans="1:33">
      <c r="A27" s="17"/>
      <c r="B27" s="5"/>
      <c r="C27" s="23">
        <f t="shared" si="32"/>
        <v>70946</v>
      </c>
      <c r="D27" s="23">
        <f t="shared" si="18"/>
        <v>3888.75</v>
      </c>
      <c r="E27" s="23">
        <f t="shared" si="18"/>
        <v>63316</v>
      </c>
      <c r="F27" s="23">
        <f t="shared" si="18"/>
        <v>78576</v>
      </c>
      <c r="G27" s="24">
        <f t="shared" si="18"/>
        <v>5.5E-2</v>
      </c>
      <c r="H27" s="22">
        <f>1+(S27-1)*Y18</f>
        <v>1.5005282727703726</v>
      </c>
      <c r="I27" s="21">
        <f t="shared" si="33"/>
        <v>1257539</v>
      </c>
      <c r="J27" s="21">
        <f t="shared" si="33"/>
        <v>7106</v>
      </c>
      <c r="K27" s="11">
        <f t="shared" si="33"/>
        <v>0.03</v>
      </c>
      <c r="L27" s="25">
        <f t="shared" si="19"/>
        <v>5.6416540560571084E-2</v>
      </c>
      <c r="M27" s="25">
        <f t="shared" si="20"/>
        <v>0.9435834594394289</v>
      </c>
      <c r="N27" s="25">
        <f t="shared" si="21"/>
        <v>5.323371451174852E-2</v>
      </c>
      <c r="O27" s="26">
        <f t="shared" si="22"/>
        <v>126320512596.15279</v>
      </c>
      <c r="P27" s="27">
        <f t="shared" si="23"/>
        <v>4530001.4243999999</v>
      </c>
      <c r="Q27" s="28">
        <f t="shared" si="24"/>
        <v>27885.31410073099</v>
      </c>
      <c r="R27" s="28">
        <f t="shared" si="25"/>
        <v>27280.384869218498</v>
      </c>
      <c r="S27" s="7">
        <v>13</v>
      </c>
      <c r="T27" s="10">
        <f t="shared" si="34"/>
        <v>6.9226509137899211E-2</v>
      </c>
      <c r="U27" s="10">
        <f t="shared" si="34"/>
        <v>0.82944364561442319</v>
      </c>
      <c r="V27" s="36">
        <f t="shared" si="26"/>
        <v>16.838851315306936</v>
      </c>
      <c r="W27" s="38">
        <f t="shared" si="27"/>
        <v>2098.4911437860383</v>
      </c>
      <c r="X27" s="38">
        <f t="shared" si="28"/>
        <v>35336.180356701487</v>
      </c>
      <c r="Y27" s="4"/>
      <c r="AC27" s="221">
        <f t="shared" si="29"/>
        <v>16.838851315306936</v>
      </c>
      <c r="AD27" s="222">
        <f t="shared" si="29"/>
        <v>2098.4911437860383</v>
      </c>
      <c r="AE27" s="237">
        <f t="shared" si="29"/>
        <v>35336.180356701487</v>
      </c>
      <c r="AF27" s="238">
        <f t="shared" si="30"/>
        <v>1.5005282727703726</v>
      </c>
      <c r="AG27" s="239">
        <f t="shared" si="31"/>
        <v>0.03</v>
      </c>
    </row>
    <row r="28" spans="1:33">
      <c r="A28" s="17"/>
      <c r="B28" s="5"/>
      <c r="C28" s="23">
        <f t="shared" si="32"/>
        <v>70946</v>
      </c>
      <c r="D28" s="23">
        <f t="shared" si="18"/>
        <v>3888.75</v>
      </c>
      <c r="E28" s="23">
        <f t="shared" si="18"/>
        <v>63316</v>
      </c>
      <c r="F28" s="23">
        <f t="shared" si="18"/>
        <v>78576</v>
      </c>
      <c r="G28" s="24">
        <f t="shared" si="18"/>
        <v>5.5E-2</v>
      </c>
      <c r="H28" s="22">
        <f>1+(S28-1)*Y18</f>
        <v>1.5422389621679036</v>
      </c>
      <c r="I28" s="21">
        <f t="shared" si="33"/>
        <v>1257539</v>
      </c>
      <c r="J28" s="21">
        <f t="shared" si="33"/>
        <v>7106</v>
      </c>
      <c r="K28" s="11">
        <f t="shared" si="33"/>
        <v>0.03</v>
      </c>
      <c r="L28" s="25">
        <f t="shared" si="19"/>
        <v>5.6416540560571084E-2</v>
      </c>
      <c r="M28" s="25">
        <f t="shared" si="20"/>
        <v>0.9435834594394289</v>
      </c>
      <c r="N28" s="25">
        <f t="shared" si="21"/>
        <v>5.323371451174852E-2</v>
      </c>
      <c r="O28" s="26">
        <f t="shared" si="22"/>
        <v>129831886397.66553</v>
      </c>
      <c r="P28" s="27">
        <f t="shared" si="23"/>
        <v>4530001.4243999999</v>
      </c>
      <c r="Q28" s="28">
        <f t="shared" si="24"/>
        <v>28660.451561527225</v>
      </c>
      <c r="R28" s="28">
        <f t="shared" si="25"/>
        <v>28021.809177786985</v>
      </c>
      <c r="S28" s="7">
        <v>14</v>
      </c>
      <c r="T28" s="10">
        <f t="shared" si="34"/>
        <v>6.9226509137899211E-2</v>
      </c>
      <c r="U28" s="10">
        <f t="shared" si="34"/>
        <v>0.82944364561442319</v>
      </c>
      <c r="V28" s="36">
        <f t="shared" si="26"/>
        <v>18.134147570330548</v>
      </c>
      <c r="W28" s="38">
        <f t="shared" si="27"/>
        <v>2001.5577984133561</v>
      </c>
      <c r="X28" s="38">
        <f t="shared" si="28"/>
        <v>36296.544486973718</v>
      </c>
      <c r="Y28" s="4"/>
      <c r="AC28" s="221">
        <f t="shared" si="29"/>
        <v>18.134147570330548</v>
      </c>
      <c r="AD28" s="222">
        <f t="shared" si="29"/>
        <v>2001.5577984133561</v>
      </c>
      <c r="AE28" s="237">
        <f t="shared" si="29"/>
        <v>36296.544486973718</v>
      </c>
      <c r="AF28" s="238">
        <f t="shared" si="30"/>
        <v>1.5422389621679036</v>
      </c>
      <c r="AG28" s="239">
        <f t="shared" si="31"/>
        <v>0.03</v>
      </c>
    </row>
    <row r="29" spans="1:33">
      <c r="A29" s="17"/>
      <c r="B29" s="17"/>
      <c r="C29" s="23">
        <f t="shared" si="32"/>
        <v>70946</v>
      </c>
      <c r="D29" s="23">
        <f t="shared" si="18"/>
        <v>3888.75</v>
      </c>
      <c r="E29" s="23">
        <f t="shared" si="18"/>
        <v>63316</v>
      </c>
      <c r="F29" s="23">
        <f t="shared" si="18"/>
        <v>78576</v>
      </c>
      <c r="G29" s="24">
        <f t="shared" si="18"/>
        <v>5.5E-2</v>
      </c>
      <c r="H29" s="22">
        <f>1+(S29-1)*Y18</f>
        <v>1.5839496515654345</v>
      </c>
      <c r="I29" s="21">
        <f t="shared" si="33"/>
        <v>1257539</v>
      </c>
      <c r="J29" s="21">
        <f t="shared" si="33"/>
        <v>7106</v>
      </c>
      <c r="K29" s="11">
        <f t="shared" si="33"/>
        <v>0.03</v>
      </c>
      <c r="L29" s="25">
        <f t="shared" si="19"/>
        <v>5.6416540560571084E-2</v>
      </c>
      <c r="M29" s="25">
        <f t="shared" si="20"/>
        <v>0.9435834594394289</v>
      </c>
      <c r="N29" s="25">
        <f t="shared" si="21"/>
        <v>5.323371451174852E-2</v>
      </c>
      <c r="O29" s="26">
        <f t="shared" si="22"/>
        <v>133343260199.17824</v>
      </c>
      <c r="P29" s="27">
        <f t="shared" si="23"/>
        <v>4530001.4243999999</v>
      </c>
      <c r="Q29" s="28">
        <f t="shared" si="24"/>
        <v>29435.589022323453</v>
      </c>
      <c r="R29" s="28">
        <f t="shared" si="25"/>
        <v>28762.340375083772</v>
      </c>
      <c r="S29" s="3">
        <v>15</v>
      </c>
      <c r="T29" s="10">
        <f t="shared" si="34"/>
        <v>6.9226509137899211E-2</v>
      </c>
      <c r="U29" s="10">
        <f t="shared" si="34"/>
        <v>0.82944364561442319</v>
      </c>
      <c r="V29" s="36">
        <f t="shared" si="26"/>
        <v>19.429443825354156</v>
      </c>
      <c r="W29" s="38">
        <f t="shared" si="27"/>
        <v>1917.489358338918</v>
      </c>
      <c r="X29" s="38">
        <f t="shared" si="28"/>
        <v>37255.751773560391</v>
      </c>
      <c r="Y29" s="4"/>
      <c r="AC29" s="221">
        <f t="shared" si="29"/>
        <v>19.429443825354156</v>
      </c>
      <c r="AD29" s="222">
        <f t="shared" si="29"/>
        <v>1917.489358338918</v>
      </c>
      <c r="AE29" s="237">
        <f t="shared" si="29"/>
        <v>37255.751773560391</v>
      </c>
      <c r="AF29" s="238">
        <f t="shared" si="30"/>
        <v>1.5839496515654345</v>
      </c>
      <c r="AG29" s="239">
        <f t="shared" si="31"/>
        <v>0.03</v>
      </c>
    </row>
    <row r="30" spans="1:33">
      <c r="A30" s="18"/>
      <c r="B30" s="19"/>
      <c r="C30" s="19"/>
      <c r="D30" s="19"/>
      <c r="E30" s="19"/>
      <c r="F30" s="19"/>
      <c r="G30" s="331" t="s">
        <v>23</v>
      </c>
      <c r="H30" s="331"/>
      <c r="I30" s="331"/>
      <c r="J30" s="331"/>
      <c r="K30" s="331"/>
      <c r="L30" s="19"/>
      <c r="M30" s="19"/>
      <c r="N30" s="19"/>
      <c r="O30" s="19"/>
      <c r="P30" s="19"/>
      <c r="Q30" s="19"/>
      <c r="R30" s="19"/>
      <c r="S30" s="331" t="s">
        <v>23</v>
      </c>
      <c r="T30" s="331"/>
      <c r="U30" s="331"/>
      <c r="V30" s="331"/>
      <c r="W30" s="331"/>
      <c r="X30" s="331"/>
      <c r="Y30" s="332"/>
      <c r="AC30" s="318" t="s">
        <v>23</v>
      </c>
      <c r="AD30" s="318"/>
      <c r="AE30" s="318"/>
      <c r="AF30" s="318"/>
      <c r="AG30" s="318"/>
    </row>
    <row r="31" spans="1:33">
      <c r="A31" s="159" t="s">
        <v>27</v>
      </c>
      <c r="B31" s="160" t="s">
        <v>23</v>
      </c>
      <c r="C31" s="16">
        <v>39685</v>
      </c>
      <c r="D31" s="30">
        <v>2470.1729999999998</v>
      </c>
      <c r="E31" s="30">
        <v>34838</v>
      </c>
      <c r="F31" s="30">
        <v>44532</v>
      </c>
      <c r="G31" s="31">
        <v>6.2E-2</v>
      </c>
      <c r="H31" s="31">
        <v>0.94299999999999995</v>
      </c>
      <c r="I31" s="30">
        <v>476500</v>
      </c>
      <c r="J31" s="30">
        <v>3230</v>
      </c>
      <c r="K31" s="32">
        <f>K18</f>
        <v>0.03</v>
      </c>
      <c r="L31" s="25">
        <f>C31/I31</f>
        <v>8.3284365162644286E-2</v>
      </c>
      <c r="M31" s="25">
        <f>1-L31</f>
        <v>0.91671563483735574</v>
      </c>
      <c r="N31" s="25">
        <f>L31*M31</f>
        <v>7.6348079682099612E-2</v>
      </c>
      <c r="O31" s="26">
        <f>I31^2*(N31*H31)</f>
        <v>16346908088.325003</v>
      </c>
      <c r="P31" s="27">
        <f>K31^2*(C31^2)</f>
        <v>1417409.3025</v>
      </c>
      <c r="Q31" s="28">
        <f>O31/P31</f>
        <v>11532.948217210534</v>
      </c>
      <c r="R31" s="28">
        <f>Q31/(1+(Q31/I31))</f>
        <v>11260.407408097661</v>
      </c>
      <c r="S31" s="15">
        <v>9.8475610000000007</v>
      </c>
      <c r="T31" s="15">
        <v>7.5931232091690559E-2</v>
      </c>
      <c r="U31" s="15">
        <v>0.93355209187858901</v>
      </c>
      <c r="V31" s="15">
        <f>S31/((1-T31)*U31)</f>
        <v>11.41526061985804</v>
      </c>
      <c r="W31" s="37">
        <f>R31/S31</f>
        <v>1143.4717091976033</v>
      </c>
      <c r="X31" s="37">
        <f>V31*W31</f>
        <v>13053.027571925166</v>
      </c>
      <c r="Y31" s="33">
        <f>(H31-1)/(S31-1)</f>
        <v>-6.4424534625983415E-3</v>
      </c>
      <c r="AC31" s="221">
        <f>+V31</f>
        <v>11.41526061985804</v>
      </c>
      <c r="AD31" s="222">
        <f>+W31</f>
        <v>1143.4717091976033</v>
      </c>
      <c r="AE31" s="237">
        <f>+X31</f>
        <v>13053.027571925166</v>
      </c>
      <c r="AF31" s="238">
        <f>+H31</f>
        <v>0.94299999999999995</v>
      </c>
      <c r="AG31" s="239">
        <f>+K31</f>
        <v>0.03</v>
      </c>
    </row>
    <row r="32" spans="1:33">
      <c r="A32" s="17"/>
      <c r="B32" s="6"/>
      <c r="C32" s="23">
        <f>C31</f>
        <v>39685</v>
      </c>
      <c r="D32" s="23">
        <f t="shared" ref="D32:G42" si="35">D31</f>
        <v>2470.1729999999998</v>
      </c>
      <c r="E32" s="23">
        <f t="shared" si="35"/>
        <v>34838</v>
      </c>
      <c r="F32" s="23">
        <f t="shared" si="35"/>
        <v>44532</v>
      </c>
      <c r="G32" s="24">
        <f t="shared" si="35"/>
        <v>6.2E-2</v>
      </c>
      <c r="H32" s="22">
        <f>1+(S32-1)*Y31</f>
        <v>0.97423018614960666</v>
      </c>
      <c r="I32" s="21">
        <f>I31</f>
        <v>476500</v>
      </c>
      <c r="J32" s="21">
        <f>J31</f>
        <v>3230</v>
      </c>
      <c r="K32" s="11">
        <f>K31</f>
        <v>0.03</v>
      </c>
      <c r="L32" s="25">
        <f t="shared" ref="L32:L42" si="36">C32/I32</f>
        <v>8.3284365162644286E-2</v>
      </c>
      <c r="M32" s="25">
        <f t="shared" ref="M32:M42" si="37">1-L32</f>
        <v>0.91671563483735574</v>
      </c>
      <c r="N32" s="25">
        <f t="shared" ref="N32:N42" si="38">L32*M32</f>
        <v>7.6348079682099612E-2</v>
      </c>
      <c r="O32" s="26">
        <f t="shared" ref="O32:O42" si="39">I32^2*(N32*H32)</f>
        <v>16888283467.507292</v>
      </c>
      <c r="P32" s="27">
        <f t="shared" ref="P32:P42" si="40">K32^2*(C32^2)</f>
        <v>1417409.3025</v>
      </c>
      <c r="Q32" s="28">
        <f t="shared" ref="Q32:Q42" si="41">O32/P32</f>
        <v>11914.895321852378</v>
      </c>
      <c r="R32" s="28">
        <f t="shared" ref="R32:R42" si="42">Q32/(1+(Q32/I32))</f>
        <v>11624.231110153536</v>
      </c>
      <c r="S32" s="7">
        <v>5</v>
      </c>
      <c r="T32" s="10">
        <f>T31</f>
        <v>7.5931232091690559E-2</v>
      </c>
      <c r="U32" s="10">
        <f>U31</f>
        <v>0.93355209187858901</v>
      </c>
      <c r="V32" s="10">
        <f t="shared" ref="V32:V42" si="43">S32/((1-T32)*U32)</f>
        <v>5.7959837059440611</v>
      </c>
      <c r="W32" s="38">
        <f t="shared" ref="W32:W42" si="44">R32/S32</f>
        <v>2324.8462220307074</v>
      </c>
      <c r="X32" s="38">
        <f>V32*W32</f>
        <v>13474.770821715589</v>
      </c>
      <c r="Y32" s="8"/>
      <c r="AC32" s="221">
        <f t="shared" ref="AC32:AE42" si="45">+V32</f>
        <v>5.7959837059440611</v>
      </c>
      <c r="AD32" s="222">
        <f t="shared" si="45"/>
        <v>2324.8462220307074</v>
      </c>
      <c r="AE32" s="237">
        <f t="shared" si="45"/>
        <v>13474.770821715589</v>
      </c>
      <c r="AF32" s="238">
        <f t="shared" ref="AF32:AF42" si="46">+H32</f>
        <v>0.97423018614960666</v>
      </c>
      <c r="AG32" s="239">
        <f t="shared" ref="AG32:AG42" si="47">+K32</f>
        <v>0.03</v>
      </c>
    </row>
    <row r="33" spans="1:33">
      <c r="A33" s="17"/>
      <c r="B33" s="6"/>
      <c r="C33" s="23">
        <f t="shared" ref="C33:C42" si="48">C32</f>
        <v>39685</v>
      </c>
      <c r="D33" s="23">
        <f t="shared" si="35"/>
        <v>2470.1729999999998</v>
      </c>
      <c r="E33" s="23">
        <f t="shared" si="35"/>
        <v>34838</v>
      </c>
      <c r="F33" s="23">
        <f t="shared" si="35"/>
        <v>44532</v>
      </c>
      <c r="G33" s="24">
        <f t="shared" si="35"/>
        <v>6.2E-2</v>
      </c>
      <c r="H33" s="22">
        <f>1+(S33-1)*Y31</f>
        <v>0.96778773268700835</v>
      </c>
      <c r="I33" s="21">
        <f t="shared" ref="I33:K42" si="49">I32</f>
        <v>476500</v>
      </c>
      <c r="J33" s="21">
        <f t="shared" si="49"/>
        <v>3230</v>
      </c>
      <c r="K33" s="11">
        <f t="shared" si="49"/>
        <v>0.03</v>
      </c>
      <c r="L33" s="25">
        <f t="shared" si="36"/>
        <v>8.3284365162644286E-2</v>
      </c>
      <c r="M33" s="25">
        <f t="shared" si="37"/>
        <v>0.91671563483735574</v>
      </c>
      <c r="N33" s="25">
        <f t="shared" si="38"/>
        <v>7.6348079682099612E-2</v>
      </c>
      <c r="O33" s="26">
        <f t="shared" si="39"/>
        <v>16776603515.634117</v>
      </c>
      <c r="P33" s="27">
        <f t="shared" si="40"/>
        <v>1417409.3025</v>
      </c>
      <c r="Q33" s="28">
        <f t="shared" si="41"/>
        <v>11836.103718272385</v>
      </c>
      <c r="R33" s="28">
        <f t="shared" si="42"/>
        <v>11549.224763054846</v>
      </c>
      <c r="S33" s="7">
        <v>6</v>
      </c>
      <c r="T33" s="10">
        <f t="shared" ref="T33:U42" si="50">T32</f>
        <v>7.5931232091690559E-2</v>
      </c>
      <c r="U33" s="10">
        <f t="shared" si="50"/>
        <v>0.93355209187858901</v>
      </c>
      <c r="V33" s="36">
        <f t="shared" si="43"/>
        <v>6.9551804471328724</v>
      </c>
      <c r="W33" s="38">
        <f t="shared" si="44"/>
        <v>1924.8707938424743</v>
      </c>
      <c r="X33" s="38">
        <f t="shared" ref="X33:X42" si="51">V33*W33</f>
        <v>13387.823708590307</v>
      </c>
      <c r="Y33" s="8"/>
      <c r="AC33" s="221">
        <f t="shared" si="45"/>
        <v>6.9551804471328724</v>
      </c>
      <c r="AD33" s="222">
        <f t="shared" si="45"/>
        <v>1924.8707938424743</v>
      </c>
      <c r="AE33" s="237">
        <f t="shared" si="45"/>
        <v>13387.823708590307</v>
      </c>
      <c r="AF33" s="238">
        <f t="shared" si="46"/>
        <v>0.96778773268700835</v>
      </c>
      <c r="AG33" s="239">
        <f t="shared" si="47"/>
        <v>0.03</v>
      </c>
    </row>
    <row r="34" spans="1:33">
      <c r="A34" s="17"/>
      <c r="B34" s="6"/>
      <c r="C34" s="23">
        <f t="shared" si="48"/>
        <v>39685</v>
      </c>
      <c r="D34" s="23">
        <f t="shared" si="35"/>
        <v>2470.1729999999998</v>
      </c>
      <c r="E34" s="23">
        <f t="shared" si="35"/>
        <v>34838</v>
      </c>
      <c r="F34" s="23">
        <f t="shared" si="35"/>
        <v>44532</v>
      </c>
      <c r="G34" s="24">
        <f t="shared" si="35"/>
        <v>6.2E-2</v>
      </c>
      <c r="H34" s="22">
        <f>1+(S34-1)*Y31</f>
        <v>0.96134527922440993</v>
      </c>
      <c r="I34" s="21">
        <f t="shared" si="49"/>
        <v>476500</v>
      </c>
      <c r="J34" s="21">
        <f t="shared" si="49"/>
        <v>3230</v>
      </c>
      <c r="K34" s="11">
        <f t="shared" si="49"/>
        <v>0.03</v>
      </c>
      <c r="L34" s="25">
        <f t="shared" si="36"/>
        <v>8.3284365162644286E-2</v>
      </c>
      <c r="M34" s="25">
        <f t="shared" si="37"/>
        <v>0.91671563483735574</v>
      </c>
      <c r="N34" s="25">
        <f t="shared" si="38"/>
        <v>7.6348079682099612E-2</v>
      </c>
      <c r="O34" s="26">
        <f t="shared" si="39"/>
        <v>16664923563.760937</v>
      </c>
      <c r="P34" s="27">
        <f t="shared" si="40"/>
        <v>1417409.3025</v>
      </c>
      <c r="Q34" s="28">
        <f t="shared" si="41"/>
        <v>11757.312114692388</v>
      </c>
      <c r="R34" s="28">
        <f t="shared" si="42"/>
        <v>11474.194207940342</v>
      </c>
      <c r="S34" s="7">
        <v>7</v>
      </c>
      <c r="T34" s="10">
        <f t="shared" si="50"/>
        <v>7.5931232091690559E-2</v>
      </c>
      <c r="U34" s="10">
        <f t="shared" si="50"/>
        <v>0.93355209187858901</v>
      </c>
      <c r="V34" s="36">
        <f>S34/((1-T34)*U34)</f>
        <v>8.1143771883216846</v>
      </c>
      <c r="W34" s="38">
        <f t="shared" si="44"/>
        <v>1639.1706011343344</v>
      </c>
      <c r="X34" s="38">
        <f t="shared" si="51"/>
        <v>13300.848533611987</v>
      </c>
      <c r="Y34" s="8"/>
      <c r="AC34" s="221">
        <f t="shared" si="45"/>
        <v>8.1143771883216846</v>
      </c>
      <c r="AD34" s="222">
        <f t="shared" si="45"/>
        <v>1639.1706011343344</v>
      </c>
      <c r="AE34" s="237">
        <f t="shared" si="45"/>
        <v>13300.848533611987</v>
      </c>
      <c r="AF34" s="238">
        <f t="shared" si="46"/>
        <v>0.96134527922440993</v>
      </c>
      <c r="AG34" s="239">
        <f t="shared" si="47"/>
        <v>0.03</v>
      </c>
    </row>
    <row r="35" spans="1:33">
      <c r="A35" s="17"/>
      <c r="B35" s="6"/>
      <c r="C35" s="23">
        <f t="shared" si="48"/>
        <v>39685</v>
      </c>
      <c r="D35" s="23">
        <f t="shared" si="35"/>
        <v>2470.1729999999998</v>
      </c>
      <c r="E35" s="23">
        <f t="shared" si="35"/>
        <v>34838</v>
      </c>
      <c r="F35" s="23">
        <f t="shared" si="35"/>
        <v>44532</v>
      </c>
      <c r="G35" s="24">
        <f t="shared" si="35"/>
        <v>6.2E-2</v>
      </c>
      <c r="H35" s="22">
        <f>1+(S35-1)*Y31</f>
        <v>0.95490282576181162</v>
      </c>
      <c r="I35" s="21">
        <f t="shared" si="49"/>
        <v>476500</v>
      </c>
      <c r="J35" s="21">
        <f t="shared" si="49"/>
        <v>3230</v>
      </c>
      <c r="K35" s="11">
        <f t="shared" si="49"/>
        <v>0.03</v>
      </c>
      <c r="L35" s="25">
        <f t="shared" si="36"/>
        <v>8.3284365162644286E-2</v>
      </c>
      <c r="M35" s="25">
        <f t="shared" si="37"/>
        <v>0.91671563483735574</v>
      </c>
      <c r="N35" s="25">
        <f t="shared" si="38"/>
        <v>7.6348079682099612E-2</v>
      </c>
      <c r="O35" s="26">
        <f t="shared" si="39"/>
        <v>16553243611.887762</v>
      </c>
      <c r="P35" s="27">
        <f t="shared" si="40"/>
        <v>1417409.3025</v>
      </c>
      <c r="Q35" s="28">
        <f t="shared" si="41"/>
        <v>11678.520511112394</v>
      </c>
      <c r="R35" s="28">
        <f t="shared" si="42"/>
        <v>11399.139433088565</v>
      </c>
      <c r="S35" s="7">
        <v>8</v>
      </c>
      <c r="T35" s="10">
        <f t="shared" si="50"/>
        <v>7.5931232091690559E-2</v>
      </c>
      <c r="U35" s="10">
        <f t="shared" si="50"/>
        <v>0.93355209187858901</v>
      </c>
      <c r="V35" s="36">
        <f t="shared" si="43"/>
        <v>9.2735739295104977</v>
      </c>
      <c r="W35" s="38">
        <f>R35/S35</f>
        <v>1424.8924291360706</v>
      </c>
      <c r="X35" s="38">
        <f>V35*W35</f>
        <v>13213.845283193148</v>
      </c>
      <c r="Y35" s="8"/>
      <c r="AC35" s="221">
        <f t="shared" si="45"/>
        <v>9.2735739295104977</v>
      </c>
      <c r="AD35" s="222">
        <f t="shared" si="45"/>
        <v>1424.8924291360706</v>
      </c>
      <c r="AE35" s="237">
        <f t="shared" si="45"/>
        <v>13213.845283193148</v>
      </c>
      <c r="AF35" s="238">
        <f t="shared" si="46"/>
        <v>0.95490282576181162</v>
      </c>
      <c r="AG35" s="239">
        <f t="shared" si="47"/>
        <v>0.03</v>
      </c>
    </row>
    <row r="36" spans="1:33">
      <c r="A36" s="17"/>
      <c r="B36" s="5"/>
      <c r="C36" s="23">
        <f t="shared" si="48"/>
        <v>39685</v>
      </c>
      <c r="D36" s="23">
        <f t="shared" si="35"/>
        <v>2470.1729999999998</v>
      </c>
      <c r="E36" s="23">
        <f t="shared" si="35"/>
        <v>34838</v>
      </c>
      <c r="F36" s="23">
        <f t="shared" si="35"/>
        <v>44532</v>
      </c>
      <c r="G36" s="24">
        <f t="shared" si="35"/>
        <v>6.2E-2</v>
      </c>
      <c r="H36" s="22">
        <f>1+(S36-1)*Y31</f>
        <v>0.94846037229921332</v>
      </c>
      <c r="I36" s="21">
        <f t="shared" si="49"/>
        <v>476500</v>
      </c>
      <c r="J36" s="21">
        <f t="shared" si="49"/>
        <v>3230</v>
      </c>
      <c r="K36" s="11">
        <f t="shared" si="49"/>
        <v>0.03</v>
      </c>
      <c r="L36" s="25">
        <f t="shared" si="36"/>
        <v>8.3284365162644286E-2</v>
      </c>
      <c r="M36" s="25">
        <f t="shared" si="37"/>
        <v>0.91671563483735574</v>
      </c>
      <c r="N36" s="25">
        <f t="shared" si="38"/>
        <v>7.6348079682099612E-2</v>
      </c>
      <c r="O36" s="26">
        <f t="shared" si="39"/>
        <v>16441563660.014584</v>
      </c>
      <c r="P36" s="27">
        <f t="shared" si="40"/>
        <v>1417409.3025</v>
      </c>
      <c r="Q36" s="28">
        <f t="shared" si="41"/>
        <v>11599.728907532399</v>
      </c>
      <c r="R36" s="28">
        <f t="shared" si="42"/>
        <v>11324.06042677048</v>
      </c>
      <c r="S36" s="7">
        <v>9</v>
      </c>
      <c r="T36" s="10">
        <f t="shared" si="50"/>
        <v>7.5931232091690559E-2</v>
      </c>
      <c r="U36" s="10">
        <f t="shared" si="50"/>
        <v>0.93355209187858901</v>
      </c>
      <c r="V36" s="36">
        <f t="shared" si="43"/>
        <v>10.432770670699309</v>
      </c>
      <c r="W36" s="38">
        <f t="shared" si="44"/>
        <v>1258.2289363078312</v>
      </c>
      <c r="X36" s="38">
        <f t="shared" si="51"/>
        <v>13126.81394373753</v>
      </c>
      <c r="Y36" s="4"/>
      <c r="AC36" s="221">
        <f t="shared" si="45"/>
        <v>10.432770670699309</v>
      </c>
      <c r="AD36" s="222">
        <f t="shared" si="45"/>
        <v>1258.2289363078312</v>
      </c>
      <c r="AE36" s="237">
        <f t="shared" si="45"/>
        <v>13126.81394373753</v>
      </c>
      <c r="AF36" s="238">
        <f t="shared" si="46"/>
        <v>0.94846037229921332</v>
      </c>
      <c r="AG36" s="239">
        <f t="shared" si="47"/>
        <v>0.03</v>
      </c>
    </row>
    <row r="37" spans="1:33">
      <c r="A37" s="17"/>
      <c r="B37" s="5"/>
      <c r="C37" s="23">
        <f t="shared" si="48"/>
        <v>39685</v>
      </c>
      <c r="D37" s="23">
        <f t="shared" si="35"/>
        <v>2470.1729999999998</v>
      </c>
      <c r="E37" s="23">
        <f t="shared" si="35"/>
        <v>34838</v>
      </c>
      <c r="F37" s="23">
        <f t="shared" si="35"/>
        <v>44532</v>
      </c>
      <c r="G37" s="24">
        <f t="shared" si="35"/>
        <v>6.2E-2</v>
      </c>
      <c r="H37" s="22">
        <f>1+(S37-1)*Y31</f>
        <v>0.9420179188366149</v>
      </c>
      <c r="I37" s="21">
        <f t="shared" si="49"/>
        <v>476500</v>
      </c>
      <c r="J37" s="21">
        <f t="shared" si="49"/>
        <v>3230</v>
      </c>
      <c r="K37" s="11">
        <f t="shared" si="49"/>
        <v>0.03</v>
      </c>
      <c r="L37" s="25">
        <f t="shared" si="36"/>
        <v>8.3284365162644286E-2</v>
      </c>
      <c r="M37" s="25">
        <f t="shared" si="37"/>
        <v>0.91671563483735574</v>
      </c>
      <c r="N37" s="25">
        <f t="shared" si="38"/>
        <v>7.6348079682099612E-2</v>
      </c>
      <c r="O37" s="26">
        <f t="shared" si="39"/>
        <v>16329883708.141403</v>
      </c>
      <c r="P37" s="27">
        <f t="shared" si="40"/>
        <v>1417409.3025</v>
      </c>
      <c r="Q37" s="28">
        <f t="shared" si="41"/>
        <v>11520.937303952402</v>
      </c>
      <c r="R37" s="28">
        <f t="shared" si="42"/>
        <v>11248.957177249491</v>
      </c>
      <c r="S37" s="7">
        <v>10</v>
      </c>
      <c r="T37" s="10">
        <f t="shared" si="50"/>
        <v>7.5931232091690559E-2</v>
      </c>
      <c r="U37" s="10">
        <f t="shared" si="50"/>
        <v>0.93355209187858901</v>
      </c>
      <c r="V37" s="36">
        <f t="shared" si="43"/>
        <v>11.591967411888122</v>
      </c>
      <c r="W37" s="38">
        <f t="shared" si="44"/>
        <v>1124.895717724949</v>
      </c>
      <c r="X37" s="38">
        <f t="shared" si="51"/>
        <v>13039.754501640109</v>
      </c>
      <c r="Y37" s="4"/>
      <c r="AC37" s="221">
        <f t="shared" si="45"/>
        <v>11.591967411888122</v>
      </c>
      <c r="AD37" s="222">
        <f t="shared" si="45"/>
        <v>1124.895717724949</v>
      </c>
      <c r="AE37" s="237">
        <f t="shared" si="45"/>
        <v>13039.754501640109</v>
      </c>
      <c r="AF37" s="238">
        <f t="shared" si="46"/>
        <v>0.9420179188366149</v>
      </c>
      <c r="AG37" s="239">
        <f t="shared" si="47"/>
        <v>0.03</v>
      </c>
    </row>
    <row r="38" spans="1:33">
      <c r="A38" s="17"/>
      <c r="B38" s="5"/>
      <c r="C38" s="23">
        <f t="shared" si="48"/>
        <v>39685</v>
      </c>
      <c r="D38" s="23">
        <f t="shared" si="35"/>
        <v>2470.1729999999998</v>
      </c>
      <c r="E38" s="23">
        <f t="shared" si="35"/>
        <v>34838</v>
      </c>
      <c r="F38" s="23">
        <f t="shared" si="35"/>
        <v>44532</v>
      </c>
      <c r="G38" s="24">
        <f t="shared" si="35"/>
        <v>6.2E-2</v>
      </c>
      <c r="H38" s="22">
        <f>1+(S38-1)*Y31</f>
        <v>0.93557546537401659</v>
      </c>
      <c r="I38" s="21">
        <f t="shared" si="49"/>
        <v>476500</v>
      </c>
      <c r="J38" s="21">
        <f t="shared" si="49"/>
        <v>3230</v>
      </c>
      <c r="K38" s="11">
        <f t="shared" si="49"/>
        <v>0.03</v>
      </c>
      <c r="L38" s="25">
        <f t="shared" si="36"/>
        <v>8.3284365162644286E-2</v>
      </c>
      <c r="M38" s="25">
        <f t="shared" si="37"/>
        <v>0.91671563483735574</v>
      </c>
      <c r="N38" s="25">
        <f t="shared" si="38"/>
        <v>7.6348079682099612E-2</v>
      </c>
      <c r="O38" s="26">
        <f t="shared" si="39"/>
        <v>16218203756.268229</v>
      </c>
      <c r="P38" s="27">
        <f t="shared" si="40"/>
        <v>1417409.3025</v>
      </c>
      <c r="Q38" s="28">
        <f t="shared" si="41"/>
        <v>11442.145700372408</v>
      </c>
      <c r="R38" s="28">
        <f t="shared" si="42"/>
        <v>11173.829672781412</v>
      </c>
      <c r="S38" s="7">
        <v>11</v>
      </c>
      <c r="T38" s="10">
        <f t="shared" si="50"/>
        <v>7.5931232091690559E-2</v>
      </c>
      <c r="U38" s="10">
        <f t="shared" si="50"/>
        <v>0.93355209187858901</v>
      </c>
      <c r="V38" s="36">
        <f t="shared" si="43"/>
        <v>12.751164153076934</v>
      </c>
      <c r="W38" s="38">
        <f t="shared" si="44"/>
        <v>1015.802697525583</v>
      </c>
      <c r="X38" s="38">
        <f t="shared" si="51"/>
        <v>12952.666943287064</v>
      </c>
      <c r="Y38" s="4"/>
      <c r="AC38" s="221">
        <f t="shared" si="45"/>
        <v>12.751164153076934</v>
      </c>
      <c r="AD38" s="222">
        <f t="shared" si="45"/>
        <v>1015.802697525583</v>
      </c>
      <c r="AE38" s="237">
        <f t="shared" si="45"/>
        <v>12952.666943287064</v>
      </c>
      <c r="AF38" s="238">
        <f t="shared" si="46"/>
        <v>0.93557546537401659</v>
      </c>
      <c r="AG38" s="239">
        <f t="shared" si="47"/>
        <v>0.03</v>
      </c>
    </row>
    <row r="39" spans="1:33">
      <c r="A39" s="17"/>
      <c r="B39" s="5"/>
      <c r="C39" s="23">
        <f t="shared" si="48"/>
        <v>39685</v>
      </c>
      <c r="D39" s="23">
        <f t="shared" si="35"/>
        <v>2470.1729999999998</v>
      </c>
      <c r="E39" s="23">
        <f t="shared" si="35"/>
        <v>34838</v>
      </c>
      <c r="F39" s="23">
        <f t="shared" si="35"/>
        <v>44532</v>
      </c>
      <c r="G39" s="24">
        <f t="shared" si="35"/>
        <v>6.2E-2</v>
      </c>
      <c r="H39" s="22">
        <f>1+(12-1)*Y31</f>
        <v>0.92913301191141828</v>
      </c>
      <c r="I39" s="21">
        <f t="shared" si="49"/>
        <v>476500</v>
      </c>
      <c r="J39" s="21">
        <f t="shared" si="49"/>
        <v>3230</v>
      </c>
      <c r="K39" s="11">
        <f t="shared" si="49"/>
        <v>0.03</v>
      </c>
      <c r="L39" s="25">
        <f t="shared" si="36"/>
        <v>8.3284365162644286E-2</v>
      </c>
      <c r="M39" s="25">
        <f t="shared" si="37"/>
        <v>0.91671563483735574</v>
      </c>
      <c r="N39" s="25">
        <f t="shared" si="38"/>
        <v>7.6348079682099612E-2</v>
      </c>
      <c r="O39" s="26">
        <f t="shared" si="39"/>
        <v>16106523804.395052</v>
      </c>
      <c r="P39" s="27">
        <f t="shared" si="40"/>
        <v>1417409.3025</v>
      </c>
      <c r="Q39" s="28">
        <f t="shared" si="41"/>
        <v>11363.354096792413</v>
      </c>
      <c r="R39" s="28">
        <f t="shared" si="42"/>
        <v>11098.67790161447</v>
      </c>
      <c r="S39" s="7">
        <v>12</v>
      </c>
      <c r="T39" s="10">
        <f t="shared" si="50"/>
        <v>7.5931232091690559E-2</v>
      </c>
      <c r="U39" s="10">
        <f t="shared" si="50"/>
        <v>0.93355209187858901</v>
      </c>
      <c r="V39" s="36">
        <f t="shared" si="43"/>
        <v>13.910360894265745</v>
      </c>
      <c r="W39" s="38">
        <f t="shared" si="44"/>
        <v>924.88982513453914</v>
      </c>
      <c r="X39" s="38">
        <f t="shared" si="51"/>
        <v>12865.551255055776</v>
      </c>
      <c r="Y39" s="4"/>
      <c r="AC39" s="221">
        <f t="shared" si="45"/>
        <v>13.910360894265745</v>
      </c>
      <c r="AD39" s="222">
        <f t="shared" si="45"/>
        <v>924.88982513453914</v>
      </c>
      <c r="AE39" s="237">
        <f t="shared" si="45"/>
        <v>12865.551255055776</v>
      </c>
      <c r="AF39" s="238">
        <f t="shared" si="46"/>
        <v>0.92913301191141828</v>
      </c>
      <c r="AG39" s="239">
        <f t="shared" si="47"/>
        <v>0.03</v>
      </c>
    </row>
    <row r="40" spans="1:33">
      <c r="A40" s="17"/>
      <c r="B40" s="5"/>
      <c r="C40" s="23">
        <f t="shared" si="48"/>
        <v>39685</v>
      </c>
      <c r="D40" s="23">
        <f t="shared" si="35"/>
        <v>2470.1729999999998</v>
      </c>
      <c r="E40" s="23">
        <f t="shared" si="35"/>
        <v>34838</v>
      </c>
      <c r="F40" s="23">
        <f t="shared" si="35"/>
        <v>44532</v>
      </c>
      <c r="G40" s="24">
        <f t="shared" si="35"/>
        <v>6.2E-2</v>
      </c>
      <c r="H40" s="22">
        <f>1+(S40-1)*Y31</f>
        <v>0.92269055844881986</v>
      </c>
      <c r="I40" s="21">
        <f t="shared" si="49"/>
        <v>476500</v>
      </c>
      <c r="J40" s="21">
        <f t="shared" si="49"/>
        <v>3230</v>
      </c>
      <c r="K40" s="11">
        <f t="shared" si="49"/>
        <v>0.03</v>
      </c>
      <c r="L40" s="25">
        <f t="shared" si="36"/>
        <v>8.3284365162644286E-2</v>
      </c>
      <c r="M40" s="25">
        <f t="shared" si="37"/>
        <v>0.91671563483735574</v>
      </c>
      <c r="N40" s="25">
        <f t="shared" si="38"/>
        <v>7.6348079682099612E-2</v>
      </c>
      <c r="O40" s="26">
        <f t="shared" si="39"/>
        <v>15994843852.521873</v>
      </c>
      <c r="P40" s="27">
        <f t="shared" si="40"/>
        <v>1417409.3025</v>
      </c>
      <c r="Q40" s="28">
        <f t="shared" si="41"/>
        <v>11284.562493212417</v>
      </c>
      <c r="R40" s="28">
        <f t="shared" si="42"/>
        <v>11023.501851989298</v>
      </c>
      <c r="S40" s="7">
        <v>13</v>
      </c>
      <c r="T40" s="10">
        <f t="shared" si="50"/>
        <v>7.5931232091690559E-2</v>
      </c>
      <c r="U40" s="10">
        <f t="shared" si="50"/>
        <v>0.93355209187858901</v>
      </c>
      <c r="V40" s="36">
        <f t="shared" si="43"/>
        <v>15.069557635454558</v>
      </c>
      <c r="W40" s="38">
        <f t="shared" si="44"/>
        <v>847.96168092225366</v>
      </c>
      <c r="X40" s="38">
        <f t="shared" si="51"/>
        <v>12778.407423314829</v>
      </c>
      <c r="Y40" s="4"/>
      <c r="AC40" s="221">
        <f t="shared" si="45"/>
        <v>15.069557635454558</v>
      </c>
      <c r="AD40" s="222">
        <f t="shared" si="45"/>
        <v>847.96168092225366</v>
      </c>
      <c r="AE40" s="237">
        <f t="shared" si="45"/>
        <v>12778.407423314829</v>
      </c>
      <c r="AF40" s="238">
        <f t="shared" si="46"/>
        <v>0.92269055844881986</v>
      </c>
      <c r="AG40" s="239">
        <f t="shared" si="47"/>
        <v>0.03</v>
      </c>
    </row>
    <row r="41" spans="1:33">
      <c r="A41" s="17"/>
      <c r="B41" s="5"/>
      <c r="C41" s="23">
        <f t="shared" si="48"/>
        <v>39685</v>
      </c>
      <c r="D41" s="23">
        <f t="shared" si="35"/>
        <v>2470.1729999999998</v>
      </c>
      <c r="E41" s="23">
        <f t="shared" si="35"/>
        <v>34838</v>
      </c>
      <c r="F41" s="23">
        <f t="shared" si="35"/>
        <v>44532</v>
      </c>
      <c r="G41" s="24">
        <f t="shared" si="35"/>
        <v>6.2E-2</v>
      </c>
      <c r="H41" s="22">
        <f>1+(S41-1)*Y31</f>
        <v>0.91624810498622156</v>
      </c>
      <c r="I41" s="21">
        <f t="shared" si="49"/>
        <v>476500</v>
      </c>
      <c r="J41" s="21">
        <f t="shared" si="49"/>
        <v>3230</v>
      </c>
      <c r="K41" s="11">
        <f t="shared" si="49"/>
        <v>0.03</v>
      </c>
      <c r="L41" s="25">
        <f t="shared" si="36"/>
        <v>8.3284365162644286E-2</v>
      </c>
      <c r="M41" s="25">
        <f t="shared" si="37"/>
        <v>0.91671563483735574</v>
      </c>
      <c r="N41" s="25">
        <f t="shared" si="38"/>
        <v>7.6348079682099612E-2</v>
      </c>
      <c r="O41" s="26">
        <f t="shared" si="39"/>
        <v>15883163900.648697</v>
      </c>
      <c r="P41" s="27">
        <f t="shared" si="40"/>
        <v>1417409.3025</v>
      </c>
      <c r="Q41" s="28">
        <f t="shared" si="41"/>
        <v>11205.770889632422</v>
      </c>
      <c r="R41" s="28">
        <f t="shared" si="42"/>
        <v>10948.301512138938</v>
      </c>
      <c r="S41" s="7">
        <v>14</v>
      </c>
      <c r="T41" s="10">
        <f t="shared" si="50"/>
        <v>7.5931232091690559E-2</v>
      </c>
      <c r="U41" s="10">
        <f t="shared" si="50"/>
        <v>0.93355209187858901</v>
      </c>
      <c r="V41" s="36">
        <f t="shared" si="43"/>
        <v>16.228754376643369</v>
      </c>
      <c r="W41" s="38">
        <f t="shared" si="44"/>
        <v>782.02153658135273</v>
      </c>
      <c r="X41" s="38">
        <f t="shared" si="51"/>
        <v>12691.235434424001</v>
      </c>
      <c r="Y41" s="4"/>
      <c r="AC41" s="221">
        <f t="shared" si="45"/>
        <v>16.228754376643369</v>
      </c>
      <c r="AD41" s="222">
        <f t="shared" si="45"/>
        <v>782.02153658135273</v>
      </c>
      <c r="AE41" s="237">
        <f t="shared" si="45"/>
        <v>12691.235434424001</v>
      </c>
      <c r="AF41" s="238">
        <f t="shared" si="46"/>
        <v>0.91624810498622156</v>
      </c>
      <c r="AG41" s="239">
        <f t="shared" si="47"/>
        <v>0.03</v>
      </c>
    </row>
    <row r="42" spans="1:33">
      <c r="A42" s="17"/>
      <c r="B42" s="17"/>
      <c r="C42" s="23">
        <f t="shared" si="48"/>
        <v>39685</v>
      </c>
      <c r="D42" s="23">
        <f t="shared" si="35"/>
        <v>2470.1729999999998</v>
      </c>
      <c r="E42" s="23">
        <f t="shared" si="35"/>
        <v>34838</v>
      </c>
      <c r="F42" s="23">
        <f t="shared" si="35"/>
        <v>44532</v>
      </c>
      <c r="G42" s="24">
        <f t="shared" si="35"/>
        <v>6.2E-2</v>
      </c>
      <c r="H42" s="22">
        <f>1+(S42-1)*Y31</f>
        <v>0.90980565152362325</v>
      </c>
      <c r="I42" s="21">
        <f t="shared" si="49"/>
        <v>476500</v>
      </c>
      <c r="J42" s="21">
        <f t="shared" si="49"/>
        <v>3230</v>
      </c>
      <c r="K42" s="11">
        <f t="shared" si="49"/>
        <v>0.03</v>
      </c>
      <c r="L42" s="25">
        <f t="shared" si="36"/>
        <v>8.3284365162644286E-2</v>
      </c>
      <c r="M42" s="25">
        <f t="shared" si="37"/>
        <v>0.91671563483735574</v>
      </c>
      <c r="N42" s="25">
        <f t="shared" si="38"/>
        <v>7.6348079682099612E-2</v>
      </c>
      <c r="O42" s="26">
        <f t="shared" si="39"/>
        <v>15771483948.775518</v>
      </c>
      <c r="P42" s="27">
        <f t="shared" si="40"/>
        <v>1417409.3025</v>
      </c>
      <c r="Q42" s="28">
        <f t="shared" si="41"/>
        <v>11126.979286052427</v>
      </c>
      <c r="R42" s="28">
        <f t="shared" si="42"/>
        <v>10873.076870288818</v>
      </c>
      <c r="S42" s="3">
        <v>15</v>
      </c>
      <c r="T42" s="10">
        <f>T41</f>
        <v>7.5931232091690559E-2</v>
      </c>
      <c r="U42" s="10">
        <f t="shared" si="50"/>
        <v>0.93355209187858901</v>
      </c>
      <c r="V42" s="36">
        <f t="shared" si="43"/>
        <v>17.387951117832181</v>
      </c>
      <c r="W42" s="38">
        <f t="shared" si="44"/>
        <v>724.87179135258782</v>
      </c>
      <c r="X42" s="38">
        <f t="shared" si="51"/>
        <v>12604.035274734244</v>
      </c>
      <c r="Y42" s="4"/>
      <c r="AC42" s="221">
        <f t="shared" si="45"/>
        <v>17.387951117832181</v>
      </c>
      <c r="AD42" s="222">
        <f t="shared" si="45"/>
        <v>724.87179135258782</v>
      </c>
      <c r="AE42" s="237">
        <f t="shared" si="45"/>
        <v>12604.035274734244</v>
      </c>
      <c r="AF42" s="238">
        <f t="shared" si="46"/>
        <v>0.90980565152362325</v>
      </c>
      <c r="AG42" s="239">
        <f t="shared" si="47"/>
        <v>0.03</v>
      </c>
    </row>
    <row r="43" spans="1:33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0"/>
      <c r="AC43" s="235"/>
      <c r="AD43" s="234"/>
      <c r="AE43" s="235"/>
      <c r="AF43" s="232"/>
      <c r="AG43" s="236"/>
    </row>
    <row r="44" spans="1:33">
      <c r="A44" s="69"/>
      <c r="B44" s="70"/>
      <c r="C44" s="71"/>
      <c r="D44" s="71"/>
      <c r="E44" s="71"/>
      <c r="F44" s="71"/>
      <c r="G44" s="72"/>
      <c r="H44" s="73"/>
      <c r="I44" s="74"/>
      <c r="J44" s="74"/>
      <c r="K44" s="75"/>
      <c r="L44" s="76"/>
      <c r="M44" s="76"/>
      <c r="N44" s="76"/>
      <c r="O44" s="77"/>
      <c r="P44" s="78"/>
      <c r="Q44" s="79"/>
      <c r="R44" s="79"/>
      <c r="S44" s="80"/>
      <c r="T44" s="80"/>
      <c r="U44" s="81"/>
      <c r="V44" s="79"/>
      <c r="W44" s="79"/>
      <c r="X44" s="80"/>
      <c r="Y44" s="80"/>
      <c r="AC44" s="152"/>
      <c r="AD44" s="152"/>
      <c r="AE44" s="152"/>
      <c r="AF44" s="233"/>
      <c r="AG44" s="152"/>
    </row>
    <row r="45" spans="1:33">
      <c r="A45" s="104"/>
      <c r="B45" s="105"/>
      <c r="C45" s="106"/>
      <c r="D45" s="106"/>
      <c r="E45" s="106"/>
      <c r="F45" s="106"/>
      <c r="G45" s="320" t="s">
        <v>67</v>
      </c>
      <c r="H45" s="320"/>
      <c r="I45" s="320"/>
      <c r="J45" s="320"/>
      <c r="K45" s="320"/>
      <c r="L45" s="107"/>
      <c r="M45" s="107"/>
      <c r="N45" s="107"/>
      <c r="O45" s="108"/>
      <c r="P45" s="109"/>
      <c r="Q45" s="110"/>
      <c r="R45" s="110"/>
      <c r="S45" s="322" t="s">
        <v>69</v>
      </c>
      <c r="T45" s="322"/>
      <c r="U45" s="322"/>
      <c r="V45" s="322"/>
      <c r="W45" s="322"/>
      <c r="X45" s="322"/>
      <c r="Y45" s="322"/>
      <c r="AC45" s="330" t="s">
        <v>62</v>
      </c>
      <c r="AD45" s="330"/>
      <c r="AE45" s="330"/>
      <c r="AF45" s="330"/>
      <c r="AG45" s="330"/>
    </row>
    <row r="46" spans="1:33" ht="24">
      <c r="A46" s="159" t="s">
        <v>27</v>
      </c>
      <c r="B46" s="158" t="s">
        <v>62</v>
      </c>
      <c r="C46" s="16">
        <v>46937</v>
      </c>
      <c r="D46" s="44">
        <v>3138.4679999999998</v>
      </c>
      <c r="E46" s="44">
        <v>40779</v>
      </c>
      <c r="F46" s="44">
        <v>53095</v>
      </c>
      <c r="G46" s="45">
        <v>6.7000000000000004E-2</v>
      </c>
      <c r="H46" s="31">
        <v>1.2929999999999999</v>
      </c>
      <c r="I46" s="44">
        <v>1072145</v>
      </c>
      <c r="J46" s="44">
        <v>5876</v>
      </c>
      <c r="K46" s="46">
        <v>4.5499999999999999E-2</v>
      </c>
      <c r="L46" s="47">
        <f>C46/I46</f>
        <v>4.3778593380559533E-2</v>
      </c>
      <c r="M46" s="47">
        <f t="shared" ref="M46:M57" si="52">1-L46</f>
        <v>0.95622140661944044</v>
      </c>
      <c r="N46" s="47">
        <f>L46*M46</f>
        <v>4.186202814217916E-2</v>
      </c>
      <c r="O46" s="48">
        <f t="shared" ref="O46:O57" si="53">(I46^2)*(N46*H46)</f>
        <v>62219402949.527992</v>
      </c>
      <c r="P46" s="3">
        <f t="shared" ref="P46:P57" si="54">(K46^2)*(C46^2)</f>
        <v>4560930.4463222502</v>
      </c>
      <c r="Q46" s="49">
        <f>O46/P46</f>
        <v>13641.822360983208</v>
      </c>
      <c r="R46" s="49">
        <f t="shared" ref="R46:R57" si="55">Q46/(1+(Q46/I46))</f>
        <v>13470.426545988917</v>
      </c>
      <c r="S46" s="15">
        <v>8.8627450000000003</v>
      </c>
      <c r="T46" s="15">
        <v>7.5931232091690559E-2</v>
      </c>
      <c r="U46" s="15">
        <v>0.93355209187858901</v>
      </c>
      <c r="V46" s="15">
        <f>S46/((1-T46)*U46)</f>
        <v>10.27366512198744</v>
      </c>
      <c r="W46" s="37">
        <f>R46/S46</f>
        <v>1519.8932775329672</v>
      </c>
      <c r="X46" s="37">
        <f>V46*W46</f>
        <v>15614.874554533622</v>
      </c>
      <c r="Y46" s="33">
        <f>(H46-1)/(S46-1)</f>
        <v>3.7264339616762329E-2</v>
      </c>
      <c r="AC46" s="221">
        <f>+V46</f>
        <v>10.27366512198744</v>
      </c>
      <c r="AD46" s="222">
        <f t="shared" ref="AC46:AE56" si="56">+W46</f>
        <v>1519.8932775329672</v>
      </c>
      <c r="AE46" s="237">
        <f t="shared" si="56"/>
        <v>15614.874554533622</v>
      </c>
      <c r="AF46" s="238">
        <f t="shared" ref="AF46:AF56" si="57">+H46</f>
        <v>1.2929999999999999</v>
      </c>
      <c r="AG46" s="239">
        <f>+K46</f>
        <v>4.5499999999999999E-2</v>
      </c>
    </row>
    <row r="47" spans="1:33">
      <c r="A47" s="92"/>
      <c r="B47" s="93"/>
      <c r="C47" s="54">
        <f>C46</f>
        <v>46937</v>
      </c>
      <c r="D47" s="54">
        <f t="shared" ref="D47:G47" si="58">D46</f>
        <v>3138.4679999999998</v>
      </c>
      <c r="E47" s="54">
        <f t="shared" si="58"/>
        <v>40779</v>
      </c>
      <c r="F47" s="54">
        <f t="shared" si="58"/>
        <v>53095</v>
      </c>
      <c r="G47" s="24">
        <f t="shared" si="58"/>
        <v>6.7000000000000004E-2</v>
      </c>
      <c r="H47" s="22">
        <f>1+(S47-1)*Y46</f>
        <v>1.1490573584670494</v>
      </c>
      <c r="I47" s="21">
        <f>I46</f>
        <v>1072145</v>
      </c>
      <c r="J47" s="21">
        <f>J46</f>
        <v>5876</v>
      </c>
      <c r="K47" s="11">
        <f>K46</f>
        <v>4.5499999999999999E-2</v>
      </c>
      <c r="L47" s="47">
        <f t="shared" ref="L47:L57" si="59">C47/I47</f>
        <v>4.3778593380559533E-2</v>
      </c>
      <c r="M47" s="47">
        <f t="shared" si="52"/>
        <v>0.95622140661944044</v>
      </c>
      <c r="N47" s="47">
        <f t="shared" ref="N47:N57" si="60">L47*M47</f>
        <v>4.186202814217916E-2</v>
      </c>
      <c r="O47" s="48">
        <f t="shared" si="53"/>
        <v>55292855992.715843</v>
      </c>
      <c r="P47" s="3">
        <f t="shared" si="54"/>
        <v>4560930.4463222502</v>
      </c>
      <c r="Q47" s="49">
        <f t="shared" ref="Q47:Q57" si="61">O47/P47</f>
        <v>12123.152642527528</v>
      </c>
      <c r="R47" s="49">
        <f t="shared" si="55"/>
        <v>11987.604227095577</v>
      </c>
      <c r="S47" s="7">
        <v>5</v>
      </c>
      <c r="T47" s="10">
        <f>T46</f>
        <v>7.5931232091690559E-2</v>
      </c>
      <c r="U47" s="10">
        <f>U46</f>
        <v>0.93355209187858901</v>
      </c>
      <c r="V47" s="10">
        <f>S47/((1-T47)*U47)</f>
        <v>5.7959837059440611</v>
      </c>
      <c r="W47" s="38">
        <f>R47/S47</f>
        <v>2397.5208454191152</v>
      </c>
      <c r="X47" s="38">
        <f>V47*W47</f>
        <v>13895.991754710421</v>
      </c>
      <c r="Y47" s="8"/>
      <c r="AC47" s="221">
        <f t="shared" si="56"/>
        <v>5.7959837059440611</v>
      </c>
      <c r="AD47" s="222">
        <f t="shared" si="56"/>
        <v>2397.5208454191152</v>
      </c>
      <c r="AE47" s="237">
        <f t="shared" si="56"/>
        <v>13895.991754710421</v>
      </c>
      <c r="AF47" s="238">
        <f t="shared" si="57"/>
        <v>1.1490573584670494</v>
      </c>
      <c r="AG47" s="239">
        <f t="shared" ref="AG47:AG57" si="62">+K47</f>
        <v>4.5499999999999999E-2</v>
      </c>
    </row>
    <row r="48" spans="1:33">
      <c r="A48" s="92"/>
      <c r="B48" s="93"/>
      <c r="C48" s="54">
        <f t="shared" ref="C48:G57" si="63">C47</f>
        <v>46937</v>
      </c>
      <c r="D48" s="54">
        <f t="shared" si="63"/>
        <v>3138.4679999999998</v>
      </c>
      <c r="E48" s="54">
        <f t="shared" si="63"/>
        <v>40779</v>
      </c>
      <c r="F48" s="54">
        <f t="shared" si="63"/>
        <v>53095</v>
      </c>
      <c r="G48" s="24">
        <f t="shared" si="63"/>
        <v>6.7000000000000004E-2</v>
      </c>
      <c r="H48" s="22">
        <f>1+(S48-1)*Y46</f>
        <v>1.1863216980838116</v>
      </c>
      <c r="I48" s="21">
        <f>I47</f>
        <v>1072145</v>
      </c>
      <c r="J48" s="21">
        <f t="shared" ref="J48:K48" si="64">J47</f>
        <v>5876</v>
      </c>
      <c r="K48" s="11">
        <f t="shared" si="64"/>
        <v>4.5499999999999999E-2</v>
      </c>
      <c r="L48" s="47">
        <f t="shared" si="59"/>
        <v>4.3778593380559533E-2</v>
      </c>
      <c r="M48" s="47">
        <f t="shared" si="52"/>
        <v>0.95622140661944044</v>
      </c>
      <c r="N48" s="47">
        <f t="shared" si="60"/>
        <v>4.186202814217916E-2</v>
      </c>
      <c r="O48" s="48">
        <f t="shared" si="53"/>
        <v>57086023016.894798</v>
      </c>
      <c r="P48" s="3">
        <f t="shared" si="54"/>
        <v>4560930.4463222502</v>
      </c>
      <c r="Q48" s="49">
        <f t="shared" si="61"/>
        <v>12516.310802969307</v>
      </c>
      <c r="R48" s="49">
        <f t="shared" si="55"/>
        <v>12371.880431427287</v>
      </c>
      <c r="S48" s="7">
        <v>6</v>
      </c>
      <c r="T48" s="10">
        <f t="shared" ref="T48:U57" si="65">T47</f>
        <v>7.5931232091690559E-2</v>
      </c>
      <c r="U48" s="10">
        <f t="shared" si="65"/>
        <v>0.93355209187858901</v>
      </c>
      <c r="V48" s="36">
        <f t="shared" ref="V48:V57" si="66">S48/((1-T48)*U48)</f>
        <v>6.9551804471328724</v>
      </c>
      <c r="W48" s="38">
        <f t="shared" ref="W48:W57" si="67">R48/S48</f>
        <v>2061.9800719045479</v>
      </c>
      <c r="X48" s="38">
        <f t="shared" ref="X48:X57" si="68">V48*W48</f>
        <v>14341.443478488147</v>
      </c>
      <c r="Y48" s="8"/>
      <c r="AC48" s="221">
        <f t="shared" si="56"/>
        <v>6.9551804471328724</v>
      </c>
      <c r="AD48" s="222">
        <f t="shared" si="56"/>
        <v>2061.9800719045479</v>
      </c>
      <c r="AE48" s="237">
        <f t="shared" si="56"/>
        <v>14341.443478488147</v>
      </c>
      <c r="AF48" s="238">
        <f t="shared" si="57"/>
        <v>1.1863216980838116</v>
      </c>
      <c r="AG48" s="239">
        <f t="shared" si="62"/>
        <v>4.5499999999999999E-2</v>
      </c>
    </row>
    <row r="49" spans="1:33">
      <c r="A49" s="92"/>
      <c r="B49" s="93"/>
      <c r="C49" s="54">
        <f t="shared" si="63"/>
        <v>46937</v>
      </c>
      <c r="D49" s="54">
        <f t="shared" si="63"/>
        <v>3138.4679999999998</v>
      </c>
      <c r="E49" s="54">
        <f t="shared" si="63"/>
        <v>40779</v>
      </c>
      <c r="F49" s="54">
        <f t="shared" si="63"/>
        <v>53095</v>
      </c>
      <c r="G49" s="24">
        <f t="shared" si="63"/>
        <v>6.7000000000000004E-2</v>
      </c>
      <c r="H49" s="22">
        <f>1+(S49-1)*Y46</f>
        <v>1.2235860377005741</v>
      </c>
      <c r="I49" s="21">
        <f t="shared" ref="I49:K57" si="69">I48</f>
        <v>1072145</v>
      </c>
      <c r="J49" s="21">
        <f t="shared" si="69"/>
        <v>5876</v>
      </c>
      <c r="K49" s="11">
        <f t="shared" si="69"/>
        <v>4.5499999999999999E-2</v>
      </c>
      <c r="L49" s="47">
        <f t="shared" si="59"/>
        <v>4.3778593380559533E-2</v>
      </c>
      <c r="M49" s="47">
        <f t="shared" si="52"/>
        <v>0.95622140661944044</v>
      </c>
      <c r="N49" s="47">
        <f t="shared" si="60"/>
        <v>4.186202814217916E-2</v>
      </c>
      <c r="O49" s="48">
        <f t="shared" si="53"/>
        <v>58879190041.073761</v>
      </c>
      <c r="P49" s="3">
        <f t="shared" si="54"/>
        <v>4560930.4463222502</v>
      </c>
      <c r="Q49" s="49">
        <f t="shared" si="61"/>
        <v>12909.468963411085</v>
      </c>
      <c r="R49" s="49">
        <f t="shared" si="55"/>
        <v>12755.878158816286</v>
      </c>
      <c r="S49" s="7">
        <v>7</v>
      </c>
      <c r="T49" s="10">
        <f t="shared" si="65"/>
        <v>7.5931232091690559E-2</v>
      </c>
      <c r="U49" s="10">
        <f t="shared" si="65"/>
        <v>0.93355209187858901</v>
      </c>
      <c r="V49" s="36">
        <f t="shared" si="66"/>
        <v>8.1143771883216846</v>
      </c>
      <c r="W49" s="38">
        <f t="shared" si="67"/>
        <v>1822.2683084023265</v>
      </c>
      <c r="X49" s="38">
        <f t="shared" si="68"/>
        <v>14786.572392701382</v>
      </c>
      <c r="Y49" s="8"/>
      <c r="Z49" s="145"/>
      <c r="AC49" s="221">
        <f t="shared" si="56"/>
        <v>8.1143771883216846</v>
      </c>
      <c r="AD49" s="222">
        <f t="shared" si="56"/>
        <v>1822.2683084023265</v>
      </c>
      <c r="AE49" s="237">
        <f t="shared" si="56"/>
        <v>14786.572392701382</v>
      </c>
      <c r="AF49" s="238">
        <f t="shared" si="57"/>
        <v>1.2235860377005741</v>
      </c>
      <c r="AG49" s="239">
        <f t="shared" si="62"/>
        <v>4.5499999999999999E-2</v>
      </c>
    </row>
    <row r="50" spans="1:33">
      <c r="A50" s="92"/>
      <c r="B50" s="93"/>
      <c r="C50" s="54">
        <f t="shared" si="63"/>
        <v>46937</v>
      </c>
      <c r="D50" s="54">
        <f t="shared" si="63"/>
        <v>3138.4679999999998</v>
      </c>
      <c r="E50" s="54">
        <f t="shared" si="63"/>
        <v>40779</v>
      </c>
      <c r="F50" s="54">
        <f t="shared" si="63"/>
        <v>53095</v>
      </c>
      <c r="G50" s="24">
        <f t="shared" si="63"/>
        <v>6.7000000000000004E-2</v>
      </c>
      <c r="H50" s="22">
        <f>1+(S50-1)*Y46</f>
        <v>1.2608503773173363</v>
      </c>
      <c r="I50" s="21">
        <f t="shared" si="69"/>
        <v>1072145</v>
      </c>
      <c r="J50" s="21">
        <f t="shared" si="69"/>
        <v>5876</v>
      </c>
      <c r="K50" s="11">
        <f t="shared" si="69"/>
        <v>4.5499999999999999E-2</v>
      </c>
      <c r="L50" s="47">
        <f t="shared" si="59"/>
        <v>4.3778593380559533E-2</v>
      </c>
      <c r="M50" s="47">
        <f t="shared" si="52"/>
        <v>0.95622140661944044</v>
      </c>
      <c r="N50" s="47">
        <f t="shared" si="60"/>
        <v>4.186202814217916E-2</v>
      </c>
      <c r="O50" s="48">
        <f t="shared" si="53"/>
        <v>60672357065.252716</v>
      </c>
      <c r="P50" s="3">
        <f t="shared" si="54"/>
        <v>4560930.4463222502</v>
      </c>
      <c r="Q50" s="49">
        <f t="shared" si="61"/>
        <v>13302.627123852864</v>
      </c>
      <c r="R50" s="49">
        <f t="shared" si="55"/>
        <v>13139.597711862565</v>
      </c>
      <c r="S50" s="7">
        <v>8</v>
      </c>
      <c r="T50" s="10">
        <f t="shared" si="65"/>
        <v>7.5931232091690559E-2</v>
      </c>
      <c r="U50" s="10">
        <f t="shared" si="65"/>
        <v>0.93355209187858901</v>
      </c>
      <c r="V50" s="36">
        <f t="shared" si="66"/>
        <v>9.2735739295104977</v>
      </c>
      <c r="W50" s="38">
        <f t="shared" si="67"/>
        <v>1642.4497139828206</v>
      </c>
      <c r="X50" s="38">
        <f t="shared" si="68"/>
        <v>15231.378848123059</v>
      </c>
      <c r="Y50" s="8"/>
      <c r="AC50" s="221">
        <f t="shared" si="56"/>
        <v>9.2735739295104977</v>
      </c>
      <c r="AD50" s="222">
        <f t="shared" si="56"/>
        <v>1642.4497139828206</v>
      </c>
      <c r="AE50" s="237">
        <f t="shared" si="56"/>
        <v>15231.378848123059</v>
      </c>
      <c r="AF50" s="238">
        <f t="shared" si="57"/>
        <v>1.2608503773173363</v>
      </c>
      <c r="AG50" s="239">
        <f t="shared" si="62"/>
        <v>4.5499999999999999E-2</v>
      </c>
    </row>
    <row r="51" spans="1:33">
      <c r="A51" s="92"/>
      <c r="B51" s="93"/>
      <c r="C51" s="54">
        <f t="shared" si="63"/>
        <v>46937</v>
      </c>
      <c r="D51" s="54">
        <f t="shared" si="63"/>
        <v>3138.4679999999998</v>
      </c>
      <c r="E51" s="54">
        <f t="shared" si="63"/>
        <v>40779</v>
      </c>
      <c r="F51" s="54">
        <f t="shared" si="63"/>
        <v>53095</v>
      </c>
      <c r="G51" s="24">
        <f t="shared" si="63"/>
        <v>6.7000000000000004E-2</v>
      </c>
      <c r="H51" s="22">
        <f>1+(S51-1)*Y46</f>
        <v>1.2981147169340987</v>
      </c>
      <c r="I51" s="21">
        <f t="shared" si="69"/>
        <v>1072145</v>
      </c>
      <c r="J51" s="21">
        <f t="shared" si="69"/>
        <v>5876</v>
      </c>
      <c r="K51" s="11">
        <f t="shared" si="69"/>
        <v>4.5499999999999999E-2</v>
      </c>
      <c r="L51" s="47">
        <f t="shared" si="59"/>
        <v>4.3778593380559533E-2</v>
      </c>
      <c r="M51" s="47">
        <f t="shared" si="52"/>
        <v>0.95622140661944044</v>
      </c>
      <c r="N51" s="47">
        <f t="shared" si="60"/>
        <v>4.186202814217916E-2</v>
      </c>
      <c r="O51" s="48">
        <f t="shared" si="53"/>
        <v>62465524089.431679</v>
      </c>
      <c r="P51" s="3">
        <f t="shared" si="54"/>
        <v>4560930.4463222502</v>
      </c>
      <c r="Q51" s="49">
        <f t="shared" si="61"/>
        <v>13695.785284294645</v>
      </c>
      <c r="R51" s="49">
        <f t="shared" si="55"/>
        <v>13523.039392727871</v>
      </c>
      <c r="S51" s="7">
        <v>9</v>
      </c>
      <c r="T51" s="10">
        <f t="shared" si="65"/>
        <v>7.5931232091690559E-2</v>
      </c>
      <c r="U51" s="10">
        <f t="shared" si="65"/>
        <v>0.93355209187858901</v>
      </c>
      <c r="V51" s="36">
        <f t="shared" si="66"/>
        <v>10.432770670699309</v>
      </c>
      <c r="W51" s="38">
        <f t="shared" si="67"/>
        <v>1502.559932525319</v>
      </c>
      <c r="X51" s="38">
        <f t="shared" si="68"/>
        <v>15675.863195018081</v>
      </c>
      <c r="Y51" s="8"/>
      <c r="AC51" s="221">
        <f t="shared" si="56"/>
        <v>10.432770670699309</v>
      </c>
      <c r="AD51" s="222">
        <f t="shared" si="56"/>
        <v>1502.559932525319</v>
      </c>
      <c r="AE51" s="237">
        <f t="shared" si="56"/>
        <v>15675.863195018081</v>
      </c>
      <c r="AF51" s="238">
        <f t="shared" si="57"/>
        <v>1.2981147169340987</v>
      </c>
      <c r="AG51" s="239">
        <f t="shared" si="62"/>
        <v>4.5499999999999999E-2</v>
      </c>
    </row>
    <row r="52" spans="1:33">
      <c r="A52" s="92"/>
      <c r="B52" s="93"/>
      <c r="C52" s="54">
        <f t="shared" si="63"/>
        <v>46937</v>
      </c>
      <c r="D52" s="54">
        <f t="shared" si="63"/>
        <v>3138.4679999999998</v>
      </c>
      <c r="E52" s="54">
        <f t="shared" si="63"/>
        <v>40779</v>
      </c>
      <c r="F52" s="54">
        <f t="shared" si="63"/>
        <v>53095</v>
      </c>
      <c r="G52" s="24">
        <f t="shared" si="63"/>
        <v>6.7000000000000004E-2</v>
      </c>
      <c r="H52" s="22">
        <f>1+(S52-1)*Y46</f>
        <v>1.335379056550861</v>
      </c>
      <c r="I52" s="21">
        <f t="shared" si="69"/>
        <v>1072145</v>
      </c>
      <c r="J52" s="21">
        <f t="shared" si="69"/>
        <v>5876</v>
      </c>
      <c r="K52" s="11">
        <f t="shared" si="69"/>
        <v>4.5499999999999999E-2</v>
      </c>
      <c r="L52" s="47">
        <f t="shared" si="59"/>
        <v>4.3778593380559533E-2</v>
      </c>
      <c r="M52" s="47">
        <f t="shared" si="52"/>
        <v>0.95622140661944044</v>
      </c>
      <c r="N52" s="47">
        <f t="shared" si="60"/>
        <v>4.186202814217916E-2</v>
      </c>
      <c r="O52" s="48">
        <f t="shared" si="53"/>
        <v>64258691113.610641</v>
      </c>
      <c r="P52" s="3">
        <f t="shared" si="54"/>
        <v>4560930.4463222502</v>
      </c>
      <c r="Q52" s="49">
        <f t="shared" si="61"/>
        <v>14088.943444736424</v>
      </c>
      <c r="R52" s="49">
        <f t="shared" si="55"/>
        <v>13906.203503136467</v>
      </c>
      <c r="S52" s="7">
        <v>10</v>
      </c>
      <c r="T52" s="10">
        <f t="shared" si="65"/>
        <v>7.5931232091690559E-2</v>
      </c>
      <c r="U52" s="10">
        <f t="shared" si="65"/>
        <v>0.93355209187858901</v>
      </c>
      <c r="V52" s="36">
        <f t="shared" si="66"/>
        <v>11.591967411888122</v>
      </c>
      <c r="W52" s="38">
        <f t="shared" si="67"/>
        <v>1390.6203503136467</v>
      </c>
      <c r="X52" s="38">
        <f t="shared" si="68"/>
        <v>16120.025783144236</v>
      </c>
      <c r="Y52" s="8"/>
      <c r="AC52" s="221">
        <f t="shared" si="56"/>
        <v>11.591967411888122</v>
      </c>
      <c r="AD52" s="222">
        <f t="shared" si="56"/>
        <v>1390.6203503136467</v>
      </c>
      <c r="AE52" s="237">
        <f t="shared" si="56"/>
        <v>16120.025783144236</v>
      </c>
      <c r="AF52" s="238">
        <f t="shared" si="57"/>
        <v>1.335379056550861</v>
      </c>
      <c r="AG52" s="239">
        <f t="shared" si="62"/>
        <v>4.5499999999999999E-2</v>
      </c>
    </row>
    <row r="53" spans="1:33">
      <c r="A53" s="92"/>
      <c r="B53" s="93"/>
      <c r="C53" s="54">
        <f t="shared" si="63"/>
        <v>46937</v>
      </c>
      <c r="D53" s="54">
        <f t="shared" si="63"/>
        <v>3138.4679999999998</v>
      </c>
      <c r="E53" s="54">
        <f t="shared" si="63"/>
        <v>40779</v>
      </c>
      <c r="F53" s="54">
        <f t="shared" si="63"/>
        <v>53095</v>
      </c>
      <c r="G53" s="24">
        <f t="shared" si="63"/>
        <v>6.7000000000000004E-2</v>
      </c>
      <c r="H53" s="22">
        <f>1+(S53-1)*Y46</f>
        <v>1.3726433961676232</v>
      </c>
      <c r="I53" s="21">
        <f t="shared" si="69"/>
        <v>1072145</v>
      </c>
      <c r="J53" s="21">
        <f t="shared" si="69"/>
        <v>5876</v>
      </c>
      <c r="K53" s="11">
        <f t="shared" si="69"/>
        <v>4.5499999999999999E-2</v>
      </c>
      <c r="L53" s="47">
        <f t="shared" si="59"/>
        <v>4.3778593380559533E-2</v>
      </c>
      <c r="M53" s="47">
        <f t="shared" si="52"/>
        <v>0.95622140661944044</v>
      </c>
      <c r="N53" s="47">
        <f t="shared" si="60"/>
        <v>4.186202814217916E-2</v>
      </c>
      <c r="O53" s="48">
        <f t="shared" si="53"/>
        <v>66051858137.789597</v>
      </c>
      <c r="P53" s="3">
        <f t="shared" si="54"/>
        <v>4560930.4463222502</v>
      </c>
      <c r="Q53" s="49">
        <f t="shared" si="61"/>
        <v>14482.101605178203</v>
      </c>
      <c r="R53" s="49">
        <f t="shared" si="55"/>
        <v>14289.090344375958</v>
      </c>
      <c r="S53" s="7">
        <v>11</v>
      </c>
      <c r="T53" s="10">
        <f t="shared" si="65"/>
        <v>7.5931232091690559E-2</v>
      </c>
      <c r="U53" s="10">
        <f t="shared" si="65"/>
        <v>0.93355209187858901</v>
      </c>
      <c r="V53" s="36">
        <f t="shared" si="66"/>
        <v>12.751164153076934</v>
      </c>
      <c r="W53" s="38">
        <f t="shared" si="67"/>
        <v>1299.0082131250872</v>
      </c>
      <c r="X53" s="38">
        <f t="shared" si="68"/>
        <v>16563.866961753134</v>
      </c>
      <c r="Y53" s="8"/>
      <c r="AC53" s="221">
        <f t="shared" si="56"/>
        <v>12.751164153076934</v>
      </c>
      <c r="AD53" s="222">
        <f t="shared" si="56"/>
        <v>1299.0082131250872</v>
      </c>
      <c r="AE53" s="237">
        <f t="shared" si="56"/>
        <v>16563.866961753134</v>
      </c>
      <c r="AF53" s="238">
        <f t="shared" si="57"/>
        <v>1.3726433961676232</v>
      </c>
      <c r="AG53" s="239">
        <f t="shared" si="62"/>
        <v>4.5499999999999999E-2</v>
      </c>
    </row>
    <row r="54" spans="1:33">
      <c r="A54" s="92"/>
      <c r="B54" s="93"/>
      <c r="C54" s="54">
        <f t="shared" si="63"/>
        <v>46937</v>
      </c>
      <c r="D54" s="54">
        <f t="shared" si="63"/>
        <v>3138.4679999999998</v>
      </c>
      <c r="E54" s="54">
        <f t="shared" si="63"/>
        <v>40779</v>
      </c>
      <c r="F54" s="54">
        <f t="shared" si="63"/>
        <v>53095</v>
      </c>
      <c r="G54" s="24">
        <f t="shared" si="63"/>
        <v>6.7000000000000004E-2</v>
      </c>
      <c r="H54" s="22">
        <f>1+(12-1)*Y46</f>
        <v>1.4099077357843857</v>
      </c>
      <c r="I54" s="21">
        <f t="shared" si="69"/>
        <v>1072145</v>
      </c>
      <c r="J54" s="21">
        <f t="shared" si="69"/>
        <v>5876</v>
      </c>
      <c r="K54" s="11">
        <f t="shared" si="69"/>
        <v>4.5499999999999999E-2</v>
      </c>
      <c r="L54" s="47">
        <f t="shared" si="59"/>
        <v>4.3778593380559533E-2</v>
      </c>
      <c r="M54" s="47">
        <f t="shared" si="52"/>
        <v>0.95622140661944044</v>
      </c>
      <c r="N54" s="47">
        <f t="shared" si="60"/>
        <v>4.186202814217916E-2</v>
      </c>
      <c r="O54" s="48">
        <f t="shared" si="53"/>
        <v>67845025161.968559</v>
      </c>
      <c r="P54" s="3">
        <f t="shared" si="54"/>
        <v>4560930.4463222502</v>
      </c>
      <c r="Q54" s="49">
        <f t="shared" si="61"/>
        <v>14875.259765619983</v>
      </c>
      <c r="R54" s="49">
        <f t="shared" si="55"/>
        <v>14671.700217298056</v>
      </c>
      <c r="S54" s="7">
        <v>12</v>
      </c>
      <c r="T54" s="10">
        <f t="shared" si="65"/>
        <v>7.5931232091690559E-2</v>
      </c>
      <c r="U54" s="10">
        <f t="shared" si="65"/>
        <v>0.93355209187858901</v>
      </c>
      <c r="V54" s="36">
        <f t="shared" si="66"/>
        <v>13.910360894265745</v>
      </c>
      <c r="W54" s="38">
        <f t="shared" si="67"/>
        <v>1222.641684774838</v>
      </c>
      <c r="X54" s="38">
        <f t="shared" si="68"/>
        <v>17007.387079591092</v>
      </c>
      <c r="Y54" s="8"/>
      <c r="AC54" s="221">
        <f t="shared" si="56"/>
        <v>13.910360894265745</v>
      </c>
      <c r="AD54" s="222">
        <f t="shared" si="56"/>
        <v>1222.641684774838</v>
      </c>
      <c r="AE54" s="237">
        <f t="shared" si="56"/>
        <v>17007.387079591092</v>
      </c>
      <c r="AF54" s="238">
        <f t="shared" si="57"/>
        <v>1.4099077357843857</v>
      </c>
      <c r="AG54" s="239">
        <f t="shared" si="62"/>
        <v>4.5499999999999999E-2</v>
      </c>
    </row>
    <row r="55" spans="1:33">
      <c r="A55" s="92"/>
      <c r="B55" s="93"/>
      <c r="C55" s="54">
        <f t="shared" si="63"/>
        <v>46937</v>
      </c>
      <c r="D55" s="54">
        <f t="shared" si="63"/>
        <v>3138.4679999999998</v>
      </c>
      <c r="E55" s="54">
        <f t="shared" si="63"/>
        <v>40779</v>
      </c>
      <c r="F55" s="54">
        <f t="shared" si="63"/>
        <v>53095</v>
      </c>
      <c r="G55" s="24">
        <f t="shared" si="63"/>
        <v>6.7000000000000004E-2</v>
      </c>
      <c r="H55" s="22">
        <f>1+(S55-1)*Y46</f>
        <v>1.4471720754011479</v>
      </c>
      <c r="I55" s="21">
        <f t="shared" si="69"/>
        <v>1072145</v>
      </c>
      <c r="J55" s="21">
        <f t="shared" si="69"/>
        <v>5876</v>
      </c>
      <c r="K55" s="11">
        <f t="shared" si="69"/>
        <v>4.5499999999999999E-2</v>
      </c>
      <c r="L55" s="47">
        <f t="shared" si="59"/>
        <v>4.3778593380559533E-2</v>
      </c>
      <c r="M55" s="47">
        <f t="shared" si="52"/>
        <v>0.95622140661944044</v>
      </c>
      <c r="N55" s="47">
        <f t="shared" si="60"/>
        <v>4.186202814217916E-2</v>
      </c>
      <c r="O55" s="48">
        <f t="shared" si="53"/>
        <v>69638192186.147522</v>
      </c>
      <c r="P55" s="3">
        <f t="shared" si="54"/>
        <v>4560930.4463222502</v>
      </c>
      <c r="Q55" s="49">
        <f t="shared" si="61"/>
        <v>15268.417926061764</v>
      </c>
      <c r="R55" s="49">
        <f t="shared" si="55"/>
        <v>15054.033422319384</v>
      </c>
      <c r="S55" s="7">
        <v>13</v>
      </c>
      <c r="T55" s="10">
        <f t="shared" si="65"/>
        <v>7.5931232091690559E-2</v>
      </c>
      <c r="U55" s="10">
        <f t="shared" si="65"/>
        <v>0.93355209187858901</v>
      </c>
      <c r="V55" s="36">
        <f t="shared" si="66"/>
        <v>15.069557635454558</v>
      </c>
      <c r="W55" s="38">
        <f t="shared" si="67"/>
        <v>1158.0025709476449</v>
      </c>
      <c r="X55" s="38">
        <f t="shared" si="68"/>
        <v>17450.58648490009</v>
      </c>
      <c r="Y55" s="8"/>
      <c r="AC55" s="221">
        <f t="shared" si="56"/>
        <v>15.069557635454558</v>
      </c>
      <c r="AD55" s="222">
        <f t="shared" si="56"/>
        <v>1158.0025709476449</v>
      </c>
      <c r="AE55" s="237">
        <f t="shared" si="56"/>
        <v>17450.58648490009</v>
      </c>
      <c r="AF55" s="238">
        <f t="shared" si="57"/>
        <v>1.4471720754011479</v>
      </c>
      <c r="AG55" s="239">
        <f t="shared" si="62"/>
        <v>4.5499999999999999E-2</v>
      </c>
    </row>
    <row r="56" spans="1:33">
      <c r="A56" s="92"/>
      <c r="B56" s="93"/>
      <c r="C56" s="54">
        <f t="shared" si="63"/>
        <v>46937</v>
      </c>
      <c r="D56" s="54">
        <f t="shared" si="63"/>
        <v>3138.4679999999998</v>
      </c>
      <c r="E56" s="54">
        <f t="shared" si="63"/>
        <v>40779</v>
      </c>
      <c r="F56" s="54">
        <f t="shared" si="63"/>
        <v>53095</v>
      </c>
      <c r="G56" s="24">
        <f t="shared" si="63"/>
        <v>6.7000000000000004E-2</v>
      </c>
      <c r="H56" s="22">
        <f>1+(S56-1)*Y46</f>
        <v>1.4844364150179103</v>
      </c>
      <c r="I56" s="21">
        <f t="shared" si="69"/>
        <v>1072145</v>
      </c>
      <c r="J56" s="21">
        <f t="shared" si="69"/>
        <v>5876</v>
      </c>
      <c r="K56" s="11">
        <f t="shared" si="69"/>
        <v>4.5499999999999999E-2</v>
      </c>
      <c r="L56" s="47">
        <f t="shared" si="59"/>
        <v>4.3778593380559533E-2</v>
      </c>
      <c r="M56" s="47">
        <f t="shared" si="52"/>
        <v>0.95622140661944044</v>
      </c>
      <c r="N56" s="47">
        <f t="shared" si="60"/>
        <v>4.186202814217916E-2</v>
      </c>
      <c r="O56" s="48">
        <f t="shared" si="53"/>
        <v>71431359210.326477</v>
      </c>
      <c r="P56" s="3">
        <f t="shared" si="54"/>
        <v>4560930.4463222502</v>
      </c>
      <c r="Q56" s="49">
        <f t="shared" si="61"/>
        <v>15661.576086503541</v>
      </c>
      <c r="R56" s="49">
        <f t="shared" si="55"/>
        <v>15436.090259422243</v>
      </c>
      <c r="S56" s="7">
        <v>14</v>
      </c>
      <c r="T56" s="10">
        <f t="shared" si="65"/>
        <v>7.5931232091690559E-2</v>
      </c>
      <c r="U56" s="10">
        <f t="shared" si="65"/>
        <v>0.93355209187858901</v>
      </c>
      <c r="V56" s="36">
        <f t="shared" si="66"/>
        <v>16.228754376643369</v>
      </c>
      <c r="W56" s="38">
        <f t="shared" si="67"/>
        <v>1102.5778756730174</v>
      </c>
      <c r="X56" s="38">
        <f t="shared" si="68"/>
        <v>17893.465525418629</v>
      </c>
      <c r="Y56" s="8"/>
      <c r="AC56" s="221">
        <f>+V56</f>
        <v>16.228754376643369</v>
      </c>
      <c r="AD56" s="222">
        <f t="shared" si="56"/>
        <v>1102.5778756730174</v>
      </c>
      <c r="AE56" s="237">
        <f t="shared" si="56"/>
        <v>17893.465525418629</v>
      </c>
      <c r="AF56" s="238">
        <f t="shared" si="57"/>
        <v>1.4844364150179103</v>
      </c>
      <c r="AG56" s="239">
        <f t="shared" si="62"/>
        <v>4.5499999999999999E-2</v>
      </c>
    </row>
    <row r="57" spans="1:33">
      <c r="A57" s="92"/>
      <c r="B57" s="93"/>
      <c r="C57" s="54">
        <f t="shared" si="63"/>
        <v>46937</v>
      </c>
      <c r="D57" s="54">
        <f t="shared" si="63"/>
        <v>3138.4679999999998</v>
      </c>
      <c r="E57" s="54">
        <f t="shared" si="63"/>
        <v>40779</v>
      </c>
      <c r="F57" s="54">
        <f t="shared" si="63"/>
        <v>53095</v>
      </c>
      <c r="G57" s="24">
        <f t="shared" si="63"/>
        <v>6.7000000000000004E-2</v>
      </c>
      <c r="H57" s="22">
        <f>1+(S57-1)*Y46</f>
        <v>1.5217007546346726</v>
      </c>
      <c r="I57" s="21">
        <f t="shared" si="69"/>
        <v>1072145</v>
      </c>
      <c r="J57" s="21">
        <f t="shared" si="69"/>
        <v>5876</v>
      </c>
      <c r="K57" s="11">
        <f t="shared" si="69"/>
        <v>4.5499999999999999E-2</v>
      </c>
      <c r="L57" s="47">
        <f t="shared" si="59"/>
        <v>4.3778593380559533E-2</v>
      </c>
      <c r="M57" s="47">
        <f t="shared" si="52"/>
        <v>0.95622140661944044</v>
      </c>
      <c r="N57" s="47">
        <f t="shared" si="60"/>
        <v>4.186202814217916E-2</v>
      </c>
      <c r="O57" s="48">
        <f t="shared" si="53"/>
        <v>73224526234.505432</v>
      </c>
      <c r="P57" s="3">
        <f t="shared" si="54"/>
        <v>4560930.4463222502</v>
      </c>
      <c r="Q57" s="49">
        <f t="shared" si="61"/>
        <v>16054.73424694532</v>
      </c>
      <c r="R57" s="49">
        <f t="shared" si="55"/>
        <v>15817.871028155425</v>
      </c>
      <c r="S57" s="3">
        <v>15</v>
      </c>
      <c r="T57" s="10">
        <f t="shared" si="65"/>
        <v>7.5931232091690559E-2</v>
      </c>
      <c r="U57" s="10">
        <f t="shared" si="65"/>
        <v>0.93355209187858901</v>
      </c>
      <c r="V57" s="36">
        <f t="shared" si="66"/>
        <v>17.387951117832181</v>
      </c>
      <c r="W57" s="38">
        <f t="shared" si="67"/>
        <v>1054.5247352103618</v>
      </c>
      <c r="X57" s="38">
        <f t="shared" si="68"/>
        <v>18336.024548382695</v>
      </c>
      <c r="Y57" s="8"/>
      <c r="AC57" s="221">
        <f>+V57</f>
        <v>17.387951117832181</v>
      </c>
      <c r="AD57" s="222">
        <f t="shared" ref="AD57" si="70">+W57</f>
        <v>1054.5247352103618</v>
      </c>
      <c r="AE57" s="237">
        <f t="shared" ref="AE57" si="71">+X57</f>
        <v>18336.024548382695</v>
      </c>
      <c r="AF57" s="238">
        <f t="shared" ref="AF57" si="72">+H57</f>
        <v>1.5217007546346726</v>
      </c>
      <c r="AG57" s="239">
        <f t="shared" si="62"/>
        <v>4.5499999999999999E-2</v>
      </c>
    </row>
    <row r="58" spans="1:33">
      <c r="A58" s="333" t="s">
        <v>63</v>
      </c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4"/>
      <c r="P58" s="334"/>
      <c r="Q58" s="334"/>
      <c r="R58" s="334"/>
      <c r="S58" s="334"/>
      <c r="T58" s="334"/>
      <c r="U58" s="334"/>
      <c r="V58" s="334"/>
      <c r="W58" s="334"/>
      <c r="X58" s="334"/>
      <c r="Y58" s="335"/>
      <c r="AC58" s="317" t="s">
        <v>63</v>
      </c>
      <c r="AD58" s="317"/>
      <c r="AE58" s="317"/>
      <c r="AF58" s="317"/>
      <c r="AG58" s="317"/>
    </row>
    <row r="59" spans="1:33" ht="24">
      <c r="A59" s="159" t="s">
        <v>27</v>
      </c>
      <c r="B59" s="158" t="s">
        <v>63</v>
      </c>
      <c r="C59" s="16">
        <v>10260</v>
      </c>
      <c r="D59" s="44">
        <v>1402.3920000000001</v>
      </c>
      <c r="E59" s="44">
        <v>7508</v>
      </c>
      <c r="F59" s="44">
        <v>13012</v>
      </c>
      <c r="G59" s="45">
        <v>0.13700000000000001</v>
      </c>
      <c r="H59" s="31">
        <v>1.1559999999999999</v>
      </c>
      <c r="I59" s="44">
        <v>130152</v>
      </c>
      <c r="J59" s="44">
        <v>970</v>
      </c>
      <c r="K59" s="46">
        <f>K46</f>
        <v>4.5499999999999999E-2</v>
      </c>
      <c r="L59" s="47">
        <f t="shared" ref="L59:L70" si="73">C59/I59</f>
        <v>7.8830905402913515E-2</v>
      </c>
      <c r="M59" s="47">
        <f t="shared" ref="M59:M70" si="74">1-L59</f>
        <v>0.92116909459708651</v>
      </c>
      <c r="N59" s="47">
        <f t="shared" ref="N59:N70" si="75">L59*M59</f>
        <v>7.2616593756270414E-2</v>
      </c>
      <c r="O59" s="48">
        <f t="shared" ref="O59:O70" si="76">(I59^2)*(N59*H59)</f>
        <v>1421986259.5199997</v>
      </c>
      <c r="P59" s="3">
        <f t="shared" ref="P59:P70" si="77">(K59^2)*(C59^2)</f>
        <v>217930.24890000001</v>
      </c>
      <c r="Q59" s="49">
        <f>O59/P59</f>
        <v>6524.960471056479</v>
      </c>
      <c r="R59" s="49">
        <f t="shared" ref="R59:R70" si="78">Q59/(1+(Q59/I59))</f>
        <v>6213.4587446344494</v>
      </c>
      <c r="S59" s="15">
        <v>10.104167</v>
      </c>
      <c r="T59" s="15">
        <v>7.5931232091690559E-2</v>
      </c>
      <c r="U59" s="15">
        <v>0.93355209187858901</v>
      </c>
      <c r="V59" s="15">
        <f>S59/((1-T59)*U59)</f>
        <v>11.712717458827537</v>
      </c>
      <c r="W59" s="37">
        <f>R59/S59</f>
        <v>614.94022660496898</v>
      </c>
      <c r="X59" s="37">
        <f>V59*W59</f>
        <v>7202.6211282913819</v>
      </c>
      <c r="Y59" s="33">
        <f>(H59-1)/(S59-1)</f>
        <v>1.7135010814278772E-2</v>
      </c>
      <c r="AC59" s="221">
        <f>+V59</f>
        <v>11.712717458827537</v>
      </c>
      <c r="AD59" s="222">
        <f t="shared" ref="AC59:AE69" si="79">+W59</f>
        <v>614.94022660496898</v>
      </c>
      <c r="AE59" s="237">
        <f t="shared" si="79"/>
        <v>7202.6211282913819</v>
      </c>
      <c r="AF59" s="238">
        <f t="shared" ref="AF59:AF69" si="80">+H59</f>
        <v>1.1559999999999999</v>
      </c>
      <c r="AG59" s="239">
        <f>+K59</f>
        <v>4.5499999999999999E-2</v>
      </c>
    </row>
    <row r="60" spans="1:33">
      <c r="A60" s="92"/>
      <c r="B60" s="93"/>
      <c r="C60" s="54">
        <f>C59</f>
        <v>10260</v>
      </c>
      <c r="D60" s="54">
        <f t="shared" ref="D60" si="81">D59</f>
        <v>1402.3920000000001</v>
      </c>
      <c r="E60" s="54">
        <f>E59</f>
        <v>7508</v>
      </c>
      <c r="F60" s="54">
        <f>F59</f>
        <v>13012</v>
      </c>
      <c r="G60" s="24">
        <f>G59</f>
        <v>0.13700000000000001</v>
      </c>
      <c r="H60" s="22">
        <f>1+(S60-1)*Y59</f>
        <v>1.068540043257115</v>
      </c>
      <c r="I60" s="21">
        <f>I59</f>
        <v>130152</v>
      </c>
      <c r="J60" s="21">
        <f>J59</f>
        <v>970</v>
      </c>
      <c r="K60" s="11">
        <f>K59</f>
        <v>4.5499999999999999E-2</v>
      </c>
      <c r="L60" s="47">
        <f t="shared" si="73"/>
        <v>7.8830905402913515E-2</v>
      </c>
      <c r="M60" s="47">
        <f t="shared" si="74"/>
        <v>0.92116909459708651</v>
      </c>
      <c r="N60" s="47">
        <f t="shared" si="75"/>
        <v>7.2616593756270414E-2</v>
      </c>
      <c r="O60" s="48">
        <f t="shared" si="76"/>
        <v>1314402473.4070277</v>
      </c>
      <c r="P60" s="3">
        <f t="shared" si="77"/>
        <v>217930.24890000001</v>
      </c>
      <c r="Q60" s="49">
        <f t="shared" ref="Q60:Q70" si="82">O60/P60</f>
        <v>6031.2989134893232</v>
      </c>
      <c r="R60" s="49">
        <f t="shared" si="78"/>
        <v>5764.1841727385809</v>
      </c>
      <c r="S60" s="7">
        <v>5</v>
      </c>
      <c r="T60" s="10">
        <f>T59</f>
        <v>7.5931232091690559E-2</v>
      </c>
      <c r="U60" s="10">
        <f>U59</f>
        <v>0.93355209187858901</v>
      </c>
      <c r="V60" s="36">
        <f t="shared" ref="V60:V70" si="83">S60/((1-T60)*U60)</f>
        <v>5.7959837059440611</v>
      </c>
      <c r="W60" s="38">
        <f t="shared" ref="W60:W70" si="84">R60/S60</f>
        <v>1152.8368345477161</v>
      </c>
      <c r="X60" s="38">
        <f>V60*W60</f>
        <v>6681.823508650692</v>
      </c>
      <c r="Y60" s="8"/>
      <c r="AC60" s="221">
        <f t="shared" si="79"/>
        <v>5.7959837059440611</v>
      </c>
      <c r="AD60" s="222">
        <f t="shared" si="79"/>
        <v>1152.8368345477161</v>
      </c>
      <c r="AE60" s="237">
        <f t="shared" si="79"/>
        <v>6681.823508650692</v>
      </c>
      <c r="AF60" s="238">
        <f t="shared" si="80"/>
        <v>1.068540043257115</v>
      </c>
      <c r="AG60" s="239">
        <f t="shared" ref="AG60:AG70" si="85">+K60</f>
        <v>4.5499999999999999E-2</v>
      </c>
    </row>
    <row r="61" spans="1:33">
      <c r="A61" s="92"/>
      <c r="B61" s="93"/>
      <c r="C61" s="54">
        <f t="shared" ref="C61:G70" si="86">C60</f>
        <v>10260</v>
      </c>
      <c r="D61" s="54">
        <f t="shared" si="86"/>
        <v>1402.3920000000001</v>
      </c>
      <c r="E61" s="54">
        <f t="shared" si="86"/>
        <v>7508</v>
      </c>
      <c r="F61" s="54">
        <f t="shared" si="86"/>
        <v>13012</v>
      </c>
      <c r="G61" s="24">
        <f t="shared" si="86"/>
        <v>0.13700000000000001</v>
      </c>
      <c r="H61" s="22">
        <f>1+(S61-1)*Y59</f>
        <v>1.0856750540713938</v>
      </c>
      <c r="I61" s="21">
        <f>I60</f>
        <v>130152</v>
      </c>
      <c r="J61" s="21">
        <f t="shared" ref="J61:K61" si="87">J60</f>
        <v>970</v>
      </c>
      <c r="K61" s="11">
        <f t="shared" si="87"/>
        <v>4.5499999999999999E-2</v>
      </c>
      <c r="L61" s="47">
        <f t="shared" si="73"/>
        <v>7.8830905402913515E-2</v>
      </c>
      <c r="M61" s="47">
        <f t="shared" si="74"/>
        <v>0.92116909459708651</v>
      </c>
      <c r="N61" s="47">
        <f t="shared" si="75"/>
        <v>7.2616593756270414E-2</v>
      </c>
      <c r="O61" s="48">
        <f t="shared" si="76"/>
        <v>1335480111.7587845</v>
      </c>
      <c r="P61" s="3">
        <f t="shared" si="77"/>
        <v>217930.24890000001</v>
      </c>
      <c r="Q61" s="49">
        <f t="shared" si="82"/>
        <v>6128.0162735535905</v>
      </c>
      <c r="R61" s="49">
        <f t="shared" si="78"/>
        <v>5852.4616876665532</v>
      </c>
      <c r="S61" s="7">
        <v>6</v>
      </c>
      <c r="T61" s="10">
        <f t="shared" ref="T61:U70" si="88">T60</f>
        <v>7.5931232091690559E-2</v>
      </c>
      <c r="U61" s="10">
        <f t="shared" si="88"/>
        <v>0.93355209187858901</v>
      </c>
      <c r="V61" s="36">
        <f t="shared" si="83"/>
        <v>6.9551804471328724</v>
      </c>
      <c r="W61" s="38">
        <f t="shared" si="84"/>
        <v>975.41028127775883</v>
      </c>
      <c r="X61" s="38">
        <f t="shared" ref="X61:X70" si="89">V61*W61</f>
        <v>6784.1545162754437</v>
      </c>
      <c r="Y61" s="8"/>
      <c r="AC61" s="221">
        <f t="shared" si="79"/>
        <v>6.9551804471328724</v>
      </c>
      <c r="AD61" s="222">
        <f t="shared" si="79"/>
        <v>975.41028127775883</v>
      </c>
      <c r="AE61" s="237">
        <f t="shared" si="79"/>
        <v>6784.1545162754437</v>
      </c>
      <c r="AF61" s="238">
        <f t="shared" si="80"/>
        <v>1.0856750540713938</v>
      </c>
      <c r="AG61" s="239">
        <f t="shared" si="85"/>
        <v>4.5499999999999999E-2</v>
      </c>
    </row>
    <row r="62" spans="1:33">
      <c r="A62" s="92"/>
      <c r="B62" s="93"/>
      <c r="C62" s="54">
        <f t="shared" si="86"/>
        <v>10260</v>
      </c>
      <c r="D62" s="54">
        <f t="shared" si="86"/>
        <v>1402.3920000000001</v>
      </c>
      <c r="E62" s="54">
        <f t="shared" si="86"/>
        <v>7508</v>
      </c>
      <c r="F62" s="54">
        <f t="shared" si="86"/>
        <v>13012</v>
      </c>
      <c r="G62" s="24">
        <f t="shared" si="86"/>
        <v>0.13700000000000001</v>
      </c>
      <c r="H62" s="22">
        <f>1+(S62-1)*Y59</f>
        <v>1.1028100648856727</v>
      </c>
      <c r="I62" s="21">
        <f t="shared" ref="I62:K70" si="90">I61</f>
        <v>130152</v>
      </c>
      <c r="J62" s="21">
        <f t="shared" si="90"/>
        <v>970</v>
      </c>
      <c r="K62" s="11">
        <f t="shared" si="90"/>
        <v>4.5499999999999999E-2</v>
      </c>
      <c r="L62" s="47">
        <f t="shared" si="73"/>
        <v>7.8830905402913515E-2</v>
      </c>
      <c r="M62" s="47">
        <f t="shared" si="74"/>
        <v>0.92116909459708651</v>
      </c>
      <c r="N62" s="47">
        <f t="shared" si="75"/>
        <v>7.2616593756270414E-2</v>
      </c>
      <c r="O62" s="48">
        <f t="shared" si="76"/>
        <v>1356557750.1105416</v>
      </c>
      <c r="P62" s="3">
        <f t="shared" si="77"/>
        <v>217930.24890000001</v>
      </c>
      <c r="Q62" s="49">
        <f t="shared" si="82"/>
        <v>6224.7336336178596</v>
      </c>
      <c r="R62" s="49">
        <f t="shared" si="78"/>
        <v>5940.6139910871207</v>
      </c>
      <c r="S62" s="7">
        <v>7</v>
      </c>
      <c r="T62" s="10">
        <f t="shared" si="88"/>
        <v>7.5931232091690559E-2</v>
      </c>
      <c r="U62" s="10">
        <f t="shared" si="88"/>
        <v>0.93355209187858901</v>
      </c>
      <c r="V62" s="36">
        <f t="shared" si="83"/>
        <v>8.1143771883216846</v>
      </c>
      <c r="W62" s="38">
        <f t="shared" si="84"/>
        <v>848.65914158387443</v>
      </c>
      <c r="X62" s="38">
        <f t="shared" si="89"/>
        <v>6886.3403791288538</v>
      </c>
      <c r="Y62" s="8"/>
      <c r="AC62" s="221">
        <f t="shared" si="79"/>
        <v>8.1143771883216846</v>
      </c>
      <c r="AD62" s="222">
        <f t="shared" si="79"/>
        <v>848.65914158387443</v>
      </c>
      <c r="AE62" s="237">
        <f t="shared" si="79"/>
        <v>6886.3403791288538</v>
      </c>
      <c r="AF62" s="238">
        <f t="shared" si="80"/>
        <v>1.1028100648856727</v>
      </c>
      <c r="AG62" s="239">
        <f t="shared" si="85"/>
        <v>4.5499999999999999E-2</v>
      </c>
    </row>
    <row r="63" spans="1:33">
      <c r="A63" s="92"/>
      <c r="B63" s="93"/>
      <c r="C63" s="54">
        <f t="shared" si="86"/>
        <v>10260</v>
      </c>
      <c r="D63" s="54">
        <f t="shared" si="86"/>
        <v>1402.3920000000001</v>
      </c>
      <c r="E63" s="54">
        <f t="shared" si="86"/>
        <v>7508</v>
      </c>
      <c r="F63" s="54">
        <f t="shared" si="86"/>
        <v>13012</v>
      </c>
      <c r="G63" s="24">
        <f t="shared" si="86"/>
        <v>0.13700000000000001</v>
      </c>
      <c r="H63" s="22">
        <f>1+(S63-1)*Y59</f>
        <v>1.1199450756999514</v>
      </c>
      <c r="I63" s="21">
        <f t="shared" si="90"/>
        <v>130152</v>
      </c>
      <c r="J63" s="21">
        <f t="shared" si="90"/>
        <v>970</v>
      </c>
      <c r="K63" s="11">
        <f t="shared" si="90"/>
        <v>4.5499999999999999E-2</v>
      </c>
      <c r="L63" s="47">
        <f t="shared" si="73"/>
        <v>7.8830905402913515E-2</v>
      </c>
      <c r="M63" s="47">
        <f t="shared" si="74"/>
        <v>0.92116909459708651</v>
      </c>
      <c r="N63" s="47">
        <f t="shared" si="75"/>
        <v>7.2616593756270414E-2</v>
      </c>
      <c r="O63" s="48">
        <f t="shared" si="76"/>
        <v>1377635388.4622984</v>
      </c>
      <c r="P63" s="3">
        <f t="shared" si="77"/>
        <v>217930.24890000001</v>
      </c>
      <c r="Q63" s="49">
        <f t="shared" si="82"/>
        <v>6321.4509936821278</v>
      </c>
      <c r="R63" s="49">
        <f t="shared" si="78"/>
        <v>6028.6413492086785</v>
      </c>
      <c r="S63" s="7">
        <v>8</v>
      </c>
      <c r="T63" s="10">
        <f t="shared" si="88"/>
        <v>7.5931232091690559E-2</v>
      </c>
      <c r="U63" s="10">
        <f t="shared" si="88"/>
        <v>0.93355209187858901</v>
      </c>
      <c r="V63" s="36">
        <f t="shared" si="83"/>
        <v>9.2735739295104977</v>
      </c>
      <c r="W63" s="38">
        <f t="shared" si="84"/>
        <v>753.58016865108482</v>
      </c>
      <c r="X63" s="38">
        <f t="shared" si="89"/>
        <v>6988.3814057988238</v>
      </c>
      <c r="Y63" s="8"/>
      <c r="AC63" s="221">
        <f t="shared" si="79"/>
        <v>9.2735739295104977</v>
      </c>
      <c r="AD63" s="222">
        <f t="shared" si="79"/>
        <v>753.58016865108482</v>
      </c>
      <c r="AE63" s="237">
        <f t="shared" si="79"/>
        <v>6988.3814057988238</v>
      </c>
      <c r="AF63" s="238">
        <f t="shared" si="80"/>
        <v>1.1199450756999514</v>
      </c>
      <c r="AG63" s="239">
        <f t="shared" si="85"/>
        <v>4.5499999999999999E-2</v>
      </c>
    </row>
    <row r="64" spans="1:33">
      <c r="A64" s="92"/>
      <c r="B64" s="93"/>
      <c r="C64" s="54">
        <f t="shared" si="86"/>
        <v>10260</v>
      </c>
      <c r="D64" s="54">
        <f t="shared" si="86"/>
        <v>1402.3920000000001</v>
      </c>
      <c r="E64" s="54">
        <f t="shared" si="86"/>
        <v>7508</v>
      </c>
      <c r="F64" s="54">
        <f t="shared" si="86"/>
        <v>13012</v>
      </c>
      <c r="G64" s="24">
        <f t="shared" si="86"/>
        <v>0.13700000000000001</v>
      </c>
      <c r="H64" s="22">
        <f>1+(S64-1)*Y59</f>
        <v>1.1370800865142301</v>
      </c>
      <c r="I64" s="21">
        <f t="shared" si="90"/>
        <v>130152</v>
      </c>
      <c r="J64" s="21">
        <f t="shared" si="90"/>
        <v>970</v>
      </c>
      <c r="K64" s="11">
        <f t="shared" si="90"/>
        <v>4.5499999999999999E-2</v>
      </c>
      <c r="L64" s="47">
        <f t="shared" si="73"/>
        <v>7.8830905402913515E-2</v>
      </c>
      <c r="M64" s="47">
        <f t="shared" si="74"/>
        <v>0.92116909459708651</v>
      </c>
      <c r="N64" s="47">
        <f t="shared" si="75"/>
        <v>7.2616593756270414E-2</v>
      </c>
      <c r="O64" s="48">
        <f t="shared" si="76"/>
        <v>1398713026.8140554</v>
      </c>
      <c r="P64" s="3">
        <f t="shared" si="77"/>
        <v>217930.24890000001</v>
      </c>
      <c r="Q64" s="49">
        <f t="shared" si="82"/>
        <v>6418.168353746396</v>
      </c>
      <c r="R64" s="49">
        <f t="shared" si="78"/>
        <v>6116.54402748553</v>
      </c>
      <c r="S64" s="7">
        <v>9</v>
      </c>
      <c r="T64" s="10">
        <f t="shared" si="88"/>
        <v>7.5931232091690559E-2</v>
      </c>
      <c r="U64" s="10">
        <f t="shared" si="88"/>
        <v>0.93355209187858901</v>
      </c>
      <c r="V64" s="36">
        <f t="shared" si="83"/>
        <v>10.432770670699309</v>
      </c>
      <c r="W64" s="38">
        <f t="shared" si="84"/>
        <v>679.61600305394779</v>
      </c>
      <c r="X64" s="38">
        <f t="shared" si="89"/>
        <v>7090.2779039991183</v>
      </c>
      <c r="Y64" s="8"/>
      <c r="AC64" s="221">
        <f t="shared" si="79"/>
        <v>10.432770670699309</v>
      </c>
      <c r="AD64" s="222">
        <f t="shared" si="79"/>
        <v>679.61600305394779</v>
      </c>
      <c r="AE64" s="237">
        <f t="shared" si="79"/>
        <v>7090.2779039991183</v>
      </c>
      <c r="AF64" s="238">
        <f t="shared" si="80"/>
        <v>1.1370800865142301</v>
      </c>
      <c r="AG64" s="239">
        <f t="shared" si="85"/>
        <v>4.5499999999999999E-2</v>
      </c>
    </row>
    <row r="65" spans="1:33">
      <c r="A65" s="92"/>
      <c r="B65" s="93"/>
      <c r="C65" s="54">
        <f t="shared" si="86"/>
        <v>10260</v>
      </c>
      <c r="D65" s="54">
        <f t="shared" si="86"/>
        <v>1402.3920000000001</v>
      </c>
      <c r="E65" s="54">
        <f t="shared" si="86"/>
        <v>7508</v>
      </c>
      <c r="F65" s="54">
        <f t="shared" si="86"/>
        <v>13012</v>
      </c>
      <c r="G65" s="24">
        <f t="shared" si="86"/>
        <v>0.13700000000000001</v>
      </c>
      <c r="H65" s="22">
        <f>1+(S65-1)*Y59</f>
        <v>1.154215097328509</v>
      </c>
      <c r="I65" s="21">
        <f t="shared" si="90"/>
        <v>130152</v>
      </c>
      <c r="J65" s="21">
        <f t="shared" si="90"/>
        <v>970</v>
      </c>
      <c r="K65" s="11">
        <f t="shared" si="90"/>
        <v>4.5499999999999999E-2</v>
      </c>
      <c r="L65" s="47">
        <f t="shared" si="73"/>
        <v>7.8830905402913515E-2</v>
      </c>
      <c r="M65" s="47">
        <f t="shared" si="74"/>
        <v>0.92116909459708651</v>
      </c>
      <c r="N65" s="47">
        <f t="shared" si="75"/>
        <v>7.2616593756270414E-2</v>
      </c>
      <c r="O65" s="48">
        <f t="shared" si="76"/>
        <v>1419790665.1658125</v>
      </c>
      <c r="P65" s="3">
        <f t="shared" si="77"/>
        <v>217930.24890000001</v>
      </c>
      <c r="Q65" s="49">
        <f t="shared" si="82"/>
        <v>6514.885713810665</v>
      </c>
      <c r="R65" s="49">
        <f t="shared" si="78"/>
        <v>6204.3222906205419</v>
      </c>
      <c r="S65" s="7">
        <v>10</v>
      </c>
      <c r="T65" s="10">
        <f t="shared" si="88"/>
        <v>7.5931232091690559E-2</v>
      </c>
      <c r="U65" s="10">
        <f t="shared" si="88"/>
        <v>0.93355209187858901</v>
      </c>
      <c r="V65" s="36">
        <f t="shared" si="83"/>
        <v>11.591967411888122</v>
      </c>
      <c r="W65" s="38">
        <f t="shared" si="84"/>
        <v>620.43222906205415</v>
      </c>
      <c r="X65" s="38">
        <f t="shared" si="89"/>
        <v>7192.0301805724384</v>
      </c>
      <c r="Y65" s="8"/>
      <c r="AC65" s="221">
        <f t="shared" si="79"/>
        <v>11.591967411888122</v>
      </c>
      <c r="AD65" s="222">
        <f t="shared" si="79"/>
        <v>620.43222906205415</v>
      </c>
      <c r="AE65" s="237">
        <f t="shared" si="79"/>
        <v>7192.0301805724384</v>
      </c>
      <c r="AF65" s="238">
        <f t="shared" si="80"/>
        <v>1.154215097328509</v>
      </c>
      <c r="AG65" s="239">
        <f t="shared" si="85"/>
        <v>4.5499999999999999E-2</v>
      </c>
    </row>
    <row r="66" spans="1:33">
      <c r="A66" s="92"/>
      <c r="B66" s="93"/>
      <c r="C66" s="54">
        <f t="shared" si="86"/>
        <v>10260</v>
      </c>
      <c r="D66" s="54">
        <f t="shared" si="86"/>
        <v>1402.3920000000001</v>
      </c>
      <c r="E66" s="54">
        <f t="shared" si="86"/>
        <v>7508</v>
      </c>
      <c r="F66" s="54">
        <f t="shared" si="86"/>
        <v>13012</v>
      </c>
      <c r="G66" s="24">
        <f t="shared" si="86"/>
        <v>0.13700000000000001</v>
      </c>
      <c r="H66" s="22">
        <f>1+(S66-1)*Y59</f>
        <v>1.1713501081427877</v>
      </c>
      <c r="I66" s="21">
        <f t="shared" si="90"/>
        <v>130152</v>
      </c>
      <c r="J66" s="21">
        <f t="shared" si="90"/>
        <v>970</v>
      </c>
      <c r="K66" s="11">
        <f t="shared" si="90"/>
        <v>4.5499999999999999E-2</v>
      </c>
      <c r="L66" s="47">
        <f t="shared" si="73"/>
        <v>7.8830905402913515E-2</v>
      </c>
      <c r="M66" s="47">
        <f t="shared" si="74"/>
        <v>0.92116909459708651</v>
      </c>
      <c r="N66" s="47">
        <f t="shared" si="75"/>
        <v>7.2616593756270414E-2</v>
      </c>
      <c r="O66" s="48">
        <f t="shared" si="76"/>
        <v>1440868303.5175693</v>
      </c>
      <c r="P66" s="3">
        <f t="shared" si="77"/>
        <v>217930.24890000001</v>
      </c>
      <c r="Q66" s="49">
        <f t="shared" si="82"/>
        <v>6611.6030738749332</v>
      </c>
      <c r="R66" s="49">
        <f t="shared" si="78"/>
        <v>6291.9764025678014</v>
      </c>
      <c r="S66" s="7">
        <v>11</v>
      </c>
      <c r="T66" s="10">
        <f t="shared" si="88"/>
        <v>7.5931232091690559E-2</v>
      </c>
      <c r="U66" s="10">
        <f t="shared" si="88"/>
        <v>0.93355209187858901</v>
      </c>
      <c r="V66" s="36">
        <f t="shared" si="83"/>
        <v>12.751164153076934</v>
      </c>
      <c r="W66" s="38">
        <f t="shared" si="84"/>
        <v>571.997854778891</v>
      </c>
      <c r="X66" s="38">
        <f t="shared" si="89"/>
        <v>7293.6385414935003</v>
      </c>
      <c r="Y66" s="8"/>
      <c r="AC66" s="221">
        <f t="shared" si="79"/>
        <v>12.751164153076934</v>
      </c>
      <c r="AD66" s="222">
        <f t="shared" si="79"/>
        <v>571.997854778891</v>
      </c>
      <c r="AE66" s="237">
        <f t="shared" si="79"/>
        <v>7293.6385414935003</v>
      </c>
      <c r="AF66" s="238">
        <f t="shared" si="80"/>
        <v>1.1713501081427877</v>
      </c>
      <c r="AG66" s="239">
        <f t="shared" si="85"/>
        <v>4.5499999999999999E-2</v>
      </c>
    </row>
    <row r="67" spans="1:33">
      <c r="A67" s="92"/>
      <c r="B67" s="93"/>
      <c r="C67" s="54">
        <f t="shared" si="86"/>
        <v>10260</v>
      </c>
      <c r="D67" s="54">
        <f t="shared" si="86"/>
        <v>1402.3920000000001</v>
      </c>
      <c r="E67" s="54">
        <f t="shared" si="86"/>
        <v>7508</v>
      </c>
      <c r="F67" s="54">
        <f t="shared" si="86"/>
        <v>13012</v>
      </c>
      <c r="G67" s="24">
        <f t="shared" si="86"/>
        <v>0.13700000000000001</v>
      </c>
      <c r="H67" s="22">
        <f>1+(12-1)*Y59</f>
        <v>1.1884851189570664</v>
      </c>
      <c r="I67" s="21">
        <f t="shared" si="90"/>
        <v>130152</v>
      </c>
      <c r="J67" s="21">
        <f t="shared" si="90"/>
        <v>970</v>
      </c>
      <c r="K67" s="11">
        <f t="shared" si="90"/>
        <v>4.5499999999999999E-2</v>
      </c>
      <c r="L67" s="47">
        <f t="shared" si="73"/>
        <v>7.8830905402913515E-2</v>
      </c>
      <c r="M67" s="47">
        <f t="shared" si="74"/>
        <v>0.92116909459708651</v>
      </c>
      <c r="N67" s="47">
        <f t="shared" si="75"/>
        <v>7.2616593756270414E-2</v>
      </c>
      <c r="O67" s="48">
        <f t="shared" si="76"/>
        <v>1461945941.8693261</v>
      </c>
      <c r="P67" s="3">
        <f t="shared" si="77"/>
        <v>217930.24890000001</v>
      </c>
      <c r="Q67" s="49">
        <f t="shared" si="82"/>
        <v>6708.3204339392014</v>
      </c>
      <c r="R67" s="49">
        <f t="shared" si="78"/>
        <v>6379.5066265352652</v>
      </c>
      <c r="S67" s="7">
        <v>12</v>
      </c>
      <c r="T67" s="10">
        <f t="shared" si="88"/>
        <v>7.5931232091690559E-2</v>
      </c>
      <c r="U67" s="10">
        <f t="shared" si="88"/>
        <v>0.93355209187858901</v>
      </c>
      <c r="V67" s="36">
        <f t="shared" si="83"/>
        <v>13.910360894265745</v>
      </c>
      <c r="W67" s="38">
        <f t="shared" si="84"/>
        <v>531.62555221127207</v>
      </c>
      <c r="X67" s="38">
        <f t="shared" si="89"/>
        <v>7395.1032918721112</v>
      </c>
      <c r="Y67" s="8"/>
      <c r="AC67" s="221">
        <f t="shared" si="79"/>
        <v>13.910360894265745</v>
      </c>
      <c r="AD67" s="222">
        <f t="shared" si="79"/>
        <v>531.62555221127207</v>
      </c>
      <c r="AE67" s="237">
        <f t="shared" si="79"/>
        <v>7395.1032918721112</v>
      </c>
      <c r="AF67" s="238">
        <f t="shared" si="80"/>
        <v>1.1884851189570664</v>
      </c>
      <c r="AG67" s="239">
        <f t="shared" si="85"/>
        <v>4.5499999999999999E-2</v>
      </c>
    </row>
    <row r="68" spans="1:33">
      <c r="A68" s="92"/>
      <c r="B68" s="93"/>
      <c r="C68" s="54">
        <f t="shared" si="86"/>
        <v>10260</v>
      </c>
      <c r="D68" s="54">
        <f t="shared" si="86"/>
        <v>1402.3920000000001</v>
      </c>
      <c r="E68" s="54">
        <f t="shared" si="86"/>
        <v>7508</v>
      </c>
      <c r="F68" s="54">
        <f t="shared" si="86"/>
        <v>13012</v>
      </c>
      <c r="G68" s="24">
        <f t="shared" si="86"/>
        <v>0.13700000000000001</v>
      </c>
      <c r="H68" s="22">
        <f>1+(S68-1)*Y59</f>
        <v>1.2056201297713454</v>
      </c>
      <c r="I68" s="21">
        <f t="shared" si="90"/>
        <v>130152</v>
      </c>
      <c r="J68" s="21">
        <f t="shared" si="90"/>
        <v>970</v>
      </c>
      <c r="K68" s="11">
        <f t="shared" si="90"/>
        <v>4.5499999999999999E-2</v>
      </c>
      <c r="L68" s="47">
        <f t="shared" si="73"/>
        <v>7.8830905402913515E-2</v>
      </c>
      <c r="M68" s="47">
        <f t="shared" si="74"/>
        <v>0.92116909459708651</v>
      </c>
      <c r="N68" s="47">
        <f t="shared" si="75"/>
        <v>7.2616593756270414E-2</v>
      </c>
      <c r="O68" s="48">
        <f t="shared" si="76"/>
        <v>1483023580.2210834</v>
      </c>
      <c r="P68" s="3">
        <f t="shared" si="77"/>
        <v>217930.24890000001</v>
      </c>
      <c r="Q68" s="49">
        <f t="shared" si="82"/>
        <v>6805.0377940034714</v>
      </c>
      <c r="R68" s="49">
        <f t="shared" si="78"/>
        <v>6466.9132249873965</v>
      </c>
      <c r="S68" s="7">
        <v>13</v>
      </c>
      <c r="T68" s="10">
        <f t="shared" si="88"/>
        <v>7.5931232091690559E-2</v>
      </c>
      <c r="U68" s="10">
        <f t="shared" si="88"/>
        <v>0.93355209187858901</v>
      </c>
      <c r="V68" s="36">
        <f t="shared" si="83"/>
        <v>15.069557635454558</v>
      </c>
      <c r="W68" s="38">
        <f t="shared" si="84"/>
        <v>497.45486346056896</v>
      </c>
      <c r="X68" s="38">
        <f t="shared" si="89"/>
        <v>7496.4247359562214</v>
      </c>
      <c r="Y68" s="8"/>
      <c r="AC68" s="221">
        <f t="shared" si="79"/>
        <v>15.069557635454558</v>
      </c>
      <c r="AD68" s="222">
        <f t="shared" si="79"/>
        <v>497.45486346056896</v>
      </c>
      <c r="AE68" s="237">
        <f t="shared" si="79"/>
        <v>7496.4247359562214</v>
      </c>
      <c r="AF68" s="238">
        <f t="shared" si="80"/>
        <v>1.2056201297713454</v>
      </c>
      <c r="AG68" s="239">
        <f t="shared" si="85"/>
        <v>4.5499999999999999E-2</v>
      </c>
    </row>
    <row r="69" spans="1:33">
      <c r="A69" s="92"/>
      <c r="B69" s="93"/>
      <c r="C69" s="54">
        <f t="shared" si="86"/>
        <v>10260</v>
      </c>
      <c r="D69" s="54">
        <f t="shared" si="86"/>
        <v>1402.3920000000001</v>
      </c>
      <c r="E69" s="54">
        <f t="shared" si="86"/>
        <v>7508</v>
      </c>
      <c r="F69" s="54">
        <f t="shared" si="86"/>
        <v>13012</v>
      </c>
      <c r="G69" s="24">
        <f t="shared" si="86"/>
        <v>0.13700000000000001</v>
      </c>
      <c r="H69" s="22">
        <f>1+(S69-1)*Y59</f>
        <v>1.2227551405856241</v>
      </c>
      <c r="I69" s="21">
        <f t="shared" si="90"/>
        <v>130152</v>
      </c>
      <c r="J69" s="21">
        <f t="shared" si="90"/>
        <v>970</v>
      </c>
      <c r="K69" s="11">
        <f t="shared" si="90"/>
        <v>4.5499999999999999E-2</v>
      </c>
      <c r="L69" s="47">
        <f t="shared" si="73"/>
        <v>7.8830905402913515E-2</v>
      </c>
      <c r="M69" s="47">
        <f t="shared" si="74"/>
        <v>0.92116909459708651</v>
      </c>
      <c r="N69" s="47">
        <f t="shared" si="75"/>
        <v>7.2616593756270414E-2</v>
      </c>
      <c r="O69" s="48">
        <f t="shared" si="76"/>
        <v>1504101218.5728402</v>
      </c>
      <c r="P69" s="3">
        <f t="shared" si="77"/>
        <v>217930.24890000001</v>
      </c>
      <c r="Q69" s="49">
        <f t="shared" si="82"/>
        <v>6901.7551540677387</v>
      </c>
      <c r="R69" s="49">
        <f t="shared" si="78"/>
        <v>6554.1964596477783</v>
      </c>
      <c r="S69" s="7">
        <v>14</v>
      </c>
      <c r="T69" s="10">
        <f t="shared" si="88"/>
        <v>7.5931232091690559E-2</v>
      </c>
      <c r="U69" s="10">
        <f t="shared" si="88"/>
        <v>0.93355209187858901</v>
      </c>
      <c r="V69" s="36">
        <f t="shared" si="83"/>
        <v>16.228754376643369</v>
      </c>
      <c r="W69" s="38">
        <f t="shared" si="84"/>
        <v>468.15688997484131</v>
      </c>
      <c r="X69" s="38">
        <f t="shared" si="89"/>
        <v>7597.6031771349544</v>
      </c>
      <c r="Y69" s="8"/>
      <c r="AC69" s="221">
        <f>+V69</f>
        <v>16.228754376643369</v>
      </c>
      <c r="AD69" s="222">
        <f t="shared" si="79"/>
        <v>468.15688997484131</v>
      </c>
      <c r="AE69" s="237">
        <f t="shared" si="79"/>
        <v>7597.6031771349544</v>
      </c>
      <c r="AF69" s="238">
        <f t="shared" si="80"/>
        <v>1.2227551405856241</v>
      </c>
      <c r="AG69" s="239">
        <f t="shared" si="85"/>
        <v>4.5499999999999999E-2</v>
      </c>
    </row>
    <row r="70" spans="1:33">
      <c r="A70" s="92"/>
      <c r="B70" s="93"/>
      <c r="C70" s="54">
        <f t="shared" si="86"/>
        <v>10260</v>
      </c>
      <c r="D70" s="54">
        <f t="shared" si="86"/>
        <v>1402.3920000000001</v>
      </c>
      <c r="E70" s="54">
        <f t="shared" si="86"/>
        <v>7508</v>
      </c>
      <c r="F70" s="54">
        <f t="shared" si="86"/>
        <v>13012</v>
      </c>
      <c r="G70" s="24">
        <f t="shared" si="86"/>
        <v>0.13700000000000001</v>
      </c>
      <c r="H70" s="22">
        <f>1+(S70-1)*Y59</f>
        <v>1.2398901513999028</v>
      </c>
      <c r="I70" s="21">
        <f t="shared" si="90"/>
        <v>130152</v>
      </c>
      <c r="J70" s="21">
        <f t="shared" si="90"/>
        <v>970</v>
      </c>
      <c r="K70" s="11">
        <f t="shared" si="90"/>
        <v>4.5499999999999999E-2</v>
      </c>
      <c r="L70" s="47">
        <f t="shared" si="73"/>
        <v>7.8830905402913515E-2</v>
      </c>
      <c r="M70" s="47">
        <f t="shared" si="74"/>
        <v>0.92116909459708651</v>
      </c>
      <c r="N70" s="47">
        <f t="shared" si="75"/>
        <v>7.2616593756270414E-2</v>
      </c>
      <c r="O70" s="48">
        <f t="shared" si="76"/>
        <v>1525178856.924597</v>
      </c>
      <c r="P70" s="3">
        <f t="shared" si="77"/>
        <v>217930.24890000001</v>
      </c>
      <c r="Q70" s="49">
        <f t="shared" si="82"/>
        <v>6998.4725141320068</v>
      </c>
      <c r="R70" s="49">
        <f t="shared" si="78"/>
        <v>6641.3565915017416</v>
      </c>
      <c r="S70" s="3">
        <v>15</v>
      </c>
      <c r="T70" s="10">
        <f t="shared" si="88"/>
        <v>7.5931232091690559E-2</v>
      </c>
      <c r="U70" s="10">
        <f t="shared" si="88"/>
        <v>0.93355209187858901</v>
      </c>
      <c r="V70" s="36">
        <f t="shared" si="83"/>
        <v>17.387951117832181</v>
      </c>
      <c r="W70" s="38">
        <f t="shared" si="84"/>
        <v>442.75710610011612</v>
      </c>
      <c r="X70" s="38">
        <f t="shared" si="89"/>
        <v>7698.6389179416556</v>
      </c>
      <c r="Y70" s="8"/>
      <c r="AC70" s="221">
        <f>+V70</f>
        <v>17.387951117832181</v>
      </c>
      <c r="AD70" s="222">
        <f t="shared" ref="AD70" si="91">+W70</f>
        <v>442.75710610011612</v>
      </c>
      <c r="AE70" s="237">
        <f t="shared" ref="AE70" si="92">+X70</f>
        <v>7698.6389179416556</v>
      </c>
      <c r="AF70" s="238">
        <f t="shared" ref="AF70" si="93">+H70</f>
        <v>1.2398901513999028</v>
      </c>
      <c r="AG70" s="239">
        <f t="shared" si="85"/>
        <v>4.5499999999999999E-2</v>
      </c>
    </row>
    <row r="71" spans="1:33">
      <c r="A71" s="333" t="s">
        <v>64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5"/>
      <c r="AC71" s="317" t="s">
        <v>64</v>
      </c>
      <c r="AD71" s="317"/>
      <c r="AE71" s="317"/>
      <c r="AF71" s="317"/>
      <c r="AG71" s="317"/>
    </row>
    <row r="72" spans="1:33" ht="36">
      <c r="A72" s="159" t="s">
        <v>27</v>
      </c>
      <c r="B72" s="158" t="s">
        <v>64</v>
      </c>
      <c r="C72" s="16">
        <v>10132</v>
      </c>
      <c r="D72" s="44">
        <v>1434.115</v>
      </c>
      <c r="E72" s="44">
        <v>7318</v>
      </c>
      <c r="F72" s="44">
        <v>12946</v>
      </c>
      <c r="G72" s="45">
        <v>0.14199999999999999</v>
      </c>
      <c r="H72" s="45">
        <v>1.224</v>
      </c>
      <c r="I72" s="44">
        <v>102163</v>
      </c>
      <c r="J72" s="44">
        <v>706</v>
      </c>
      <c r="K72" s="46">
        <f>K59</f>
        <v>4.5499999999999999E-2</v>
      </c>
      <c r="L72" s="47">
        <f>C72/I72</f>
        <v>9.9174848036960542E-2</v>
      </c>
      <c r="M72" s="47">
        <f t="shared" ref="M72:M83" si="94">1-L72</f>
        <v>0.90082515196303947</v>
      </c>
      <c r="N72" s="47">
        <f>L72*M72</f>
        <v>8.9339197553806329E-2</v>
      </c>
      <c r="O72" s="48">
        <f>(I72^2)*(N72*H72)</f>
        <v>1141328704.608</v>
      </c>
      <c r="P72" s="3">
        <f>(K72^2)*(C72^2)</f>
        <v>212526.53203600002</v>
      </c>
      <c r="Q72" s="49">
        <f>O72/P72</f>
        <v>5370.2880937927766</v>
      </c>
      <c r="R72" s="49">
        <f>Q72/(1+(Q72/I72))</f>
        <v>5102.0921265572397</v>
      </c>
      <c r="S72" s="15">
        <v>9.2894740000000002</v>
      </c>
      <c r="T72" s="15">
        <v>7.5931232091690559E-2</v>
      </c>
      <c r="U72" s="15">
        <v>0.93355209187858901</v>
      </c>
      <c r="V72" s="15">
        <f>S72/((1-T72)*U72)</f>
        <v>10.7683279881582</v>
      </c>
      <c r="W72" s="37">
        <f>R72/S72</f>
        <v>549.2336946696056</v>
      </c>
      <c r="X72" s="37">
        <f>V72*W72</f>
        <v>5914.3285663502493</v>
      </c>
      <c r="Y72" s="33">
        <f>(H72-1)/(S72-1)</f>
        <v>2.7022221192804268E-2</v>
      </c>
      <c r="AC72" s="221">
        <f>+V72</f>
        <v>10.7683279881582</v>
      </c>
      <c r="AD72" s="222">
        <f t="shared" ref="AC72:AE82" si="95">+W72</f>
        <v>549.2336946696056</v>
      </c>
      <c r="AE72" s="222">
        <f t="shared" si="95"/>
        <v>5914.3285663502493</v>
      </c>
      <c r="AF72" s="238">
        <f t="shared" ref="AF72:AF82" si="96">+H72</f>
        <v>1.224</v>
      </c>
      <c r="AG72" s="239">
        <f>+K72</f>
        <v>4.5499999999999999E-2</v>
      </c>
    </row>
    <row r="73" spans="1:33">
      <c r="A73" s="92"/>
      <c r="B73" s="93"/>
      <c r="C73" s="54">
        <f>C72</f>
        <v>10132</v>
      </c>
      <c r="D73" s="54">
        <f t="shared" ref="D73" si="97">D72</f>
        <v>1434.115</v>
      </c>
      <c r="E73" s="54">
        <f>E72</f>
        <v>7318</v>
      </c>
      <c r="F73" s="54">
        <f>F72</f>
        <v>12946</v>
      </c>
      <c r="G73" s="24">
        <f>G72</f>
        <v>0.14199999999999999</v>
      </c>
      <c r="H73" s="22">
        <f>1+(S73-1)*$Y$72</f>
        <v>1.1080888847712171</v>
      </c>
      <c r="I73" s="21">
        <f>I72</f>
        <v>102163</v>
      </c>
      <c r="J73" s="21">
        <f>J72</f>
        <v>706</v>
      </c>
      <c r="K73" s="11">
        <f>K72</f>
        <v>4.5499999999999999E-2</v>
      </c>
      <c r="L73" s="47">
        <f t="shared" ref="L73:L83" si="98">C73/I73</f>
        <v>9.9174848036960542E-2</v>
      </c>
      <c r="M73" s="47">
        <f t="shared" si="94"/>
        <v>0.90082515196303947</v>
      </c>
      <c r="N73" s="47">
        <f t="shared" ref="N73:N83" si="99">L73*M73</f>
        <v>8.9339197553806329E-2</v>
      </c>
      <c r="O73" s="48">
        <f t="shared" ref="O73:O83" si="100">(I73^2)*(N73*H73)</f>
        <v>1033246447.2601771</v>
      </c>
      <c r="P73" s="3">
        <f t="shared" ref="P73:P83" si="101">(K73^2)*(C73^2)</f>
        <v>212526.53203600002</v>
      </c>
      <c r="Q73" s="49">
        <f t="shared" ref="Q73:Q83" si="102">O73/P73</f>
        <v>4861.7292032279283</v>
      </c>
      <c r="R73" s="49">
        <f t="shared" ref="R73:R83" si="103">Q73/(1+(Q73/I73))</f>
        <v>4640.8792088248929</v>
      </c>
      <c r="S73" s="7">
        <v>5</v>
      </c>
      <c r="T73" s="10">
        <f>T72</f>
        <v>7.5931232091690559E-2</v>
      </c>
      <c r="U73" s="10">
        <f>U72</f>
        <v>0.93355209187858901</v>
      </c>
      <c r="V73" s="36">
        <f t="shared" ref="V73:V82" si="104">S73/((1-T73)*U73)</f>
        <v>5.7959837059440611</v>
      </c>
      <c r="W73" s="38">
        <f>R73/S73</f>
        <v>928.1758417649786</v>
      </c>
      <c r="X73" s="38">
        <f>V73*W73</f>
        <v>5379.6920551207295</v>
      </c>
      <c r="Y73" s="8"/>
      <c r="AC73" s="221">
        <f t="shared" si="95"/>
        <v>5.7959837059440611</v>
      </c>
      <c r="AD73" s="222">
        <f t="shared" si="95"/>
        <v>928.1758417649786</v>
      </c>
      <c r="AE73" s="237">
        <f t="shared" si="95"/>
        <v>5379.6920551207295</v>
      </c>
      <c r="AF73" s="238">
        <f t="shared" si="96"/>
        <v>1.1080888847712171</v>
      </c>
      <c r="AG73" s="239">
        <f t="shared" ref="AG73:AG83" si="105">+K73</f>
        <v>4.5499999999999999E-2</v>
      </c>
    </row>
    <row r="74" spans="1:33">
      <c r="A74" s="92"/>
      <c r="B74" s="93"/>
      <c r="C74" s="54">
        <f t="shared" ref="C74:G83" si="106">C73</f>
        <v>10132</v>
      </c>
      <c r="D74" s="54">
        <f t="shared" si="106"/>
        <v>1434.115</v>
      </c>
      <c r="E74" s="54">
        <f t="shared" si="106"/>
        <v>7318</v>
      </c>
      <c r="F74" s="54">
        <f t="shared" si="106"/>
        <v>12946</v>
      </c>
      <c r="G74" s="24">
        <f t="shared" si="106"/>
        <v>0.14199999999999999</v>
      </c>
      <c r="H74" s="22">
        <f>1+(S74-1)*$Y$72</f>
        <v>1.1351111059640213</v>
      </c>
      <c r="I74" s="21">
        <f>I73</f>
        <v>102163</v>
      </c>
      <c r="J74" s="21">
        <f t="shared" ref="J74:K74" si="107">J73</f>
        <v>706</v>
      </c>
      <c r="K74" s="11">
        <f t="shared" si="107"/>
        <v>4.5499999999999999E-2</v>
      </c>
      <c r="L74" s="47">
        <f t="shared" si="98"/>
        <v>9.9174848036960542E-2</v>
      </c>
      <c r="M74" s="47">
        <f t="shared" si="94"/>
        <v>0.90082515196303947</v>
      </c>
      <c r="N74" s="47">
        <f t="shared" si="99"/>
        <v>8.9339197553806329E-2</v>
      </c>
      <c r="O74" s="48">
        <f t="shared" si="100"/>
        <v>1058443536.0752212</v>
      </c>
      <c r="P74" s="3">
        <f t="shared" si="101"/>
        <v>212526.53203600002</v>
      </c>
      <c r="Q74" s="49">
        <f t="shared" si="102"/>
        <v>4980.2889358582797</v>
      </c>
      <c r="R74" s="49">
        <f t="shared" si="103"/>
        <v>4748.7926085476538</v>
      </c>
      <c r="S74" s="7">
        <v>6</v>
      </c>
      <c r="T74" s="10">
        <f t="shared" ref="T74:U83" si="108">T73</f>
        <v>7.5931232091690559E-2</v>
      </c>
      <c r="U74" s="10">
        <f t="shared" si="108"/>
        <v>0.93355209187858901</v>
      </c>
      <c r="V74" s="36">
        <f t="shared" si="104"/>
        <v>6.9551804471328724</v>
      </c>
      <c r="W74" s="38">
        <f t="shared" ref="W74:W82" si="109">R74/S74</f>
        <v>791.46543475794226</v>
      </c>
      <c r="X74" s="38">
        <f t="shared" ref="X74:X82" si="110">V74*W74</f>
        <v>5504.784916409958</v>
      </c>
      <c r="Y74" s="8"/>
      <c r="AC74" s="221">
        <f t="shared" si="95"/>
        <v>6.9551804471328724</v>
      </c>
      <c r="AD74" s="222">
        <f t="shared" si="95"/>
        <v>791.46543475794226</v>
      </c>
      <c r="AE74" s="237">
        <f t="shared" si="95"/>
        <v>5504.784916409958</v>
      </c>
      <c r="AF74" s="238">
        <f t="shared" si="96"/>
        <v>1.1351111059640213</v>
      </c>
      <c r="AG74" s="239">
        <f t="shared" si="105"/>
        <v>4.5499999999999999E-2</v>
      </c>
    </row>
    <row r="75" spans="1:33">
      <c r="A75" s="92"/>
      <c r="B75" s="93"/>
      <c r="C75" s="54">
        <f t="shared" si="106"/>
        <v>10132</v>
      </c>
      <c r="D75" s="54">
        <f t="shared" si="106"/>
        <v>1434.115</v>
      </c>
      <c r="E75" s="54">
        <f t="shared" si="106"/>
        <v>7318</v>
      </c>
      <c r="F75" s="54">
        <f t="shared" si="106"/>
        <v>12946</v>
      </c>
      <c r="G75" s="24">
        <f t="shared" si="106"/>
        <v>0.14199999999999999</v>
      </c>
      <c r="H75" s="22">
        <f>1+(S75-1)*$Y$72</f>
        <v>1.1621333271568255</v>
      </c>
      <c r="I75" s="21">
        <f t="shared" ref="I75:K83" si="111">I74</f>
        <v>102163</v>
      </c>
      <c r="J75" s="21">
        <f t="shared" si="111"/>
        <v>706</v>
      </c>
      <c r="K75" s="11">
        <f t="shared" si="111"/>
        <v>4.5499999999999999E-2</v>
      </c>
      <c r="L75" s="47">
        <f t="shared" si="98"/>
        <v>9.9174848036960542E-2</v>
      </c>
      <c r="M75" s="47">
        <f t="shared" si="94"/>
        <v>0.90082515196303947</v>
      </c>
      <c r="N75" s="47">
        <f t="shared" si="99"/>
        <v>8.9339197553806329E-2</v>
      </c>
      <c r="O75" s="48">
        <f t="shared" si="100"/>
        <v>1083640624.8902652</v>
      </c>
      <c r="P75" s="3">
        <f t="shared" si="101"/>
        <v>212526.53203600002</v>
      </c>
      <c r="Q75" s="49">
        <f t="shared" si="102"/>
        <v>5098.848668488632</v>
      </c>
      <c r="R75" s="49">
        <f t="shared" si="103"/>
        <v>4856.4674484473808</v>
      </c>
      <c r="S75" s="7">
        <v>7</v>
      </c>
      <c r="T75" s="10">
        <f t="shared" si="108"/>
        <v>7.5931232091690559E-2</v>
      </c>
      <c r="U75" s="10">
        <f t="shared" si="108"/>
        <v>0.93355209187858901</v>
      </c>
      <c r="V75" s="36">
        <f t="shared" si="104"/>
        <v>8.1143771883216846</v>
      </c>
      <c r="W75" s="38">
        <f t="shared" si="109"/>
        <v>693.78106406391157</v>
      </c>
      <c r="X75" s="38">
        <f>V75*W75</f>
        <v>5629.6012399297497</v>
      </c>
      <c r="Y75" s="8"/>
      <c r="AC75" s="221">
        <f t="shared" si="95"/>
        <v>8.1143771883216846</v>
      </c>
      <c r="AD75" s="222">
        <f t="shared" si="95"/>
        <v>693.78106406391157</v>
      </c>
      <c r="AE75" s="237">
        <f t="shared" si="95"/>
        <v>5629.6012399297497</v>
      </c>
      <c r="AF75" s="238">
        <f t="shared" si="96"/>
        <v>1.1621333271568255</v>
      </c>
      <c r="AG75" s="239">
        <f t="shared" si="105"/>
        <v>4.5499999999999999E-2</v>
      </c>
    </row>
    <row r="76" spans="1:33">
      <c r="A76" s="92"/>
      <c r="B76" s="93"/>
      <c r="C76" s="54">
        <f t="shared" si="106"/>
        <v>10132</v>
      </c>
      <c r="D76" s="54">
        <f t="shared" si="106"/>
        <v>1434.115</v>
      </c>
      <c r="E76" s="54">
        <f t="shared" si="106"/>
        <v>7318</v>
      </c>
      <c r="F76" s="54">
        <f t="shared" si="106"/>
        <v>12946</v>
      </c>
      <c r="G76" s="24">
        <f t="shared" si="106"/>
        <v>0.14199999999999999</v>
      </c>
      <c r="H76" s="22">
        <f>1+(S76-1)*$Y$72</f>
        <v>1.1891555483496299</v>
      </c>
      <c r="I76" s="21">
        <f t="shared" si="111"/>
        <v>102163</v>
      </c>
      <c r="J76" s="21">
        <f t="shared" si="111"/>
        <v>706</v>
      </c>
      <c r="K76" s="11">
        <f t="shared" si="111"/>
        <v>4.5499999999999999E-2</v>
      </c>
      <c r="L76" s="47">
        <f t="shared" si="98"/>
        <v>9.9174848036960542E-2</v>
      </c>
      <c r="M76" s="47">
        <f t="shared" si="94"/>
        <v>0.90082515196303947</v>
      </c>
      <c r="N76" s="47">
        <f t="shared" si="99"/>
        <v>8.9339197553806329E-2</v>
      </c>
      <c r="O76" s="48">
        <f t="shared" si="100"/>
        <v>1108837713.7053096</v>
      </c>
      <c r="P76" s="3">
        <f t="shared" si="101"/>
        <v>212526.53203600002</v>
      </c>
      <c r="Q76" s="49">
        <f t="shared" si="102"/>
        <v>5217.4084011189852</v>
      </c>
      <c r="R76" s="49">
        <f t="shared" si="103"/>
        <v>4963.9045187125985</v>
      </c>
      <c r="S76" s="7">
        <v>8</v>
      </c>
      <c r="T76" s="10">
        <f t="shared" si="108"/>
        <v>7.5931232091690559E-2</v>
      </c>
      <c r="U76" s="10">
        <f t="shared" si="108"/>
        <v>0.93355209187858901</v>
      </c>
      <c r="V76" s="36">
        <f t="shared" si="104"/>
        <v>9.2735739295104977</v>
      </c>
      <c r="W76" s="38">
        <f t="shared" si="109"/>
        <v>620.48806483907481</v>
      </c>
      <c r="X76" s="38">
        <f t="shared" si="110"/>
        <v>5754.1419416640638</v>
      </c>
      <c r="Y76" s="8"/>
      <c r="AC76" s="221">
        <f t="shared" si="95"/>
        <v>9.2735739295104977</v>
      </c>
      <c r="AD76" s="222">
        <f t="shared" si="95"/>
        <v>620.48806483907481</v>
      </c>
      <c r="AE76" s="237">
        <f t="shared" si="95"/>
        <v>5754.1419416640638</v>
      </c>
      <c r="AF76" s="238">
        <f t="shared" si="96"/>
        <v>1.1891555483496299</v>
      </c>
      <c r="AG76" s="239">
        <f t="shared" si="105"/>
        <v>4.5499999999999999E-2</v>
      </c>
    </row>
    <row r="77" spans="1:33">
      <c r="A77" s="92"/>
      <c r="B77" s="93"/>
      <c r="C77" s="54">
        <f t="shared" si="106"/>
        <v>10132</v>
      </c>
      <c r="D77" s="54">
        <f t="shared" si="106"/>
        <v>1434.115</v>
      </c>
      <c r="E77" s="54">
        <f t="shared" si="106"/>
        <v>7318</v>
      </c>
      <c r="F77" s="54">
        <f t="shared" si="106"/>
        <v>12946</v>
      </c>
      <c r="G77" s="24">
        <f t="shared" si="106"/>
        <v>0.14199999999999999</v>
      </c>
      <c r="H77" s="22">
        <f>1+(S77-1)*$Y$72</f>
        <v>1.2161777695424341</v>
      </c>
      <c r="I77" s="21">
        <f t="shared" si="111"/>
        <v>102163</v>
      </c>
      <c r="J77" s="21">
        <f t="shared" si="111"/>
        <v>706</v>
      </c>
      <c r="K77" s="11">
        <f t="shared" si="111"/>
        <v>4.5499999999999999E-2</v>
      </c>
      <c r="L77" s="47">
        <f t="shared" si="98"/>
        <v>9.9174848036960542E-2</v>
      </c>
      <c r="M77" s="47">
        <f t="shared" si="94"/>
        <v>0.90082515196303947</v>
      </c>
      <c r="N77" s="47">
        <f t="shared" si="99"/>
        <v>8.9339197553806329E-2</v>
      </c>
      <c r="O77" s="48">
        <f t="shared" si="100"/>
        <v>1134034802.5203538</v>
      </c>
      <c r="P77" s="3">
        <f t="shared" si="101"/>
        <v>212526.53203600002</v>
      </c>
      <c r="Q77" s="49">
        <f t="shared" si="102"/>
        <v>5335.9681337493375</v>
      </c>
      <c r="R77" s="49">
        <f t="shared" si="103"/>
        <v>5071.1046060458621</v>
      </c>
      <c r="S77" s="7">
        <v>9</v>
      </c>
      <c r="T77" s="10">
        <f t="shared" si="108"/>
        <v>7.5931232091690559E-2</v>
      </c>
      <c r="U77" s="10">
        <f t="shared" si="108"/>
        <v>0.93355209187858901</v>
      </c>
      <c r="V77" s="36">
        <f t="shared" si="104"/>
        <v>10.432770670699309</v>
      </c>
      <c r="W77" s="38">
        <f t="shared" si="109"/>
        <v>563.45606733842908</v>
      </c>
      <c r="X77" s="38">
        <f t="shared" si="110"/>
        <v>5878.4079335559381</v>
      </c>
      <c r="Y77" s="8"/>
      <c r="AC77" s="221">
        <f t="shared" si="95"/>
        <v>10.432770670699309</v>
      </c>
      <c r="AD77" s="222">
        <f t="shared" si="95"/>
        <v>563.45606733842908</v>
      </c>
      <c r="AE77" s="237">
        <f t="shared" si="95"/>
        <v>5878.4079335559381</v>
      </c>
      <c r="AF77" s="238">
        <f t="shared" si="96"/>
        <v>1.2161777695424341</v>
      </c>
      <c r="AG77" s="239">
        <f t="shared" si="105"/>
        <v>4.5499999999999999E-2</v>
      </c>
    </row>
    <row r="78" spans="1:33">
      <c r="A78" s="92"/>
      <c r="B78" s="93"/>
      <c r="C78" s="54">
        <f t="shared" si="106"/>
        <v>10132</v>
      </c>
      <c r="D78" s="54">
        <f t="shared" si="106"/>
        <v>1434.115</v>
      </c>
      <c r="E78" s="54">
        <f t="shared" si="106"/>
        <v>7318</v>
      </c>
      <c r="F78" s="54">
        <f t="shared" si="106"/>
        <v>12946</v>
      </c>
      <c r="G78" s="24">
        <f t="shared" si="106"/>
        <v>0.14199999999999999</v>
      </c>
      <c r="H78" s="22">
        <f t="shared" ref="H78:H83" si="112">1+(S78-1)*$Y$72</f>
        <v>1.2431999907352385</v>
      </c>
      <c r="I78" s="21">
        <f t="shared" si="111"/>
        <v>102163</v>
      </c>
      <c r="J78" s="21">
        <f t="shared" si="111"/>
        <v>706</v>
      </c>
      <c r="K78" s="11">
        <f t="shared" si="111"/>
        <v>4.5499999999999999E-2</v>
      </c>
      <c r="L78" s="47">
        <f t="shared" si="98"/>
        <v>9.9174848036960542E-2</v>
      </c>
      <c r="M78" s="47">
        <f t="shared" si="94"/>
        <v>0.90082515196303947</v>
      </c>
      <c r="N78" s="47">
        <f t="shared" si="99"/>
        <v>8.9339197553806329E-2</v>
      </c>
      <c r="O78" s="48">
        <f t="shared" si="100"/>
        <v>1159231891.3353982</v>
      </c>
      <c r="P78" s="3">
        <f t="shared" si="101"/>
        <v>212526.53203600002</v>
      </c>
      <c r="Q78" s="49">
        <f t="shared" si="102"/>
        <v>5454.5278663796907</v>
      </c>
      <c r="R78" s="49">
        <f t="shared" si="103"/>
        <v>5178.0684936829566</v>
      </c>
      <c r="S78" s="7">
        <v>10</v>
      </c>
      <c r="T78" s="10">
        <f t="shared" si="108"/>
        <v>7.5931232091690559E-2</v>
      </c>
      <c r="U78" s="10">
        <f t="shared" si="108"/>
        <v>0.93355209187858901</v>
      </c>
      <c r="V78" s="36">
        <f t="shared" si="104"/>
        <v>11.591967411888122</v>
      </c>
      <c r="W78" s="38">
        <f t="shared" si="109"/>
        <v>517.80684936829562</v>
      </c>
      <c r="X78" s="38">
        <f t="shared" si="110"/>
        <v>6002.4001235297446</v>
      </c>
      <c r="Y78" s="8"/>
      <c r="AC78" s="221">
        <f t="shared" si="95"/>
        <v>11.591967411888122</v>
      </c>
      <c r="AD78" s="222">
        <f t="shared" si="95"/>
        <v>517.80684936829562</v>
      </c>
      <c r="AE78" s="237">
        <f t="shared" si="95"/>
        <v>6002.4001235297446</v>
      </c>
      <c r="AF78" s="238">
        <f t="shared" si="96"/>
        <v>1.2431999907352385</v>
      </c>
      <c r="AG78" s="239">
        <f t="shared" si="105"/>
        <v>4.5499999999999999E-2</v>
      </c>
    </row>
    <row r="79" spans="1:33">
      <c r="A79" s="92"/>
      <c r="B79" s="93"/>
      <c r="C79" s="54">
        <f t="shared" si="106"/>
        <v>10132</v>
      </c>
      <c r="D79" s="54">
        <f t="shared" si="106"/>
        <v>1434.115</v>
      </c>
      <c r="E79" s="54">
        <f t="shared" si="106"/>
        <v>7318</v>
      </c>
      <c r="F79" s="54">
        <f t="shared" si="106"/>
        <v>12946</v>
      </c>
      <c r="G79" s="24">
        <f t="shared" si="106"/>
        <v>0.14199999999999999</v>
      </c>
      <c r="H79" s="22">
        <f t="shared" si="112"/>
        <v>1.2702222119280426</v>
      </c>
      <c r="I79" s="21">
        <f t="shared" si="111"/>
        <v>102163</v>
      </c>
      <c r="J79" s="21">
        <f t="shared" si="111"/>
        <v>706</v>
      </c>
      <c r="K79" s="11">
        <f t="shared" si="111"/>
        <v>4.5499999999999999E-2</v>
      </c>
      <c r="L79" s="47">
        <f t="shared" si="98"/>
        <v>9.9174848036960542E-2</v>
      </c>
      <c r="M79" s="47">
        <f t="shared" si="94"/>
        <v>0.90082515196303947</v>
      </c>
      <c r="N79" s="47">
        <f t="shared" si="99"/>
        <v>8.9339197553806329E-2</v>
      </c>
      <c r="O79" s="48">
        <f t="shared" si="100"/>
        <v>1184428980.1504424</v>
      </c>
      <c r="P79" s="3">
        <f t="shared" si="101"/>
        <v>212526.53203600002</v>
      </c>
      <c r="Q79" s="49">
        <f t="shared" si="102"/>
        <v>5573.087599010043</v>
      </c>
      <c r="R79" s="49">
        <f t="shared" si="103"/>
        <v>5284.7969614119784</v>
      </c>
      <c r="S79" s="7">
        <v>11</v>
      </c>
      <c r="T79" s="10">
        <f t="shared" si="108"/>
        <v>7.5931232091690559E-2</v>
      </c>
      <c r="U79" s="10">
        <f t="shared" si="108"/>
        <v>0.93355209187858901</v>
      </c>
      <c r="V79" s="36">
        <f t="shared" si="104"/>
        <v>12.751164153076934</v>
      </c>
      <c r="W79" s="38">
        <f t="shared" si="109"/>
        <v>480.43608740108897</v>
      </c>
      <c r="X79" s="38">
        <f t="shared" si="110"/>
        <v>6126.1194155133026</v>
      </c>
      <c r="Y79" s="8"/>
      <c r="AC79" s="221">
        <f t="shared" si="95"/>
        <v>12.751164153076934</v>
      </c>
      <c r="AD79" s="222">
        <f t="shared" si="95"/>
        <v>480.43608740108897</v>
      </c>
      <c r="AE79" s="237">
        <f t="shared" si="95"/>
        <v>6126.1194155133026</v>
      </c>
      <c r="AF79" s="238">
        <f t="shared" si="96"/>
        <v>1.2702222119280426</v>
      </c>
      <c r="AG79" s="239">
        <f t="shared" si="105"/>
        <v>4.5499999999999999E-2</v>
      </c>
    </row>
    <row r="80" spans="1:33">
      <c r="A80" s="92"/>
      <c r="B80" s="93"/>
      <c r="C80" s="54">
        <f t="shared" si="106"/>
        <v>10132</v>
      </c>
      <c r="D80" s="54">
        <f t="shared" si="106"/>
        <v>1434.115</v>
      </c>
      <c r="E80" s="54">
        <f t="shared" si="106"/>
        <v>7318</v>
      </c>
      <c r="F80" s="54">
        <f t="shared" si="106"/>
        <v>12946</v>
      </c>
      <c r="G80" s="24">
        <f t="shared" si="106"/>
        <v>0.14199999999999999</v>
      </c>
      <c r="H80" s="22">
        <f t="shared" si="112"/>
        <v>1.297244433120847</v>
      </c>
      <c r="I80" s="21">
        <f t="shared" si="111"/>
        <v>102163</v>
      </c>
      <c r="J80" s="21">
        <f t="shared" si="111"/>
        <v>706</v>
      </c>
      <c r="K80" s="11">
        <f t="shared" si="111"/>
        <v>4.5499999999999999E-2</v>
      </c>
      <c r="L80" s="47">
        <f t="shared" si="98"/>
        <v>9.9174848036960542E-2</v>
      </c>
      <c r="M80" s="47">
        <f t="shared" si="94"/>
        <v>0.90082515196303947</v>
      </c>
      <c r="N80" s="47">
        <f t="shared" si="99"/>
        <v>8.9339197553806329E-2</v>
      </c>
      <c r="O80" s="48">
        <f t="shared" si="100"/>
        <v>1209626068.9654868</v>
      </c>
      <c r="P80" s="3">
        <f t="shared" si="101"/>
        <v>212526.53203600002</v>
      </c>
      <c r="Q80" s="49">
        <f t="shared" si="102"/>
        <v>5691.6473316403963</v>
      </c>
      <c r="R80" s="49">
        <f t="shared" si="103"/>
        <v>5391.2907855922795</v>
      </c>
      <c r="S80" s="7">
        <v>12</v>
      </c>
      <c r="T80" s="10">
        <f t="shared" si="108"/>
        <v>7.5931232091690559E-2</v>
      </c>
      <c r="U80" s="10">
        <f t="shared" si="108"/>
        <v>0.93355209187858901</v>
      </c>
      <c r="V80" s="36">
        <f t="shared" si="104"/>
        <v>13.910360894265745</v>
      </c>
      <c r="W80" s="38">
        <f t="shared" si="109"/>
        <v>449.27423213268997</v>
      </c>
      <c r="X80" s="38">
        <f t="shared" si="110"/>
        <v>6249.5667094598411</v>
      </c>
      <c r="Y80" s="8"/>
      <c r="AC80" s="221">
        <f t="shared" si="95"/>
        <v>13.910360894265745</v>
      </c>
      <c r="AD80" s="222">
        <f t="shared" si="95"/>
        <v>449.27423213268997</v>
      </c>
      <c r="AE80" s="237">
        <f t="shared" si="95"/>
        <v>6249.5667094598411</v>
      </c>
      <c r="AF80" s="238">
        <f t="shared" si="96"/>
        <v>1.297244433120847</v>
      </c>
      <c r="AG80" s="239">
        <f t="shared" si="105"/>
        <v>4.5499999999999999E-2</v>
      </c>
    </row>
    <row r="81" spans="1:33">
      <c r="A81" s="92"/>
      <c r="B81" s="93"/>
      <c r="C81" s="54">
        <f t="shared" si="106"/>
        <v>10132</v>
      </c>
      <c r="D81" s="54">
        <f t="shared" si="106"/>
        <v>1434.115</v>
      </c>
      <c r="E81" s="54">
        <f t="shared" si="106"/>
        <v>7318</v>
      </c>
      <c r="F81" s="54">
        <f t="shared" si="106"/>
        <v>12946</v>
      </c>
      <c r="G81" s="24">
        <f t="shared" si="106"/>
        <v>0.14199999999999999</v>
      </c>
      <c r="H81" s="22">
        <f t="shared" si="112"/>
        <v>1.3242666543136512</v>
      </c>
      <c r="I81" s="21">
        <f t="shared" si="111"/>
        <v>102163</v>
      </c>
      <c r="J81" s="21">
        <f t="shared" si="111"/>
        <v>706</v>
      </c>
      <c r="K81" s="11">
        <f t="shared" si="111"/>
        <v>4.5499999999999999E-2</v>
      </c>
      <c r="L81" s="47">
        <f t="shared" si="98"/>
        <v>9.9174848036960542E-2</v>
      </c>
      <c r="M81" s="47">
        <f t="shared" si="94"/>
        <v>0.90082515196303947</v>
      </c>
      <c r="N81" s="47">
        <f t="shared" si="99"/>
        <v>8.9339197553806329E-2</v>
      </c>
      <c r="O81" s="48">
        <f t="shared" si="100"/>
        <v>1234823157.7805307</v>
      </c>
      <c r="P81" s="3">
        <f t="shared" si="101"/>
        <v>212526.53203600002</v>
      </c>
      <c r="Q81" s="49">
        <f t="shared" si="102"/>
        <v>5810.2070642707477</v>
      </c>
      <c r="R81" s="49">
        <f t="shared" si="103"/>
        <v>5497.5507391732899</v>
      </c>
      <c r="S81" s="7">
        <v>13</v>
      </c>
      <c r="T81" s="10">
        <f t="shared" si="108"/>
        <v>7.5931232091690559E-2</v>
      </c>
      <c r="U81" s="10">
        <f t="shared" si="108"/>
        <v>0.93355209187858901</v>
      </c>
      <c r="V81" s="36">
        <f t="shared" si="104"/>
        <v>15.069557635454558</v>
      </c>
      <c r="W81" s="38">
        <f t="shared" si="109"/>
        <v>422.8885183979454</v>
      </c>
      <c r="X81" s="38">
        <f t="shared" si="110"/>
        <v>6372.7429013698238</v>
      </c>
      <c r="Y81" s="8"/>
      <c r="AC81" s="221">
        <f t="shared" si="95"/>
        <v>15.069557635454558</v>
      </c>
      <c r="AD81" s="222">
        <f t="shared" si="95"/>
        <v>422.8885183979454</v>
      </c>
      <c r="AE81" s="237">
        <f t="shared" si="95"/>
        <v>6372.7429013698238</v>
      </c>
      <c r="AF81" s="238">
        <f t="shared" si="96"/>
        <v>1.3242666543136512</v>
      </c>
      <c r="AG81" s="239">
        <f t="shared" si="105"/>
        <v>4.5499999999999999E-2</v>
      </c>
    </row>
    <row r="82" spans="1:33">
      <c r="A82" s="92"/>
      <c r="B82" s="93"/>
      <c r="C82" s="54">
        <f t="shared" si="106"/>
        <v>10132</v>
      </c>
      <c r="D82" s="54">
        <f t="shared" si="106"/>
        <v>1434.115</v>
      </c>
      <c r="E82" s="54">
        <f t="shared" si="106"/>
        <v>7318</v>
      </c>
      <c r="F82" s="54">
        <f t="shared" si="106"/>
        <v>12946</v>
      </c>
      <c r="G82" s="24">
        <f t="shared" si="106"/>
        <v>0.14199999999999999</v>
      </c>
      <c r="H82" s="22">
        <f t="shared" si="112"/>
        <v>1.3512888755064556</v>
      </c>
      <c r="I82" s="21">
        <f t="shared" si="111"/>
        <v>102163</v>
      </c>
      <c r="J82" s="21">
        <f t="shared" si="111"/>
        <v>706</v>
      </c>
      <c r="K82" s="11">
        <f t="shared" si="111"/>
        <v>4.5499999999999999E-2</v>
      </c>
      <c r="L82" s="47">
        <f t="shared" si="98"/>
        <v>9.9174848036960542E-2</v>
      </c>
      <c r="M82" s="47">
        <f t="shared" si="94"/>
        <v>0.90082515196303947</v>
      </c>
      <c r="N82" s="47">
        <f t="shared" si="99"/>
        <v>8.9339197553806329E-2</v>
      </c>
      <c r="O82" s="48">
        <f t="shared" si="100"/>
        <v>1260020246.5955751</v>
      </c>
      <c r="P82" s="3">
        <f t="shared" si="101"/>
        <v>212526.53203600002</v>
      </c>
      <c r="Q82" s="49">
        <f t="shared" si="102"/>
        <v>5928.7667969011009</v>
      </c>
      <c r="R82" s="49">
        <f t="shared" si="103"/>
        <v>5603.5775917132296</v>
      </c>
      <c r="S82" s="7">
        <v>14</v>
      </c>
      <c r="T82" s="10">
        <f t="shared" si="108"/>
        <v>7.5931232091690559E-2</v>
      </c>
      <c r="U82" s="10">
        <f t="shared" si="108"/>
        <v>0.93355209187858901</v>
      </c>
      <c r="V82" s="36">
        <f t="shared" si="104"/>
        <v>16.228754376643369</v>
      </c>
      <c r="W82" s="38">
        <f t="shared" si="109"/>
        <v>400.2555422652307</v>
      </c>
      <c r="X82" s="38">
        <f t="shared" si="110"/>
        <v>6495.6488833126277</v>
      </c>
      <c r="Y82" s="8"/>
      <c r="AC82" s="221">
        <f t="shared" si="95"/>
        <v>16.228754376643369</v>
      </c>
      <c r="AD82" s="222">
        <f t="shared" si="95"/>
        <v>400.2555422652307</v>
      </c>
      <c r="AE82" s="237">
        <f t="shared" si="95"/>
        <v>6495.6488833126277</v>
      </c>
      <c r="AF82" s="238">
        <f t="shared" si="96"/>
        <v>1.3512888755064556</v>
      </c>
      <c r="AG82" s="239">
        <f t="shared" si="105"/>
        <v>4.5499999999999999E-2</v>
      </c>
    </row>
    <row r="83" spans="1:33">
      <c r="A83" s="92"/>
      <c r="B83" s="93"/>
      <c r="C83" s="54">
        <f t="shared" si="106"/>
        <v>10132</v>
      </c>
      <c r="D83" s="54">
        <f t="shared" si="106"/>
        <v>1434.115</v>
      </c>
      <c r="E83" s="54">
        <f t="shared" si="106"/>
        <v>7318</v>
      </c>
      <c r="F83" s="54">
        <f t="shared" si="106"/>
        <v>12946</v>
      </c>
      <c r="G83" s="24">
        <f t="shared" si="106"/>
        <v>0.14199999999999999</v>
      </c>
      <c r="H83" s="22">
        <f t="shared" si="112"/>
        <v>1.3783110966992598</v>
      </c>
      <c r="I83" s="21">
        <f t="shared" si="111"/>
        <v>102163</v>
      </c>
      <c r="J83" s="21">
        <f t="shared" si="111"/>
        <v>706</v>
      </c>
      <c r="K83" s="11">
        <f t="shared" si="111"/>
        <v>4.5499999999999999E-2</v>
      </c>
      <c r="L83" s="47">
        <f t="shared" si="98"/>
        <v>9.9174848036960542E-2</v>
      </c>
      <c r="M83" s="47">
        <f t="shared" si="94"/>
        <v>0.90082515196303947</v>
      </c>
      <c r="N83" s="47">
        <f t="shared" si="99"/>
        <v>8.9339197553806329E-2</v>
      </c>
      <c r="O83" s="48">
        <f t="shared" si="100"/>
        <v>1285217335.4106193</v>
      </c>
      <c r="P83" s="3">
        <f t="shared" si="101"/>
        <v>212526.53203600002</v>
      </c>
      <c r="Q83" s="49">
        <f t="shared" si="102"/>
        <v>6047.3265295314532</v>
      </c>
      <c r="R83" s="49">
        <f t="shared" si="103"/>
        <v>5709.3721093976719</v>
      </c>
      <c r="S83" s="3">
        <v>15</v>
      </c>
      <c r="T83" s="10">
        <f t="shared" si="108"/>
        <v>7.5931232091690559E-2</v>
      </c>
      <c r="U83" s="10">
        <f>U82</f>
        <v>0.93355209187858901</v>
      </c>
      <c r="V83" s="36">
        <f>S83/((1-T83)*U83)</f>
        <v>17.387951117832181</v>
      </c>
      <c r="W83" s="38">
        <f>R83/S83</f>
        <v>380.62480729317815</v>
      </c>
      <c r="X83" s="38">
        <f>V83*W83</f>
        <v>6618.2855434480753</v>
      </c>
      <c r="Y83" s="8"/>
      <c r="AC83" s="221">
        <f t="shared" ref="AC83" si="113">+V83</f>
        <v>17.387951117832181</v>
      </c>
      <c r="AD83" s="222">
        <f t="shared" ref="AD83" si="114">+W83</f>
        <v>380.62480729317815</v>
      </c>
      <c r="AE83" s="237">
        <f t="shared" ref="AE83" si="115">+X83</f>
        <v>6618.2855434480753</v>
      </c>
      <c r="AF83" s="238">
        <f t="shared" ref="AF83" si="116">+H83</f>
        <v>1.3783110966992598</v>
      </c>
      <c r="AG83" s="239">
        <f t="shared" si="105"/>
        <v>4.5499999999999999E-2</v>
      </c>
    </row>
    <row r="84" spans="1:33">
      <c r="A84" s="333" t="s">
        <v>65</v>
      </c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4"/>
      <c r="V84" s="334"/>
      <c r="W84" s="334"/>
      <c r="X84" s="334"/>
      <c r="Y84" s="335"/>
      <c r="AC84" s="317" t="s">
        <v>65</v>
      </c>
      <c r="AD84" s="317"/>
      <c r="AE84" s="317"/>
      <c r="AF84" s="317"/>
      <c r="AG84" s="317"/>
    </row>
    <row r="85" spans="1:33" ht="24">
      <c r="A85" s="159" t="s">
        <v>27</v>
      </c>
      <c r="B85" s="158" t="s">
        <v>65</v>
      </c>
      <c r="C85" s="16">
        <v>13635</v>
      </c>
      <c r="D85" s="44">
        <v>1530.5450000000001</v>
      </c>
      <c r="E85" s="44">
        <v>10632</v>
      </c>
      <c r="F85" s="44">
        <v>16638</v>
      </c>
      <c r="G85" s="45">
        <v>0.112</v>
      </c>
      <c r="H85" s="45">
        <v>1.038</v>
      </c>
      <c r="I85" s="44">
        <v>133561</v>
      </c>
      <c r="J85" s="44">
        <v>948</v>
      </c>
      <c r="K85" s="46">
        <f>K72</f>
        <v>4.5499999999999999E-2</v>
      </c>
      <c r="L85" s="47">
        <f t="shared" ref="L85:L96" si="117">C85/I85</f>
        <v>0.10208818442509415</v>
      </c>
      <c r="M85" s="47">
        <f t="shared" ref="M85:M96" si="118">1-L85</f>
        <v>0.89791181557490585</v>
      </c>
      <c r="N85" s="47">
        <f>L85*M85</f>
        <v>9.1666187025882112E-2</v>
      </c>
      <c r="O85" s="48">
        <f t="shared" ref="O85:O96" si="119">(I85^2)*(N85*H85)</f>
        <v>1697328268.3799999</v>
      </c>
      <c r="P85" s="3">
        <f t="shared" ref="P85:P96" si="120">(K85^2)*(C85^2)</f>
        <v>384886.85405625001</v>
      </c>
      <c r="Q85" s="49">
        <f>O85/P85</f>
        <v>4409.9408709135614</v>
      </c>
      <c r="R85" s="49">
        <f t="shared" ref="R85:R96" si="121">Q85/(1+(Q85/I85))</f>
        <v>4268.9867079413079</v>
      </c>
      <c r="S85" s="15">
        <v>9.875</v>
      </c>
      <c r="T85" s="15">
        <v>7.5931232091690559E-2</v>
      </c>
      <c r="U85" s="15">
        <v>0.93355209187858901</v>
      </c>
      <c r="V85" s="15">
        <f>S85/((1-T85)*U85)</f>
        <v>11.447067819239519</v>
      </c>
      <c r="W85" s="37">
        <f>R85/S85</f>
        <v>432.30245143709448</v>
      </c>
      <c r="X85" s="37">
        <f>V85*W85</f>
        <v>4948.5954800239197</v>
      </c>
      <c r="Y85" s="33">
        <f>(H85-1)/(S85-1)</f>
        <v>4.2816901408450746E-3</v>
      </c>
      <c r="AC85" s="221">
        <f t="shared" ref="AC85:AE95" si="122">+V85</f>
        <v>11.447067819239519</v>
      </c>
      <c r="AD85" s="222">
        <f t="shared" si="122"/>
        <v>432.30245143709448</v>
      </c>
      <c r="AE85" s="222">
        <f t="shared" si="122"/>
        <v>4948.5954800239197</v>
      </c>
      <c r="AF85" s="238">
        <f t="shared" ref="AF85:AF95" si="123">+H85</f>
        <v>1.038</v>
      </c>
      <c r="AG85" s="239">
        <f>+K85</f>
        <v>4.5499999999999999E-2</v>
      </c>
    </row>
    <row r="86" spans="1:33">
      <c r="A86" s="92"/>
      <c r="B86" s="93"/>
      <c r="C86" s="54">
        <f>C85</f>
        <v>13635</v>
      </c>
      <c r="D86" s="54">
        <f t="shared" ref="D86" si="124">D85</f>
        <v>1530.5450000000001</v>
      </c>
      <c r="E86" s="54">
        <f>E85</f>
        <v>10632</v>
      </c>
      <c r="F86" s="54">
        <f>F85</f>
        <v>16638</v>
      </c>
      <c r="G86" s="24">
        <f>G85</f>
        <v>0.112</v>
      </c>
      <c r="H86" s="22">
        <f>1+(S86-1)*$Y$85</f>
        <v>1.0171267605633802</v>
      </c>
      <c r="I86" s="21">
        <f>I85</f>
        <v>133561</v>
      </c>
      <c r="J86" s="21">
        <f>J85</f>
        <v>948</v>
      </c>
      <c r="K86" s="11">
        <f>K85</f>
        <v>4.5499999999999999E-2</v>
      </c>
      <c r="L86" s="47">
        <f t="shared" si="117"/>
        <v>0.10208818442509415</v>
      </c>
      <c r="M86" s="47">
        <f t="shared" si="118"/>
        <v>0.89791181557490585</v>
      </c>
      <c r="N86" s="47">
        <f t="shared" ref="N86:N96" si="125">L86*M86</f>
        <v>9.1666187025882112E-2</v>
      </c>
      <c r="O86" s="48">
        <f t="shared" si="119"/>
        <v>1663196534.903662</v>
      </c>
      <c r="P86" s="3">
        <f t="shared" si="120"/>
        <v>384886.85405625001</v>
      </c>
      <c r="Q86" s="49">
        <f t="shared" ref="Q86:Q96" si="126">O86/P86</f>
        <v>4321.2609559810817</v>
      </c>
      <c r="R86" s="49">
        <f t="shared" si="121"/>
        <v>4185.83166928228</v>
      </c>
      <c r="S86" s="7">
        <v>5</v>
      </c>
      <c r="T86" s="10">
        <f>T85</f>
        <v>7.5931232091690559E-2</v>
      </c>
      <c r="U86" s="10">
        <f>U85</f>
        <v>0.93355209187858901</v>
      </c>
      <c r="V86" s="36">
        <f t="shared" ref="V86:V95" si="127">S86/((1-T86)*U86)</f>
        <v>5.7959837059440611</v>
      </c>
      <c r="W86" s="38">
        <f t="shared" ref="W86:W95" si="128">R86/S86</f>
        <v>837.16633385645605</v>
      </c>
      <c r="X86" s="38">
        <f>V86*W86</f>
        <v>4852.202430196945</v>
      </c>
      <c r="Y86" s="8"/>
      <c r="AC86" s="221">
        <f t="shared" si="122"/>
        <v>5.7959837059440611</v>
      </c>
      <c r="AD86" s="222">
        <f t="shared" si="122"/>
        <v>837.16633385645605</v>
      </c>
      <c r="AE86" s="237">
        <f t="shared" si="122"/>
        <v>4852.202430196945</v>
      </c>
      <c r="AF86" s="238">
        <f t="shared" si="123"/>
        <v>1.0171267605633802</v>
      </c>
      <c r="AG86" s="239">
        <f t="shared" ref="AG86:AG96" si="129">+K86</f>
        <v>4.5499999999999999E-2</v>
      </c>
    </row>
    <row r="87" spans="1:33">
      <c r="A87" s="92"/>
      <c r="B87" s="93"/>
      <c r="C87" s="54">
        <f t="shared" ref="C87:G96" si="130">C86</f>
        <v>13635</v>
      </c>
      <c r="D87" s="54">
        <f t="shared" si="130"/>
        <v>1530.5450000000001</v>
      </c>
      <c r="E87" s="54">
        <f t="shared" si="130"/>
        <v>10632</v>
      </c>
      <c r="F87" s="54">
        <f t="shared" si="130"/>
        <v>16638</v>
      </c>
      <c r="G87" s="24">
        <f t="shared" si="130"/>
        <v>0.112</v>
      </c>
      <c r="H87" s="22">
        <f t="shared" ref="H87:H96" si="131">1+(S87-1)*$Y$85</f>
        <v>1.0214084507042254</v>
      </c>
      <c r="I87" s="21">
        <f>I86</f>
        <v>133561</v>
      </c>
      <c r="J87" s="21">
        <f t="shared" ref="J87:K87" si="132">J86</f>
        <v>948</v>
      </c>
      <c r="K87" s="11">
        <f t="shared" si="132"/>
        <v>4.5499999999999999E-2</v>
      </c>
      <c r="L87" s="47">
        <f t="shared" si="117"/>
        <v>0.10208818442509415</v>
      </c>
      <c r="M87" s="47">
        <f t="shared" si="118"/>
        <v>0.89791181557490585</v>
      </c>
      <c r="N87" s="47">
        <f t="shared" si="125"/>
        <v>9.1666187025882112E-2</v>
      </c>
      <c r="O87" s="48">
        <f t="shared" si="119"/>
        <v>1670197916.1295774</v>
      </c>
      <c r="P87" s="3">
        <f t="shared" si="120"/>
        <v>384886.85405625001</v>
      </c>
      <c r="Q87" s="49">
        <f t="shared" si="126"/>
        <v>4339.4517077621031</v>
      </c>
      <c r="R87" s="49">
        <f t="shared" si="121"/>
        <v>4202.8978321888335</v>
      </c>
      <c r="S87" s="7">
        <v>6</v>
      </c>
      <c r="T87" s="10">
        <f t="shared" ref="T87:U96" si="133">T86</f>
        <v>7.5931232091690559E-2</v>
      </c>
      <c r="U87" s="10">
        <f t="shared" si="133"/>
        <v>0.93355209187858901</v>
      </c>
      <c r="V87" s="36">
        <f t="shared" si="127"/>
        <v>6.9551804471328724</v>
      </c>
      <c r="W87" s="38">
        <f t="shared" si="128"/>
        <v>700.48297203147229</v>
      </c>
      <c r="X87" s="38">
        <f t="shared" ref="X87:X95" si="134">V87*W87</f>
        <v>4871.9854706228189</v>
      </c>
      <c r="Y87" s="8"/>
      <c r="AC87" s="221">
        <f t="shared" si="122"/>
        <v>6.9551804471328724</v>
      </c>
      <c r="AD87" s="222">
        <f t="shared" si="122"/>
        <v>700.48297203147229</v>
      </c>
      <c r="AE87" s="237">
        <f t="shared" si="122"/>
        <v>4871.9854706228189</v>
      </c>
      <c r="AF87" s="238">
        <f t="shared" si="123"/>
        <v>1.0214084507042254</v>
      </c>
      <c r="AG87" s="239">
        <f t="shared" si="129"/>
        <v>4.5499999999999999E-2</v>
      </c>
    </row>
    <row r="88" spans="1:33">
      <c r="A88" s="92"/>
      <c r="B88" s="93"/>
      <c r="C88" s="54">
        <f t="shared" si="130"/>
        <v>13635</v>
      </c>
      <c r="D88" s="54">
        <f t="shared" si="130"/>
        <v>1530.5450000000001</v>
      </c>
      <c r="E88" s="54">
        <f t="shared" si="130"/>
        <v>10632</v>
      </c>
      <c r="F88" s="54">
        <f t="shared" si="130"/>
        <v>16638</v>
      </c>
      <c r="G88" s="24">
        <f t="shared" si="130"/>
        <v>0.112</v>
      </c>
      <c r="H88" s="22">
        <f t="shared" si="131"/>
        <v>1.0256901408450705</v>
      </c>
      <c r="I88" s="21">
        <f t="shared" ref="I88:K96" si="135">I87</f>
        <v>133561</v>
      </c>
      <c r="J88" s="21">
        <f t="shared" si="135"/>
        <v>948</v>
      </c>
      <c r="K88" s="11">
        <f t="shared" si="135"/>
        <v>4.5499999999999999E-2</v>
      </c>
      <c r="L88" s="47">
        <f t="shared" si="117"/>
        <v>0.10208818442509415</v>
      </c>
      <c r="M88" s="47">
        <f t="shared" si="118"/>
        <v>0.89791181557490585</v>
      </c>
      <c r="N88" s="47">
        <f t="shared" si="125"/>
        <v>9.1666187025882112E-2</v>
      </c>
      <c r="O88" s="48">
        <f t="shared" si="119"/>
        <v>1677199297.3554931</v>
      </c>
      <c r="P88" s="3">
        <f t="shared" si="120"/>
        <v>384886.85405625001</v>
      </c>
      <c r="Q88" s="49">
        <f t="shared" si="126"/>
        <v>4357.6424595431245</v>
      </c>
      <c r="R88" s="49">
        <f t="shared" si="121"/>
        <v>4219.9594932190957</v>
      </c>
      <c r="S88" s="7">
        <v>7</v>
      </c>
      <c r="T88" s="10">
        <f t="shared" si="133"/>
        <v>7.5931232091690559E-2</v>
      </c>
      <c r="U88" s="10">
        <f t="shared" si="133"/>
        <v>0.93355209187858901</v>
      </c>
      <c r="V88" s="36">
        <f t="shared" si="127"/>
        <v>8.1143771883216846</v>
      </c>
      <c r="W88" s="38">
        <f t="shared" si="128"/>
        <v>602.85135617415654</v>
      </c>
      <c r="X88" s="38">
        <f t="shared" si="134"/>
        <v>4891.7632924883665</v>
      </c>
      <c r="Y88" s="8"/>
      <c r="AC88" s="221">
        <f t="shared" si="122"/>
        <v>8.1143771883216846</v>
      </c>
      <c r="AD88" s="222">
        <f t="shared" si="122"/>
        <v>602.85135617415654</v>
      </c>
      <c r="AE88" s="237">
        <f t="shared" si="122"/>
        <v>4891.7632924883665</v>
      </c>
      <c r="AF88" s="238">
        <f t="shared" si="123"/>
        <v>1.0256901408450705</v>
      </c>
      <c r="AG88" s="239">
        <f t="shared" si="129"/>
        <v>4.5499999999999999E-2</v>
      </c>
    </row>
    <row r="89" spans="1:33">
      <c r="A89" s="92"/>
      <c r="B89" s="93"/>
      <c r="C89" s="54">
        <f t="shared" si="130"/>
        <v>13635</v>
      </c>
      <c r="D89" s="54">
        <f t="shared" si="130"/>
        <v>1530.5450000000001</v>
      </c>
      <c r="E89" s="54">
        <f t="shared" si="130"/>
        <v>10632</v>
      </c>
      <c r="F89" s="54">
        <f t="shared" si="130"/>
        <v>16638</v>
      </c>
      <c r="G89" s="24">
        <f t="shared" si="130"/>
        <v>0.112</v>
      </c>
      <c r="H89" s="22">
        <f t="shared" si="131"/>
        <v>1.0299718309859156</v>
      </c>
      <c r="I89" s="21">
        <f t="shared" si="135"/>
        <v>133561</v>
      </c>
      <c r="J89" s="21">
        <f t="shared" si="135"/>
        <v>948</v>
      </c>
      <c r="K89" s="11">
        <f t="shared" si="135"/>
        <v>4.5499999999999999E-2</v>
      </c>
      <c r="L89" s="47">
        <f t="shared" si="117"/>
        <v>0.10208818442509415</v>
      </c>
      <c r="M89" s="47">
        <f t="shared" si="118"/>
        <v>0.89791181557490585</v>
      </c>
      <c r="N89" s="47">
        <f t="shared" si="125"/>
        <v>9.1666187025882112E-2</v>
      </c>
      <c r="O89" s="48">
        <f t="shared" si="119"/>
        <v>1684200678.5814085</v>
      </c>
      <c r="P89" s="3">
        <f t="shared" si="120"/>
        <v>384886.85405625001</v>
      </c>
      <c r="Q89" s="49">
        <f t="shared" si="126"/>
        <v>4375.8332113241459</v>
      </c>
      <c r="R89" s="49">
        <f t="shared" si="121"/>
        <v>4237.0166541541539</v>
      </c>
      <c r="S89" s="7">
        <v>8</v>
      </c>
      <c r="T89" s="10">
        <f t="shared" si="133"/>
        <v>7.5931232091690559E-2</v>
      </c>
      <c r="U89" s="10">
        <f t="shared" si="133"/>
        <v>0.93355209187858901</v>
      </c>
      <c r="V89" s="36">
        <f t="shared" si="127"/>
        <v>9.2735739295104977</v>
      </c>
      <c r="W89" s="38">
        <f t="shared" si="128"/>
        <v>529.62708176926924</v>
      </c>
      <c r="X89" s="38">
        <f t="shared" si="134"/>
        <v>4911.5358978582199</v>
      </c>
      <c r="Y89" s="8"/>
      <c r="AC89" s="221">
        <f t="shared" si="122"/>
        <v>9.2735739295104977</v>
      </c>
      <c r="AD89" s="222">
        <f t="shared" si="122"/>
        <v>529.62708176926924</v>
      </c>
      <c r="AE89" s="237">
        <f t="shared" si="122"/>
        <v>4911.5358978582199</v>
      </c>
      <c r="AF89" s="238">
        <f t="shared" si="123"/>
        <v>1.0299718309859156</v>
      </c>
      <c r="AG89" s="239">
        <f t="shared" si="129"/>
        <v>4.5499999999999999E-2</v>
      </c>
    </row>
    <row r="90" spans="1:33">
      <c r="A90" s="92"/>
      <c r="B90" s="93"/>
      <c r="C90" s="54">
        <f t="shared" si="130"/>
        <v>13635</v>
      </c>
      <c r="D90" s="54">
        <f t="shared" si="130"/>
        <v>1530.5450000000001</v>
      </c>
      <c r="E90" s="54">
        <f t="shared" si="130"/>
        <v>10632</v>
      </c>
      <c r="F90" s="54">
        <f t="shared" si="130"/>
        <v>16638</v>
      </c>
      <c r="G90" s="24">
        <f t="shared" si="130"/>
        <v>0.112</v>
      </c>
      <c r="H90" s="22">
        <f t="shared" si="131"/>
        <v>1.0342535211267605</v>
      </c>
      <c r="I90" s="21">
        <f t="shared" si="135"/>
        <v>133561</v>
      </c>
      <c r="J90" s="21">
        <f t="shared" si="135"/>
        <v>948</v>
      </c>
      <c r="K90" s="11">
        <f t="shared" si="135"/>
        <v>4.5499999999999999E-2</v>
      </c>
      <c r="L90" s="47">
        <f t="shared" si="117"/>
        <v>0.10208818442509415</v>
      </c>
      <c r="M90" s="47">
        <f t="shared" si="118"/>
        <v>0.89791181557490585</v>
      </c>
      <c r="N90" s="47">
        <f t="shared" si="125"/>
        <v>9.1666187025882112E-2</v>
      </c>
      <c r="O90" s="48">
        <f t="shared" si="119"/>
        <v>1691202059.8073239</v>
      </c>
      <c r="P90" s="3">
        <f t="shared" si="120"/>
        <v>384886.85405625001</v>
      </c>
      <c r="Q90" s="49">
        <f t="shared" si="126"/>
        <v>4394.0239631051672</v>
      </c>
      <c r="R90" s="49">
        <f t="shared" si="121"/>
        <v>4254.0693167741565</v>
      </c>
      <c r="S90" s="7">
        <v>9</v>
      </c>
      <c r="T90" s="10">
        <f t="shared" si="133"/>
        <v>7.5931232091690559E-2</v>
      </c>
      <c r="U90" s="10">
        <f t="shared" si="133"/>
        <v>0.93355209187858901</v>
      </c>
      <c r="V90" s="36">
        <f t="shared" si="127"/>
        <v>10.432770670699309</v>
      </c>
      <c r="W90" s="38">
        <f t="shared" si="128"/>
        <v>472.67436853046183</v>
      </c>
      <c r="X90" s="38">
        <f t="shared" si="134"/>
        <v>4931.3032887959189</v>
      </c>
      <c r="Y90" s="8"/>
      <c r="AC90" s="221">
        <f t="shared" si="122"/>
        <v>10.432770670699309</v>
      </c>
      <c r="AD90" s="222">
        <f t="shared" si="122"/>
        <v>472.67436853046183</v>
      </c>
      <c r="AE90" s="237">
        <f t="shared" si="122"/>
        <v>4931.3032887959189</v>
      </c>
      <c r="AF90" s="238">
        <f t="shared" si="123"/>
        <v>1.0342535211267605</v>
      </c>
      <c r="AG90" s="239">
        <f t="shared" si="129"/>
        <v>4.5499999999999999E-2</v>
      </c>
    </row>
    <row r="91" spans="1:33">
      <c r="A91" s="92"/>
      <c r="B91" s="93"/>
      <c r="C91" s="54">
        <f t="shared" si="130"/>
        <v>13635</v>
      </c>
      <c r="D91" s="54">
        <f t="shared" si="130"/>
        <v>1530.5450000000001</v>
      </c>
      <c r="E91" s="54">
        <f t="shared" si="130"/>
        <v>10632</v>
      </c>
      <c r="F91" s="54">
        <f t="shared" si="130"/>
        <v>16638</v>
      </c>
      <c r="G91" s="24">
        <f t="shared" si="130"/>
        <v>0.112</v>
      </c>
      <c r="H91" s="22">
        <f t="shared" si="131"/>
        <v>1.0385352112676056</v>
      </c>
      <c r="I91" s="21">
        <f t="shared" si="135"/>
        <v>133561</v>
      </c>
      <c r="J91" s="21">
        <f t="shared" si="135"/>
        <v>948</v>
      </c>
      <c r="K91" s="11">
        <f t="shared" si="135"/>
        <v>4.5499999999999999E-2</v>
      </c>
      <c r="L91" s="47">
        <f t="shared" si="117"/>
        <v>0.10208818442509415</v>
      </c>
      <c r="M91" s="47">
        <f t="shared" si="118"/>
        <v>0.89791181557490585</v>
      </c>
      <c r="N91" s="47">
        <f t="shared" si="125"/>
        <v>9.1666187025882112E-2</v>
      </c>
      <c r="O91" s="48">
        <f t="shared" si="119"/>
        <v>1698203441.0332394</v>
      </c>
      <c r="P91" s="3">
        <f t="shared" si="120"/>
        <v>384886.85405625001</v>
      </c>
      <c r="Q91" s="49">
        <f t="shared" si="126"/>
        <v>4412.2147148861886</v>
      </c>
      <c r="R91" s="49">
        <f t="shared" si="121"/>
        <v>4271.1174828583135</v>
      </c>
      <c r="S91" s="7">
        <v>10</v>
      </c>
      <c r="T91" s="10">
        <f t="shared" si="133"/>
        <v>7.5931232091690559E-2</v>
      </c>
      <c r="U91" s="10">
        <f t="shared" si="133"/>
        <v>0.93355209187858901</v>
      </c>
      <c r="V91" s="36">
        <f t="shared" si="127"/>
        <v>11.591967411888122</v>
      </c>
      <c r="W91" s="38">
        <f t="shared" si="128"/>
        <v>427.11174828583137</v>
      </c>
      <c r="X91" s="38">
        <f t="shared" si="134"/>
        <v>4951.0654673639201</v>
      </c>
      <c r="Y91" s="8"/>
      <c r="AC91" s="221">
        <f t="shared" si="122"/>
        <v>11.591967411888122</v>
      </c>
      <c r="AD91" s="222">
        <f t="shared" si="122"/>
        <v>427.11174828583137</v>
      </c>
      <c r="AE91" s="237">
        <f t="shared" si="122"/>
        <v>4951.0654673639201</v>
      </c>
      <c r="AF91" s="238">
        <f t="shared" si="123"/>
        <v>1.0385352112676056</v>
      </c>
      <c r="AG91" s="239">
        <f t="shared" si="129"/>
        <v>4.5499999999999999E-2</v>
      </c>
    </row>
    <row r="92" spans="1:33">
      <c r="A92" s="92"/>
      <c r="B92" s="93"/>
      <c r="C92" s="54">
        <f t="shared" si="130"/>
        <v>13635</v>
      </c>
      <c r="D92" s="54">
        <f t="shared" si="130"/>
        <v>1530.5450000000001</v>
      </c>
      <c r="E92" s="54">
        <f t="shared" si="130"/>
        <v>10632</v>
      </c>
      <c r="F92" s="54">
        <f t="shared" si="130"/>
        <v>16638</v>
      </c>
      <c r="G92" s="24">
        <f t="shared" si="130"/>
        <v>0.112</v>
      </c>
      <c r="H92" s="22">
        <f t="shared" si="131"/>
        <v>1.0428169014084507</v>
      </c>
      <c r="I92" s="21">
        <f t="shared" si="135"/>
        <v>133561</v>
      </c>
      <c r="J92" s="21">
        <f t="shared" si="135"/>
        <v>948</v>
      </c>
      <c r="K92" s="11">
        <f t="shared" si="135"/>
        <v>4.5499999999999999E-2</v>
      </c>
      <c r="L92" s="47">
        <f t="shared" si="117"/>
        <v>0.10208818442509415</v>
      </c>
      <c r="M92" s="47">
        <f t="shared" si="118"/>
        <v>0.89791181557490585</v>
      </c>
      <c r="N92" s="47">
        <f t="shared" si="125"/>
        <v>9.1666187025882112E-2</v>
      </c>
      <c r="O92" s="48">
        <f t="shared" si="119"/>
        <v>1705204822.259155</v>
      </c>
      <c r="P92" s="3">
        <f t="shared" si="120"/>
        <v>384886.85405625001</v>
      </c>
      <c r="Q92" s="49">
        <f t="shared" si="126"/>
        <v>4430.4054666672109</v>
      </c>
      <c r="R92" s="49">
        <f t="shared" si="121"/>
        <v>4288.1611541848933</v>
      </c>
      <c r="S92" s="7">
        <v>11</v>
      </c>
      <c r="T92" s="10">
        <f t="shared" si="133"/>
        <v>7.5931232091690559E-2</v>
      </c>
      <c r="U92" s="10">
        <f t="shared" si="133"/>
        <v>0.93355209187858901</v>
      </c>
      <c r="V92" s="36">
        <f t="shared" si="127"/>
        <v>12.751164153076934</v>
      </c>
      <c r="W92" s="38">
        <f t="shared" si="128"/>
        <v>389.83283219862665</v>
      </c>
      <c r="X92" s="38">
        <f t="shared" si="134"/>
        <v>4970.8224356235833</v>
      </c>
      <c r="Y92" s="8"/>
      <c r="AC92" s="221">
        <f t="shared" si="122"/>
        <v>12.751164153076934</v>
      </c>
      <c r="AD92" s="222">
        <f t="shared" si="122"/>
        <v>389.83283219862665</v>
      </c>
      <c r="AE92" s="237">
        <f t="shared" si="122"/>
        <v>4970.8224356235833</v>
      </c>
      <c r="AF92" s="238">
        <f t="shared" si="123"/>
        <v>1.0428169014084507</v>
      </c>
      <c r="AG92" s="239">
        <f t="shared" si="129"/>
        <v>4.5499999999999999E-2</v>
      </c>
    </row>
    <row r="93" spans="1:33">
      <c r="A93" s="92"/>
      <c r="B93" s="93"/>
      <c r="C93" s="54">
        <f t="shared" si="130"/>
        <v>13635</v>
      </c>
      <c r="D93" s="54">
        <f t="shared" si="130"/>
        <v>1530.5450000000001</v>
      </c>
      <c r="E93" s="54">
        <f t="shared" si="130"/>
        <v>10632</v>
      </c>
      <c r="F93" s="54">
        <f t="shared" si="130"/>
        <v>16638</v>
      </c>
      <c r="G93" s="24">
        <f t="shared" si="130"/>
        <v>0.112</v>
      </c>
      <c r="H93" s="22">
        <f t="shared" si="131"/>
        <v>1.0470985915492959</v>
      </c>
      <c r="I93" s="21">
        <f t="shared" si="135"/>
        <v>133561</v>
      </c>
      <c r="J93" s="21">
        <f t="shared" si="135"/>
        <v>948</v>
      </c>
      <c r="K93" s="11">
        <f t="shared" si="135"/>
        <v>4.5499999999999999E-2</v>
      </c>
      <c r="L93" s="47">
        <f t="shared" si="117"/>
        <v>0.10208818442509415</v>
      </c>
      <c r="M93" s="47">
        <f t="shared" si="118"/>
        <v>0.89791181557490585</v>
      </c>
      <c r="N93" s="47">
        <f t="shared" si="125"/>
        <v>9.1666187025882112E-2</v>
      </c>
      <c r="O93" s="48">
        <f t="shared" si="119"/>
        <v>1712206203.4850705</v>
      </c>
      <c r="P93" s="3">
        <f t="shared" si="120"/>
        <v>384886.85405625001</v>
      </c>
      <c r="Q93" s="49">
        <f t="shared" si="126"/>
        <v>4448.5962184482323</v>
      </c>
      <c r="R93" s="49">
        <f t="shared" si="121"/>
        <v>4305.2003325312317</v>
      </c>
      <c r="S93" s="7">
        <v>12</v>
      </c>
      <c r="T93" s="10">
        <f t="shared" si="133"/>
        <v>7.5931232091690559E-2</v>
      </c>
      <c r="U93" s="10">
        <f t="shared" si="133"/>
        <v>0.93355209187858901</v>
      </c>
      <c r="V93" s="36">
        <f t="shared" si="127"/>
        <v>13.910360894265745</v>
      </c>
      <c r="W93" s="38">
        <f t="shared" si="128"/>
        <v>358.76669437760262</v>
      </c>
      <c r="X93" s="38">
        <f t="shared" si="134"/>
        <v>4990.574195635194</v>
      </c>
      <c r="Y93" s="8"/>
      <c r="AC93" s="221">
        <f t="shared" si="122"/>
        <v>13.910360894265745</v>
      </c>
      <c r="AD93" s="222">
        <f t="shared" si="122"/>
        <v>358.76669437760262</v>
      </c>
      <c r="AE93" s="237">
        <f t="shared" si="122"/>
        <v>4990.574195635194</v>
      </c>
      <c r="AF93" s="238">
        <f t="shared" si="123"/>
        <v>1.0470985915492959</v>
      </c>
      <c r="AG93" s="239">
        <f t="shared" si="129"/>
        <v>4.5499999999999999E-2</v>
      </c>
    </row>
    <row r="94" spans="1:33">
      <c r="A94" s="92"/>
      <c r="B94" s="93"/>
      <c r="C94" s="54">
        <f t="shared" si="130"/>
        <v>13635</v>
      </c>
      <c r="D94" s="54">
        <f t="shared" si="130"/>
        <v>1530.5450000000001</v>
      </c>
      <c r="E94" s="54">
        <f t="shared" si="130"/>
        <v>10632</v>
      </c>
      <c r="F94" s="54">
        <f t="shared" si="130"/>
        <v>16638</v>
      </c>
      <c r="G94" s="24">
        <f t="shared" si="130"/>
        <v>0.112</v>
      </c>
      <c r="H94" s="22">
        <f t="shared" si="131"/>
        <v>1.051380281690141</v>
      </c>
      <c r="I94" s="21">
        <f t="shared" si="135"/>
        <v>133561</v>
      </c>
      <c r="J94" s="21">
        <f t="shared" si="135"/>
        <v>948</v>
      </c>
      <c r="K94" s="11">
        <f t="shared" si="135"/>
        <v>4.5499999999999999E-2</v>
      </c>
      <c r="L94" s="47">
        <f t="shared" si="117"/>
        <v>0.10208818442509415</v>
      </c>
      <c r="M94" s="47">
        <f t="shared" si="118"/>
        <v>0.89791181557490585</v>
      </c>
      <c r="N94" s="47">
        <f t="shared" si="125"/>
        <v>9.1666187025882112E-2</v>
      </c>
      <c r="O94" s="48">
        <f t="shared" si="119"/>
        <v>1719207584.7109861</v>
      </c>
      <c r="P94" s="3">
        <f t="shared" si="120"/>
        <v>384886.85405625001</v>
      </c>
      <c r="Q94" s="49">
        <f t="shared" si="126"/>
        <v>4466.7869702292546</v>
      </c>
      <c r="R94" s="49">
        <f t="shared" si="121"/>
        <v>4322.2350196737243</v>
      </c>
      <c r="S94" s="7">
        <v>13</v>
      </c>
      <c r="T94" s="10">
        <f t="shared" si="133"/>
        <v>7.5931232091690559E-2</v>
      </c>
      <c r="U94" s="10">
        <f t="shared" si="133"/>
        <v>0.93355209187858901</v>
      </c>
      <c r="V94" s="36">
        <f t="shared" si="127"/>
        <v>15.069557635454558</v>
      </c>
      <c r="W94" s="38">
        <f t="shared" si="128"/>
        <v>332.47961689797881</v>
      </c>
      <c r="X94" s="38">
        <f t="shared" si="134"/>
        <v>5010.3207494579428</v>
      </c>
      <c r="Y94" s="8"/>
      <c r="AC94" s="221">
        <f t="shared" si="122"/>
        <v>15.069557635454558</v>
      </c>
      <c r="AD94" s="222">
        <f t="shared" si="122"/>
        <v>332.47961689797881</v>
      </c>
      <c r="AE94" s="237">
        <f t="shared" si="122"/>
        <v>5010.3207494579428</v>
      </c>
      <c r="AF94" s="238">
        <f t="shared" si="123"/>
        <v>1.051380281690141</v>
      </c>
      <c r="AG94" s="239">
        <f t="shared" si="129"/>
        <v>4.5499999999999999E-2</v>
      </c>
    </row>
    <row r="95" spans="1:33">
      <c r="A95" s="92"/>
      <c r="B95" s="93"/>
      <c r="C95" s="54">
        <f t="shared" si="130"/>
        <v>13635</v>
      </c>
      <c r="D95" s="54">
        <f t="shared" si="130"/>
        <v>1530.5450000000001</v>
      </c>
      <c r="E95" s="54">
        <f t="shared" si="130"/>
        <v>10632</v>
      </c>
      <c r="F95" s="54">
        <f t="shared" si="130"/>
        <v>16638</v>
      </c>
      <c r="G95" s="24">
        <f t="shared" si="130"/>
        <v>0.112</v>
      </c>
      <c r="H95" s="22">
        <f t="shared" si="131"/>
        <v>1.0556619718309859</v>
      </c>
      <c r="I95" s="21">
        <f t="shared" si="135"/>
        <v>133561</v>
      </c>
      <c r="J95" s="21">
        <f t="shared" si="135"/>
        <v>948</v>
      </c>
      <c r="K95" s="11">
        <f t="shared" si="135"/>
        <v>4.5499999999999999E-2</v>
      </c>
      <c r="L95" s="47">
        <f t="shared" si="117"/>
        <v>0.10208818442509415</v>
      </c>
      <c r="M95" s="47">
        <f t="shared" si="118"/>
        <v>0.89791181557490585</v>
      </c>
      <c r="N95" s="47">
        <f t="shared" si="125"/>
        <v>9.1666187025882112E-2</v>
      </c>
      <c r="O95" s="48">
        <f t="shared" si="119"/>
        <v>1726208965.9369013</v>
      </c>
      <c r="P95" s="3">
        <f t="shared" si="120"/>
        <v>384886.85405625001</v>
      </c>
      <c r="Q95" s="49">
        <f t="shared" si="126"/>
        <v>4484.9777220102751</v>
      </c>
      <c r="R95" s="49">
        <f t="shared" si="121"/>
        <v>4339.2652173878296</v>
      </c>
      <c r="S95" s="7">
        <v>14</v>
      </c>
      <c r="T95" s="10">
        <f t="shared" si="133"/>
        <v>7.5931232091690559E-2</v>
      </c>
      <c r="U95" s="10">
        <f t="shared" si="133"/>
        <v>0.93355209187858901</v>
      </c>
      <c r="V95" s="36">
        <f t="shared" si="127"/>
        <v>16.228754376643369</v>
      </c>
      <c r="W95" s="38">
        <f t="shared" si="128"/>
        <v>309.94751552770214</v>
      </c>
      <c r="X95" s="38">
        <f t="shared" si="134"/>
        <v>5030.0620991499345</v>
      </c>
      <c r="Y95" s="8"/>
      <c r="AC95" s="221">
        <f t="shared" si="122"/>
        <v>16.228754376643369</v>
      </c>
      <c r="AD95" s="222">
        <f t="shared" si="122"/>
        <v>309.94751552770214</v>
      </c>
      <c r="AE95" s="237">
        <f t="shared" si="122"/>
        <v>5030.0620991499345</v>
      </c>
      <c r="AF95" s="238">
        <f t="shared" si="123"/>
        <v>1.0556619718309859</v>
      </c>
      <c r="AG95" s="239">
        <f t="shared" si="129"/>
        <v>4.5499999999999999E-2</v>
      </c>
    </row>
    <row r="96" spans="1:33">
      <c r="A96" s="92"/>
      <c r="B96" s="93"/>
      <c r="C96" s="54">
        <f t="shared" si="130"/>
        <v>13635</v>
      </c>
      <c r="D96" s="54">
        <f t="shared" si="130"/>
        <v>1530.5450000000001</v>
      </c>
      <c r="E96" s="54">
        <f t="shared" si="130"/>
        <v>10632</v>
      </c>
      <c r="F96" s="54">
        <f t="shared" si="130"/>
        <v>16638</v>
      </c>
      <c r="G96" s="24">
        <f t="shared" si="130"/>
        <v>0.112</v>
      </c>
      <c r="H96" s="22">
        <f t="shared" si="131"/>
        <v>1.059943661971831</v>
      </c>
      <c r="I96" s="21">
        <f t="shared" si="135"/>
        <v>133561</v>
      </c>
      <c r="J96" s="21">
        <f t="shared" si="135"/>
        <v>948</v>
      </c>
      <c r="K96" s="11">
        <f t="shared" si="135"/>
        <v>4.5499999999999999E-2</v>
      </c>
      <c r="L96" s="47">
        <f t="shared" si="117"/>
        <v>0.10208818442509415</v>
      </c>
      <c r="M96" s="47">
        <f t="shared" si="118"/>
        <v>0.89791181557490585</v>
      </c>
      <c r="N96" s="47">
        <f t="shared" si="125"/>
        <v>9.1666187025882112E-2</v>
      </c>
      <c r="O96" s="48">
        <f t="shared" si="119"/>
        <v>1733210347.162817</v>
      </c>
      <c r="P96" s="3">
        <f t="shared" si="120"/>
        <v>384886.85405625001</v>
      </c>
      <c r="Q96" s="49">
        <f t="shared" si="126"/>
        <v>4503.1684737912965</v>
      </c>
      <c r="R96" s="49">
        <f t="shared" si="121"/>
        <v>4356.2909274480735</v>
      </c>
      <c r="S96" s="3">
        <v>15</v>
      </c>
      <c r="T96" s="10">
        <f t="shared" si="133"/>
        <v>7.5931232091690559E-2</v>
      </c>
      <c r="U96" s="10">
        <f t="shared" si="133"/>
        <v>0.93355209187858901</v>
      </c>
      <c r="V96" s="36">
        <f>S96/((1-T96)*U96)</f>
        <v>17.387951117832181</v>
      </c>
      <c r="W96" s="38">
        <f>R96/S96</f>
        <v>290.41939516320491</v>
      </c>
      <c r="X96" s="38">
        <f>V96*W96</f>
        <v>5049.798246768195</v>
      </c>
      <c r="Y96" s="8"/>
      <c r="AC96" s="221">
        <f t="shared" ref="AC96" si="136">+V96</f>
        <v>17.387951117832181</v>
      </c>
      <c r="AD96" s="222">
        <f t="shared" ref="AD96" si="137">+W96</f>
        <v>290.41939516320491</v>
      </c>
      <c r="AE96" s="237">
        <f t="shared" ref="AE96" si="138">+X96</f>
        <v>5049.798246768195</v>
      </c>
      <c r="AF96" s="238">
        <f t="shared" ref="AF96" si="139">+H96</f>
        <v>1.059943661971831</v>
      </c>
      <c r="AG96" s="239">
        <f t="shared" si="129"/>
        <v>4.5499999999999999E-2</v>
      </c>
    </row>
    <row r="97" spans="1:33">
      <c r="A97" s="333" t="s">
        <v>72</v>
      </c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34"/>
      <c r="P97" s="334"/>
      <c r="Q97" s="334"/>
      <c r="R97" s="334"/>
      <c r="S97" s="334"/>
      <c r="T97" s="334"/>
      <c r="U97" s="334"/>
      <c r="V97" s="334"/>
      <c r="W97" s="334"/>
      <c r="X97" s="334"/>
      <c r="Y97" s="335"/>
      <c r="AC97" s="317" t="s">
        <v>72</v>
      </c>
      <c r="AD97" s="317"/>
      <c r="AE97" s="317"/>
      <c r="AF97" s="317"/>
      <c r="AG97" s="317"/>
    </row>
    <row r="98" spans="1:33" ht="24" customHeight="1">
      <c r="A98" s="159" t="s">
        <v>27</v>
      </c>
      <c r="B98" s="158" t="s">
        <v>72</v>
      </c>
      <c r="C98" s="16">
        <v>16066</v>
      </c>
      <c r="D98" s="44">
        <v>1498.6120000000001</v>
      </c>
      <c r="E98" s="44">
        <v>13126</v>
      </c>
      <c r="F98" s="44">
        <v>19006</v>
      </c>
      <c r="G98" s="45">
        <v>9.2999999999999999E-2</v>
      </c>
      <c r="H98" s="45">
        <v>0.84599999999999997</v>
      </c>
      <c r="I98" s="44">
        <v>152628</v>
      </c>
      <c r="J98" s="44">
        <v>993</v>
      </c>
      <c r="K98" s="46">
        <f>K85</f>
        <v>4.5499999999999999E-2</v>
      </c>
      <c r="L98" s="47">
        <f t="shared" ref="L98:L109" si="140">C98/I98</f>
        <v>0.10526246822339283</v>
      </c>
      <c r="M98" s="47">
        <f t="shared" ref="M98:M109" si="141">1-L98</f>
        <v>0.8947375317766072</v>
      </c>
      <c r="N98" s="47">
        <f>L98*M98</f>
        <v>9.4182281006912047E-2</v>
      </c>
      <c r="O98" s="48">
        <f t="shared" ref="O98:O109" si="142">(I98^2)*(N98*H98)</f>
        <v>1856128307.832</v>
      </c>
      <c r="P98" s="3">
        <f t="shared" ref="P98:P109" si="143">(K98^2)*(C98^2)</f>
        <v>534365.38600900001</v>
      </c>
      <c r="Q98" s="49">
        <f>O98/P98</f>
        <v>3473.5189748999542</v>
      </c>
      <c r="R98" s="49">
        <f t="shared" ref="R98:R109" si="144">Q98/(1+(Q98/I98))</f>
        <v>3396.227388320774</v>
      </c>
      <c r="S98" s="15">
        <v>9.5480769999999993</v>
      </c>
      <c r="T98" s="15">
        <v>7.5931232091690559E-2</v>
      </c>
      <c r="U98" s="15">
        <v>0.93355209187858901</v>
      </c>
      <c r="V98" s="15">
        <f>S98/((1-T98)*U98)</f>
        <v>11.068099743019848</v>
      </c>
      <c r="W98" s="37">
        <f>R98/S98</f>
        <v>355.69752823744238</v>
      </c>
      <c r="X98" s="37">
        <f>V98*W98</f>
        <v>3936.8957208776314</v>
      </c>
      <c r="Y98" s="33">
        <f>(H98-1)/(S98-1)</f>
        <v>-1.8015747869374602E-2</v>
      </c>
      <c r="AC98" s="221">
        <f t="shared" ref="AC98:AE108" si="145">+V98</f>
        <v>11.068099743019848</v>
      </c>
      <c r="AD98" s="222">
        <f t="shared" si="145"/>
        <v>355.69752823744238</v>
      </c>
      <c r="AE98" s="222">
        <f t="shared" si="145"/>
        <v>3936.8957208776314</v>
      </c>
      <c r="AF98" s="238">
        <f t="shared" ref="AF98:AF108" si="146">+H98</f>
        <v>0.84599999999999997</v>
      </c>
      <c r="AG98" s="239">
        <f>+K98</f>
        <v>4.5499999999999999E-2</v>
      </c>
    </row>
    <row r="99" spans="1:33">
      <c r="A99" s="92"/>
      <c r="B99" s="93"/>
      <c r="C99" s="54">
        <f>C98</f>
        <v>16066</v>
      </c>
      <c r="D99" s="54">
        <f t="shared" ref="D99" si="147">D98</f>
        <v>1498.6120000000001</v>
      </c>
      <c r="E99" s="54">
        <f>E98</f>
        <v>13126</v>
      </c>
      <c r="F99" s="54">
        <f>F98</f>
        <v>19006</v>
      </c>
      <c r="G99" s="24">
        <f>G98</f>
        <v>9.2999999999999999E-2</v>
      </c>
      <c r="H99" s="22">
        <f>1+(S99-1)*$Y$98</f>
        <v>0.92793700852250161</v>
      </c>
      <c r="I99" s="21">
        <f>I98</f>
        <v>152628</v>
      </c>
      <c r="J99" s="21">
        <f>J98</f>
        <v>993</v>
      </c>
      <c r="K99" s="11">
        <f>K98</f>
        <v>4.5499999999999999E-2</v>
      </c>
      <c r="L99" s="47">
        <f t="shared" si="140"/>
        <v>0.10526246822339283</v>
      </c>
      <c r="M99" s="47">
        <f t="shared" si="141"/>
        <v>0.8947375317766072</v>
      </c>
      <c r="N99" s="47">
        <f t="shared" ref="N99:N109" si="148">L99*M99</f>
        <v>9.4182281006912047E-2</v>
      </c>
      <c r="O99" s="48">
        <f t="shared" si="142"/>
        <v>2035898521.7536161</v>
      </c>
      <c r="P99" s="3">
        <f t="shared" si="143"/>
        <v>534365.38600900001</v>
      </c>
      <c r="Q99" s="49">
        <f t="shared" ref="Q99:Q109" si="149">O99/P99</f>
        <v>3809.9371236581678</v>
      </c>
      <c r="R99" s="49">
        <f t="shared" si="144"/>
        <v>3717.1487556119009</v>
      </c>
      <c r="S99" s="7">
        <v>5</v>
      </c>
      <c r="T99" s="10">
        <f>T98</f>
        <v>7.5931232091690559E-2</v>
      </c>
      <c r="U99" s="10">
        <f>U98</f>
        <v>0.93355209187858901</v>
      </c>
      <c r="V99" s="10">
        <f>S99/((1-T99)*U99)</f>
        <v>5.7959837059440611</v>
      </c>
      <c r="W99" s="38">
        <f t="shared" ref="W99:W107" si="150">R99/S99</f>
        <v>743.42975112238014</v>
      </c>
      <c r="X99" s="38">
        <f>V99*W99</f>
        <v>4308.9067240193635</v>
      </c>
      <c r="Y99" s="8"/>
      <c r="AC99" s="221">
        <f t="shared" si="145"/>
        <v>5.7959837059440611</v>
      </c>
      <c r="AD99" s="222">
        <f t="shared" si="145"/>
        <v>743.42975112238014</v>
      </c>
      <c r="AE99" s="237">
        <f t="shared" si="145"/>
        <v>4308.9067240193635</v>
      </c>
      <c r="AF99" s="238">
        <f t="shared" si="146"/>
        <v>0.92793700852250161</v>
      </c>
      <c r="AG99" s="239">
        <f t="shared" ref="AG99:AG109" si="151">+K99</f>
        <v>4.5499999999999999E-2</v>
      </c>
    </row>
    <row r="100" spans="1:33">
      <c r="A100" s="92"/>
      <c r="B100" s="93"/>
      <c r="C100" s="54">
        <f t="shared" ref="C100:G109" si="152">C99</f>
        <v>16066</v>
      </c>
      <c r="D100" s="54">
        <f t="shared" si="152"/>
        <v>1498.6120000000001</v>
      </c>
      <c r="E100" s="54">
        <f t="shared" si="152"/>
        <v>13126</v>
      </c>
      <c r="F100" s="54">
        <f t="shared" si="152"/>
        <v>19006</v>
      </c>
      <c r="G100" s="24">
        <f t="shared" si="152"/>
        <v>9.2999999999999999E-2</v>
      </c>
      <c r="H100" s="22">
        <f t="shared" ref="H100:H109" si="153">1+(S100-1)*$Y$98</f>
        <v>0.90992126065312695</v>
      </c>
      <c r="I100" s="21">
        <f>I99</f>
        <v>152628</v>
      </c>
      <c r="J100" s="21">
        <f t="shared" ref="J100:K100" si="154">J99</f>
        <v>993</v>
      </c>
      <c r="K100" s="11">
        <f t="shared" si="154"/>
        <v>4.5499999999999999E-2</v>
      </c>
      <c r="L100" s="47">
        <f t="shared" si="140"/>
        <v>0.10526246822339283</v>
      </c>
      <c r="M100" s="47">
        <f t="shared" si="141"/>
        <v>0.8947375317766072</v>
      </c>
      <c r="N100" s="47">
        <f t="shared" si="148"/>
        <v>9.4182281006912047E-2</v>
      </c>
      <c r="O100" s="48">
        <f t="shared" si="142"/>
        <v>1996371879.1920199</v>
      </c>
      <c r="P100" s="3">
        <f t="shared" si="143"/>
        <v>534365.38600900001</v>
      </c>
      <c r="Q100" s="49">
        <f t="shared" si="149"/>
        <v>3735.967806789035</v>
      </c>
      <c r="R100" s="49">
        <f t="shared" si="144"/>
        <v>3646.7051994944272</v>
      </c>
      <c r="S100" s="7">
        <v>6</v>
      </c>
      <c r="T100" s="10">
        <f t="shared" ref="T100:U109" si="155">T99</f>
        <v>7.5931232091690559E-2</v>
      </c>
      <c r="U100" s="10">
        <f t="shared" si="155"/>
        <v>0.93355209187858901</v>
      </c>
      <c r="V100" s="10">
        <f t="shared" ref="V100:V108" si="156">S100/((1-T100)*U100)</f>
        <v>6.9551804471328724</v>
      </c>
      <c r="W100" s="38">
        <f t="shared" si="150"/>
        <v>607.78419991573787</v>
      </c>
      <c r="X100" s="38">
        <f t="shared" ref="X100:X108" si="157">V100*W100</f>
        <v>4227.2487833302366</v>
      </c>
      <c r="Y100" s="8"/>
      <c r="AC100" s="221">
        <f t="shared" si="145"/>
        <v>6.9551804471328724</v>
      </c>
      <c r="AD100" s="222">
        <f t="shared" si="145"/>
        <v>607.78419991573787</v>
      </c>
      <c r="AE100" s="237">
        <f t="shared" si="145"/>
        <v>4227.2487833302366</v>
      </c>
      <c r="AF100" s="238">
        <f t="shared" si="146"/>
        <v>0.90992126065312695</v>
      </c>
      <c r="AG100" s="239">
        <f t="shared" si="151"/>
        <v>4.5499999999999999E-2</v>
      </c>
    </row>
    <row r="101" spans="1:33">
      <c r="A101" s="92"/>
      <c r="B101" s="93"/>
      <c r="C101" s="54">
        <f t="shared" si="152"/>
        <v>16066</v>
      </c>
      <c r="D101" s="54">
        <f t="shared" si="152"/>
        <v>1498.6120000000001</v>
      </c>
      <c r="E101" s="54">
        <f t="shared" si="152"/>
        <v>13126</v>
      </c>
      <c r="F101" s="54">
        <f t="shared" si="152"/>
        <v>19006</v>
      </c>
      <c r="G101" s="24">
        <f t="shared" si="152"/>
        <v>9.2999999999999999E-2</v>
      </c>
      <c r="H101" s="22">
        <f t="shared" si="153"/>
        <v>0.89190551278375241</v>
      </c>
      <c r="I101" s="21">
        <f t="shared" ref="I101:K109" si="158">I100</f>
        <v>152628</v>
      </c>
      <c r="J101" s="21">
        <f t="shared" si="158"/>
        <v>993</v>
      </c>
      <c r="K101" s="11">
        <f t="shared" si="158"/>
        <v>4.5499999999999999E-2</v>
      </c>
      <c r="L101" s="47">
        <f t="shared" si="140"/>
        <v>0.10526246822339283</v>
      </c>
      <c r="M101" s="47">
        <f t="shared" si="141"/>
        <v>0.8947375317766072</v>
      </c>
      <c r="N101" s="47">
        <f t="shared" si="148"/>
        <v>9.4182281006912047E-2</v>
      </c>
      <c r="O101" s="48">
        <f t="shared" si="142"/>
        <v>1956845236.6304243</v>
      </c>
      <c r="P101" s="3">
        <f t="shared" si="143"/>
        <v>534365.38600900001</v>
      </c>
      <c r="Q101" s="49">
        <f t="shared" si="149"/>
        <v>3661.9984899199035</v>
      </c>
      <c r="R101" s="49">
        <f t="shared" si="144"/>
        <v>3576.1949639761715</v>
      </c>
      <c r="S101" s="7">
        <v>7</v>
      </c>
      <c r="T101" s="10">
        <f t="shared" si="155"/>
        <v>7.5931232091690559E-2</v>
      </c>
      <c r="U101" s="10">
        <f t="shared" si="155"/>
        <v>0.93355209187858901</v>
      </c>
      <c r="V101" s="10">
        <f t="shared" si="156"/>
        <v>8.1143771883216846</v>
      </c>
      <c r="W101" s="38">
        <f t="shared" si="150"/>
        <v>510.88499485373876</v>
      </c>
      <c r="X101" s="38">
        <f t="shared" si="157"/>
        <v>4145.5135480970193</v>
      </c>
      <c r="Y101" s="8"/>
      <c r="AC101" s="221">
        <f t="shared" si="145"/>
        <v>8.1143771883216846</v>
      </c>
      <c r="AD101" s="222">
        <f t="shared" si="145"/>
        <v>510.88499485373876</v>
      </c>
      <c r="AE101" s="237">
        <f t="shared" si="145"/>
        <v>4145.5135480970193</v>
      </c>
      <c r="AF101" s="238">
        <f t="shared" si="146"/>
        <v>0.89190551278375241</v>
      </c>
      <c r="AG101" s="239">
        <f t="shared" si="151"/>
        <v>4.5499999999999999E-2</v>
      </c>
    </row>
    <row r="102" spans="1:33">
      <c r="A102" s="92"/>
      <c r="B102" s="93"/>
      <c r="C102" s="54">
        <f t="shared" si="152"/>
        <v>16066</v>
      </c>
      <c r="D102" s="54">
        <f t="shared" si="152"/>
        <v>1498.6120000000001</v>
      </c>
      <c r="E102" s="54">
        <f t="shared" si="152"/>
        <v>13126</v>
      </c>
      <c r="F102" s="54">
        <f t="shared" si="152"/>
        <v>19006</v>
      </c>
      <c r="G102" s="24">
        <f t="shared" si="152"/>
        <v>9.2999999999999999E-2</v>
      </c>
      <c r="H102" s="22">
        <f t="shared" si="153"/>
        <v>0.87388976491437775</v>
      </c>
      <c r="I102" s="21">
        <f t="shared" si="158"/>
        <v>152628</v>
      </c>
      <c r="J102" s="21">
        <f t="shared" si="158"/>
        <v>993</v>
      </c>
      <c r="K102" s="11">
        <f t="shared" si="158"/>
        <v>4.5499999999999999E-2</v>
      </c>
      <c r="L102" s="47">
        <f t="shared" si="140"/>
        <v>0.10526246822339283</v>
      </c>
      <c r="M102" s="47">
        <f t="shared" si="141"/>
        <v>0.8947375317766072</v>
      </c>
      <c r="N102" s="47">
        <f t="shared" si="148"/>
        <v>9.4182281006912047E-2</v>
      </c>
      <c r="O102" s="48">
        <f t="shared" si="142"/>
        <v>1917318594.0688281</v>
      </c>
      <c r="P102" s="3">
        <f t="shared" si="143"/>
        <v>534365.38600900001</v>
      </c>
      <c r="Q102" s="49">
        <f t="shared" si="149"/>
        <v>3588.0291730507706</v>
      </c>
      <c r="R102" s="49">
        <f t="shared" si="144"/>
        <v>3505.6179543377275</v>
      </c>
      <c r="S102" s="7">
        <v>8</v>
      </c>
      <c r="T102" s="10">
        <f t="shared" si="155"/>
        <v>7.5931232091690559E-2</v>
      </c>
      <c r="U102" s="10">
        <f t="shared" si="155"/>
        <v>0.93355209187858901</v>
      </c>
      <c r="V102" s="10">
        <f>S102/((1-T102)*U102)</f>
        <v>9.2735739295104977</v>
      </c>
      <c r="W102" s="38">
        <f t="shared" si="150"/>
        <v>438.20224429221594</v>
      </c>
      <c r="X102" s="38">
        <f t="shared" si="157"/>
        <v>4063.700908521284</v>
      </c>
      <c r="Y102" s="8"/>
      <c r="AC102" s="221">
        <f t="shared" si="145"/>
        <v>9.2735739295104977</v>
      </c>
      <c r="AD102" s="222">
        <f t="shared" si="145"/>
        <v>438.20224429221594</v>
      </c>
      <c r="AE102" s="237">
        <f t="shared" si="145"/>
        <v>4063.700908521284</v>
      </c>
      <c r="AF102" s="238">
        <f t="shared" si="146"/>
        <v>0.87388976491437775</v>
      </c>
      <c r="AG102" s="239">
        <f t="shared" si="151"/>
        <v>4.5499999999999999E-2</v>
      </c>
    </row>
    <row r="103" spans="1:33">
      <c r="A103" s="92"/>
      <c r="B103" s="93"/>
      <c r="C103" s="54">
        <f t="shared" si="152"/>
        <v>16066</v>
      </c>
      <c r="D103" s="54">
        <f t="shared" si="152"/>
        <v>1498.6120000000001</v>
      </c>
      <c r="E103" s="54">
        <f t="shared" si="152"/>
        <v>13126</v>
      </c>
      <c r="F103" s="54">
        <f t="shared" si="152"/>
        <v>19006</v>
      </c>
      <c r="G103" s="24">
        <f t="shared" si="152"/>
        <v>9.2999999999999999E-2</v>
      </c>
      <c r="H103" s="22">
        <f t="shared" si="153"/>
        <v>0.85587401704500321</v>
      </c>
      <c r="I103" s="21">
        <f t="shared" si="158"/>
        <v>152628</v>
      </c>
      <c r="J103" s="21">
        <f t="shared" si="158"/>
        <v>993</v>
      </c>
      <c r="K103" s="11">
        <f t="shared" si="158"/>
        <v>4.5499999999999999E-2</v>
      </c>
      <c r="L103" s="47">
        <f t="shared" si="140"/>
        <v>0.10526246822339283</v>
      </c>
      <c r="M103" s="47">
        <f t="shared" si="141"/>
        <v>0.8947375317766072</v>
      </c>
      <c r="N103" s="47">
        <f t="shared" si="148"/>
        <v>9.4182281006912047E-2</v>
      </c>
      <c r="O103" s="48">
        <f t="shared" si="142"/>
        <v>1877791951.507232</v>
      </c>
      <c r="P103" s="3">
        <f t="shared" si="143"/>
        <v>534365.38600900001</v>
      </c>
      <c r="Q103" s="49">
        <f t="shared" si="149"/>
        <v>3514.0598561816378</v>
      </c>
      <c r="R103" s="49">
        <f t="shared" si="144"/>
        <v>3434.9740756802062</v>
      </c>
      <c r="S103" s="7">
        <v>9</v>
      </c>
      <c r="T103" s="10">
        <f t="shared" si="155"/>
        <v>7.5931232091690559E-2</v>
      </c>
      <c r="U103" s="10">
        <f t="shared" si="155"/>
        <v>0.93355209187858901</v>
      </c>
      <c r="V103" s="10">
        <f t="shared" si="156"/>
        <v>10.432770670699309</v>
      </c>
      <c r="W103" s="38">
        <f t="shared" si="150"/>
        <v>381.66378618668955</v>
      </c>
      <c r="X103" s="38">
        <f>V103*W103</f>
        <v>3981.8107545965468</v>
      </c>
      <c r="Y103" s="8"/>
      <c r="AC103" s="221">
        <f t="shared" si="145"/>
        <v>10.432770670699309</v>
      </c>
      <c r="AD103" s="222">
        <f t="shared" si="145"/>
        <v>381.66378618668955</v>
      </c>
      <c r="AE103" s="237">
        <f t="shared" si="145"/>
        <v>3981.8107545965468</v>
      </c>
      <c r="AF103" s="238">
        <f t="shared" si="146"/>
        <v>0.85587401704500321</v>
      </c>
      <c r="AG103" s="239">
        <f t="shared" si="151"/>
        <v>4.5499999999999999E-2</v>
      </c>
    </row>
    <row r="104" spans="1:33">
      <c r="A104" s="92"/>
      <c r="B104" s="93"/>
      <c r="C104" s="54">
        <f t="shared" si="152"/>
        <v>16066</v>
      </c>
      <c r="D104" s="54">
        <f t="shared" si="152"/>
        <v>1498.6120000000001</v>
      </c>
      <c r="E104" s="54">
        <f t="shared" si="152"/>
        <v>13126</v>
      </c>
      <c r="F104" s="54">
        <f t="shared" si="152"/>
        <v>19006</v>
      </c>
      <c r="G104" s="24">
        <f t="shared" si="152"/>
        <v>9.2999999999999999E-2</v>
      </c>
      <c r="H104" s="22">
        <f t="shared" si="153"/>
        <v>0.83785826917562856</v>
      </c>
      <c r="I104" s="21">
        <f t="shared" si="158"/>
        <v>152628</v>
      </c>
      <c r="J104" s="21">
        <f t="shared" si="158"/>
        <v>993</v>
      </c>
      <c r="K104" s="11">
        <f t="shared" si="158"/>
        <v>4.5499999999999999E-2</v>
      </c>
      <c r="L104" s="47">
        <f t="shared" si="140"/>
        <v>0.10526246822339283</v>
      </c>
      <c r="M104" s="47">
        <f t="shared" si="141"/>
        <v>0.8947375317766072</v>
      </c>
      <c r="N104" s="47">
        <f t="shared" si="148"/>
        <v>9.4182281006912047E-2</v>
      </c>
      <c r="O104" s="48">
        <f t="shared" si="142"/>
        <v>1838265308.9456358</v>
      </c>
      <c r="P104" s="3">
        <f t="shared" si="143"/>
        <v>534365.38600900001</v>
      </c>
      <c r="Q104" s="49">
        <f t="shared" si="149"/>
        <v>3440.0905393125049</v>
      </c>
      <c r="R104" s="49">
        <f t="shared" si="144"/>
        <v>3364.2632329248067</v>
      </c>
      <c r="S104" s="7">
        <v>10</v>
      </c>
      <c r="T104" s="10">
        <f t="shared" si="155"/>
        <v>7.5931232091690559E-2</v>
      </c>
      <c r="U104" s="10">
        <f t="shared" si="155"/>
        <v>0.93355209187858901</v>
      </c>
      <c r="V104" s="10">
        <f t="shared" si="156"/>
        <v>11.591967411888122</v>
      </c>
      <c r="W104" s="38">
        <f t="shared" si="150"/>
        <v>336.42632329248067</v>
      </c>
      <c r="X104" s="38">
        <f t="shared" si="157"/>
        <v>3899.8429761077737</v>
      </c>
      <c r="Y104" s="8"/>
      <c r="AC104" s="221">
        <f t="shared" si="145"/>
        <v>11.591967411888122</v>
      </c>
      <c r="AD104" s="222">
        <f t="shared" si="145"/>
        <v>336.42632329248067</v>
      </c>
      <c r="AE104" s="237">
        <f t="shared" si="145"/>
        <v>3899.8429761077737</v>
      </c>
      <c r="AF104" s="238">
        <f t="shared" si="146"/>
        <v>0.83785826917562856</v>
      </c>
      <c r="AG104" s="239">
        <f t="shared" si="151"/>
        <v>4.5499999999999999E-2</v>
      </c>
    </row>
    <row r="105" spans="1:33">
      <c r="A105" s="92"/>
      <c r="B105" s="93"/>
      <c r="C105" s="54">
        <f t="shared" si="152"/>
        <v>16066</v>
      </c>
      <c r="D105" s="54">
        <f t="shared" si="152"/>
        <v>1498.6120000000001</v>
      </c>
      <c r="E105" s="54">
        <f t="shared" si="152"/>
        <v>13126</v>
      </c>
      <c r="F105" s="54">
        <f t="shared" si="152"/>
        <v>19006</v>
      </c>
      <c r="G105" s="24">
        <f t="shared" si="152"/>
        <v>9.2999999999999999E-2</v>
      </c>
      <c r="H105" s="22">
        <f t="shared" si="153"/>
        <v>0.81984252130625401</v>
      </c>
      <c r="I105" s="21">
        <f t="shared" si="158"/>
        <v>152628</v>
      </c>
      <c r="J105" s="21">
        <f t="shared" si="158"/>
        <v>993</v>
      </c>
      <c r="K105" s="11">
        <f t="shared" si="158"/>
        <v>4.5499999999999999E-2</v>
      </c>
      <c r="L105" s="47">
        <f t="shared" si="140"/>
        <v>0.10526246822339283</v>
      </c>
      <c r="M105" s="47">
        <f t="shared" si="141"/>
        <v>0.8947375317766072</v>
      </c>
      <c r="N105" s="47">
        <f t="shared" si="148"/>
        <v>9.4182281006912047E-2</v>
      </c>
      <c r="O105" s="48">
        <f t="shared" si="142"/>
        <v>1798738666.3840399</v>
      </c>
      <c r="P105" s="3">
        <f t="shared" si="143"/>
        <v>534365.38600900001</v>
      </c>
      <c r="Q105" s="49">
        <f t="shared" si="149"/>
        <v>3366.121222443373</v>
      </c>
      <c r="R105" s="49">
        <f t="shared" si="144"/>
        <v>3293.4853308123907</v>
      </c>
      <c r="S105" s="7">
        <v>11</v>
      </c>
      <c r="T105" s="10">
        <f t="shared" si="155"/>
        <v>7.5931232091690559E-2</v>
      </c>
      <c r="U105" s="10">
        <f t="shared" si="155"/>
        <v>0.93355209187858901</v>
      </c>
      <c r="V105" s="10">
        <f t="shared" si="156"/>
        <v>12.751164153076934</v>
      </c>
      <c r="W105" s="38">
        <f t="shared" si="150"/>
        <v>299.40775734658098</v>
      </c>
      <c r="X105" s="38">
        <f t="shared" si="157"/>
        <v>3817.7974626308801</v>
      </c>
      <c r="Y105" s="8"/>
      <c r="AC105" s="221">
        <f t="shared" si="145"/>
        <v>12.751164153076934</v>
      </c>
      <c r="AD105" s="222">
        <f t="shared" si="145"/>
        <v>299.40775734658098</v>
      </c>
      <c r="AE105" s="237">
        <f t="shared" si="145"/>
        <v>3817.7974626308801</v>
      </c>
      <c r="AF105" s="238">
        <f t="shared" si="146"/>
        <v>0.81984252130625401</v>
      </c>
      <c r="AG105" s="239">
        <f t="shared" si="151"/>
        <v>4.5499999999999999E-2</v>
      </c>
    </row>
    <row r="106" spans="1:33">
      <c r="A106" s="92"/>
      <c r="B106" s="93"/>
      <c r="C106" s="54">
        <f t="shared" si="152"/>
        <v>16066</v>
      </c>
      <c r="D106" s="54">
        <f t="shared" si="152"/>
        <v>1498.6120000000001</v>
      </c>
      <c r="E106" s="54">
        <f t="shared" si="152"/>
        <v>13126</v>
      </c>
      <c r="F106" s="54">
        <f t="shared" si="152"/>
        <v>19006</v>
      </c>
      <c r="G106" s="24">
        <f t="shared" si="152"/>
        <v>9.2999999999999999E-2</v>
      </c>
      <c r="H106" s="22">
        <f t="shared" si="153"/>
        <v>0.80182677343687936</v>
      </c>
      <c r="I106" s="21">
        <f t="shared" si="158"/>
        <v>152628</v>
      </c>
      <c r="J106" s="21">
        <f t="shared" si="158"/>
        <v>993</v>
      </c>
      <c r="K106" s="11">
        <f t="shared" si="158"/>
        <v>4.5499999999999999E-2</v>
      </c>
      <c r="L106" s="47">
        <f t="shared" si="140"/>
        <v>0.10526246822339283</v>
      </c>
      <c r="M106" s="47">
        <f t="shared" si="141"/>
        <v>0.8947375317766072</v>
      </c>
      <c r="N106" s="47">
        <f t="shared" si="148"/>
        <v>9.4182281006912047E-2</v>
      </c>
      <c r="O106" s="48">
        <f t="shared" si="142"/>
        <v>1759212023.8224437</v>
      </c>
      <c r="P106" s="3">
        <f t="shared" si="143"/>
        <v>534365.38600900001</v>
      </c>
      <c r="Q106" s="49">
        <f t="shared" si="149"/>
        <v>3292.1519055742401</v>
      </c>
      <c r="R106" s="49">
        <f t="shared" si="144"/>
        <v>3222.6402739030514</v>
      </c>
      <c r="S106" s="7">
        <v>12</v>
      </c>
      <c r="T106" s="10">
        <f t="shared" si="155"/>
        <v>7.5931232091690559E-2</v>
      </c>
      <c r="U106" s="10">
        <f t="shared" si="155"/>
        <v>0.93355209187858901</v>
      </c>
      <c r="V106" s="10">
        <f t="shared" si="156"/>
        <v>13.910360894265745</v>
      </c>
      <c r="W106" s="38">
        <f>R106/S106</f>
        <v>268.55335615858763</v>
      </c>
      <c r="X106" s="38">
        <f>V106*W106</f>
        <v>3735.674103532238</v>
      </c>
      <c r="Y106" s="8"/>
      <c r="AC106" s="221">
        <f t="shared" si="145"/>
        <v>13.910360894265745</v>
      </c>
      <c r="AD106" s="222">
        <f t="shared" si="145"/>
        <v>268.55335615858763</v>
      </c>
      <c r="AE106" s="237">
        <f t="shared" si="145"/>
        <v>3735.674103532238</v>
      </c>
      <c r="AF106" s="238">
        <f t="shared" si="146"/>
        <v>0.80182677343687936</v>
      </c>
      <c r="AG106" s="239">
        <f t="shared" si="151"/>
        <v>4.5499999999999999E-2</v>
      </c>
    </row>
    <row r="107" spans="1:33">
      <c r="A107" s="92"/>
      <c r="B107" s="93"/>
      <c r="C107" s="54">
        <f t="shared" si="152"/>
        <v>16066</v>
      </c>
      <c r="D107" s="54">
        <f t="shared" si="152"/>
        <v>1498.6120000000001</v>
      </c>
      <c r="E107" s="54">
        <f t="shared" si="152"/>
        <v>13126</v>
      </c>
      <c r="F107" s="54">
        <f t="shared" si="152"/>
        <v>19006</v>
      </c>
      <c r="G107" s="24">
        <f t="shared" si="152"/>
        <v>9.2999999999999999E-2</v>
      </c>
      <c r="H107" s="22">
        <f t="shared" si="153"/>
        <v>0.78381102556750482</v>
      </c>
      <c r="I107" s="21">
        <f t="shared" si="158"/>
        <v>152628</v>
      </c>
      <c r="J107" s="21">
        <f t="shared" si="158"/>
        <v>993</v>
      </c>
      <c r="K107" s="11">
        <f t="shared" si="158"/>
        <v>4.5499999999999999E-2</v>
      </c>
      <c r="L107" s="47">
        <f t="shared" si="140"/>
        <v>0.10526246822339283</v>
      </c>
      <c r="M107" s="47">
        <f t="shared" si="141"/>
        <v>0.8947375317766072</v>
      </c>
      <c r="N107" s="47">
        <f t="shared" si="148"/>
        <v>9.4182281006912047E-2</v>
      </c>
      <c r="O107" s="48">
        <f t="shared" si="142"/>
        <v>1719685381.2608478</v>
      </c>
      <c r="P107" s="3">
        <f t="shared" si="143"/>
        <v>534365.38600900001</v>
      </c>
      <c r="Q107" s="49">
        <f t="shared" si="149"/>
        <v>3218.1825887051077</v>
      </c>
      <c r="R107" s="49">
        <f t="shared" si="144"/>
        <v>3151.7279665756901</v>
      </c>
      <c r="S107" s="7">
        <v>13</v>
      </c>
      <c r="T107" s="10">
        <f t="shared" si="155"/>
        <v>7.5931232091690559E-2</v>
      </c>
      <c r="U107" s="10">
        <f t="shared" si="155"/>
        <v>0.93355209187858901</v>
      </c>
      <c r="V107" s="10">
        <f t="shared" si="156"/>
        <v>15.069557635454558</v>
      </c>
      <c r="W107" s="38">
        <f t="shared" si="150"/>
        <v>242.44061281351463</v>
      </c>
      <c r="X107" s="38">
        <f>V107*W107</f>
        <v>3653.4727879681814</v>
      </c>
      <c r="Y107" s="8"/>
      <c r="AC107" s="221">
        <f t="shared" si="145"/>
        <v>15.069557635454558</v>
      </c>
      <c r="AD107" s="222">
        <f t="shared" si="145"/>
        <v>242.44061281351463</v>
      </c>
      <c r="AE107" s="237">
        <f t="shared" si="145"/>
        <v>3653.4727879681814</v>
      </c>
      <c r="AF107" s="238">
        <f t="shared" si="146"/>
        <v>0.78381102556750482</v>
      </c>
      <c r="AG107" s="239">
        <f t="shared" si="151"/>
        <v>4.5499999999999999E-2</v>
      </c>
    </row>
    <row r="108" spans="1:33">
      <c r="A108" s="92"/>
      <c r="B108" s="93"/>
      <c r="C108" s="54">
        <f t="shared" si="152"/>
        <v>16066</v>
      </c>
      <c r="D108" s="54">
        <f t="shared" si="152"/>
        <v>1498.6120000000001</v>
      </c>
      <c r="E108" s="54">
        <f t="shared" si="152"/>
        <v>13126</v>
      </c>
      <c r="F108" s="54">
        <f t="shared" si="152"/>
        <v>19006</v>
      </c>
      <c r="G108" s="24">
        <f t="shared" si="152"/>
        <v>9.2999999999999999E-2</v>
      </c>
      <c r="H108" s="22">
        <f t="shared" si="153"/>
        <v>0.76579527769813016</v>
      </c>
      <c r="I108" s="21">
        <f t="shared" si="158"/>
        <v>152628</v>
      </c>
      <c r="J108" s="21">
        <f t="shared" si="158"/>
        <v>993</v>
      </c>
      <c r="K108" s="11">
        <f t="shared" si="158"/>
        <v>4.5499999999999999E-2</v>
      </c>
      <c r="L108" s="47">
        <f t="shared" si="140"/>
        <v>0.10526246822339283</v>
      </c>
      <c r="M108" s="47">
        <f t="shared" si="141"/>
        <v>0.8947375317766072</v>
      </c>
      <c r="N108" s="47">
        <f t="shared" si="148"/>
        <v>9.4182281006912047E-2</v>
      </c>
      <c r="O108" s="48">
        <f t="shared" si="142"/>
        <v>1680158738.6992517</v>
      </c>
      <c r="P108" s="3">
        <f t="shared" si="143"/>
        <v>534365.38600900001</v>
      </c>
      <c r="Q108" s="49">
        <f t="shared" si="149"/>
        <v>3144.2132718359749</v>
      </c>
      <c r="R108" s="49">
        <f t="shared" si="144"/>
        <v>3080.7483130275809</v>
      </c>
      <c r="S108" s="7">
        <v>14</v>
      </c>
      <c r="T108" s="10">
        <f t="shared" si="155"/>
        <v>7.5931232091690559E-2</v>
      </c>
      <c r="U108" s="10">
        <f t="shared" si="155"/>
        <v>0.93355209187858901</v>
      </c>
      <c r="V108" s="10">
        <f t="shared" si="156"/>
        <v>16.228754376643369</v>
      </c>
      <c r="W108" s="38">
        <f>R108/S108</f>
        <v>220.05345093054149</v>
      </c>
      <c r="X108" s="38">
        <f t="shared" si="157"/>
        <v>3571.1934048845019</v>
      </c>
      <c r="Y108" s="8"/>
      <c r="AC108" s="221">
        <f t="shared" si="145"/>
        <v>16.228754376643369</v>
      </c>
      <c r="AD108" s="222">
        <f t="shared" si="145"/>
        <v>220.05345093054149</v>
      </c>
      <c r="AE108" s="237">
        <f t="shared" si="145"/>
        <v>3571.1934048845019</v>
      </c>
      <c r="AF108" s="238">
        <f t="shared" si="146"/>
        <v>0.76579527769813016</v>
      </c>
      <c r="AG108" s="239">
        <f t="shared" si="151"/>
        <v>4.5499999999999999E-2</v>
      </c>
    </row>
    <row r="109" spans="1:33">
      <c r="A109" s="92"/>
      <c r="B109" s="93"/>
      <c r="C109" s="54">
        <f t="shared" si="152"/>
        <v>16066</v>
      </c>
      <c r="D109" s="54">
        <f t="shared" si="152"/>
        <v>1498.6120000000001</v>
      </c>
      <c r="E109" s="54">
        <f t="shared" si="152"/>
        <v>13126</v>
      </c>
      <c r="F109" s="54">
        <f t="shared" si="152"/>
        <v>19006</v>
      </c>
      <c r="G109" s="24">
        <f t="shared" si="152"/>
        <v>9.2999999999999999E-2</v>
      </c>
      <c r="H109" s="22">
        <f t="shared" si="153"/>
        <v>0.74777952982875551</v>
      </c>
      <c r="I109" s="21">
        <f t="shared" si="158"/>
        <v>152628</v>
      </c>
      <c r="J109" s="21">
        <f t="shared" si="158"/>
        <v>993</v>
      </c>
      <c r="K109" s="11">
        <f t="shared" si="158"/>
        <v>4.5499999999999999E-2</v>
      </c>
      <c r="L109" s="47">
        <f t="shared" si="140"/>
        <v>0.10526246822339283</v>
      </c>
      <c r="M109" s="47">
        <f t="shared" si="141"/>
        <v>0.8947375317766072</v>
      </c>
      <c r="N109" s="47">
        <f t="shared" si="148"/>
        <v>9.4182281006912047E-2</v>
      </c>
      <c r="O109" s="48">
        <f t="shared" si="142"/>
        <v>1640632096.1376555</v>
      </c>
      <c r="P109" s="3">
        <f t="shared" si="143"/>
        <v>534365.38600900001</v>
      </c>
      <c r="Q109" s="49">
        <f t="shared" si="149"/>
        <v>3070.2439549668425</v>
      </c>
      <c r="R109" s="49">
        <f t="shared" si="144"/>
        <v>3009.7012172739446</v>
      </c>
      <c r="S109" s="3">
        <v>15</v>
      </c>
      <c r="T109" s="10">
        <f t="shared" si="155"/>
        <v>7.5931232091690559E-2</v>
      </c>
      <c r="U109" s="10">
        <f t="shared" si="155"/>
        <v>0.93355209187858901</v>
      </c>
      <c r="V109" s="10">
        <f>S109/((1-T109)*U109)</f>
        <v>17.387951117832181</v>
      </c>
      <c r="W109" s="38">
        <f>R109/S109</f>
        <v>200.64674781826298</v>
      </c>
      <c r="X109" s="38">
        <f>V109*W109</f>
        <v>3488.8358430159574</v>
      </c>
      <c r="Y109" s="8"/>
      <c r="AC109" s="221">
        <f t="shared" ref="AC109" si="159">+V109</f>
        <v>17.387951117832181</v>
      </c>
      <c r="AD109" s="222">
        <f t="shared" ref="AD109" si="160">+W109</f>
        <v>200.64674781826298</v>
      </c>
      <c r="AE109" s="237">
        <f t="shared" ref="AE109" si="161">+X109</f>
        <v>3488.8358430159574</v>
      </c>
      <c r="AF109" s="238">
        <f t="shared" ref="AF109" si="162">+H109</f>
        <v>0.74777952982875551</v>
      </c>
      <c r="AG109" s="239">
        <f t="shared" si="151"/>
        <v>4.5499999999999999E-2</v>
      </c>
    </row>
    <row r="110" spans="1:33">
      <c r="A110" s="333" t="s">
        <v>66</v>
      </c>
      <c r="B110" s="334"/>
      <c r="C110" s="334"/>
      <c r="D110" s="334"/>
      <c r="E110" s="334"/>
      <c r="F110" s="334"/>
      <c r="G110" s="334"/>
      <c r="H110" s="334"/>
      <c r="I110" s="334"/>
      <c r="J110" s="334"/>
      <c r="K110" s="334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34"/>
      <c r="X110" s="334"/>
      <c r="Y110" s="335"/>
      <c r="AC110" s="317" t="s">
        <v>66</v>
      </c>
      <c r="AD110" s="317"/>
      <c r="AE110" s="317"/>
      <c r="AF110" s="317"/>
      <c r="AG110" s="317"/>
    </row>
    <row r="111" spans="1:33" ht="24">
      <c r="A111" s="159" t="s">
        <v>27</v>
      </c>
      <c r="B111" s="158" t="s">
        <v>66</v>
      </c>
      <c r="C111" s="16">
        <v>13601</v>
      </c>
      <c r="D111" s="44">
        <v>1662.0340000000001</v>
      </c>
      <c r="E111" s="44">
        <v>10340</v>
      </c>
      <c r="F111" s="44">
        <v>16862</v>
      </c>
      <c r="G111" s="45">
        <v>0.122</v>
      </c>
      <c r="H111" s="45">
        <v>1.2270000000000001</v>
      </c>
      <c r="I111" s="44">
        <v>143390</v>
      </c>
      <c r="J111" s="44">
        <v>843</v>
      </c>
      <c r="K111" s="46">
        <f>K98</f>
        <v>4.5499999999999999E-2</v>
      </c>
      <c r="L111" s="47">
        <f t="shared" ref="L111:L122" si="163">C111/I111</f>
        <v>9.4853197573052508E-2</v>
      </c>
      <c r="M111" s="47">
        <f t="shared" ref="M111:M122" si="164">1-L111</f>
        <v>0.90514680242694745</v>
      </c>
      <c r="N111" s="47">
        <f>L111*M111</f>
        <v>8.5856068483219972E-2</v>
      </c>
      <c r="O111" s="48">
        <f t="shared" ref="O111:O122" si="165">(I111^2)*(N111*H111)</f>
        <v>2165974251.9029999</v>
      </c>
      <c r="P111" s="3">
        <f t="shared" ref="P111:P122" si="166">(K111^2)*(C111^2)</f>
        <v>382969.75287025003</v>
      </c>
      <c r="Q111" s="49">
        <f>O111/P111</f>
        <v>5655.7319100781069</v>
      </c>
      <c r="R111" s="49">
        <f t="shared" ref="R111:R122" si="167">Q111/(1+(Q111/I111))</f>
        <v>5441.1178917580501</v>
      </c>
      <c r="S111" s="15">
        <v>10.035714</v>
      </c>
      <c r="T111" s="15">
        <v>7.5931232091690559E-2</v>
      </c>
      <c r="U111" s="15">
        <v>0.93355209187858901</v>
      </c>
      <c r="V111" s="15">
        <f>S111/((1-T111)*U111)</f>
        <v>11.633366964302938</v>
      </c>
      <c r="W111" s="37">
        <f>R111/S111</f>
        <v>542.1754637246587</v>
      </c>
      <c r="X111" s="37">
        <f>V111*W111</f>
        <v>6307.3261285500703</v>
      </c>
      <c r="Y111" s="33">
        <f>(H111-1)/(S111-1)</f>
        <v>2.5122530438657097E-2</v>
      </c>
      <c r="AC111" s="221">
        <f t="shared" ref="AC111:AE121" si="168">+V111</f>
        <v>11.633366964302938</v>
      </c>
      <c r="AD111" s="222">
        <f t="shared" si="168"/>
        <v>542.1754637246587</v>
      </c>
      <c r="AE111" s="222">
        <f t="shared" si="168"/>
        <v>6307.3261285500703</v>
      </c>
      <c r="AF111" s="238">
        <f t="shared" ref="AF111:AF121" si="169">+H111</f>
        <v>1.2270000000000001</v>
      </c>
      <c r="AG111" s="239">
        <f>+K111</f>
        <v>4.5499999999999999E-2</v>
      </c>
    </row>
    <row r="112" spans="1:33">
      <c r="A112" s="92"/>
      <c r="B112" s="93"/>
      <c r="C112" s="54">
        <f>C111</f>
        <v>13601</v>
      </c>
      <c r="D112" s="54">
        <f t="shared" ref="D112" si="170">D111</f>
        <v>1662.0340000000001</v>
      </c>
      <c r="E112" s="54">
        <f>E111</f>
        <v>10340</v>
      </c>
      <c r="F112" s="54">
        <f>F111</f>
        <v>16862</v>
      </c>
      <c r="G112" s="24">
        <f>G111</f>
        <v>0.122</v>
      </c>
      <c r="H112" s="22">
        <f>1+(S112-1)*$Y$111</f>
        <v>1.1004901217546283</v>
      </c>
      <c r="I112" s="21">
        <f>I111</f>
        <v>143390</v>
      </c>
      <c r="J112" s="21">
        <f>J111</f>
        <v>843</v>
      </c>
      <c r="K112" s="11">
        <f>K111</f>
        <v>4.5499999999999999E-2</v>
      </c>
      <c r="L112" s="47">
        <f t="shared" si="163"/>
        <v>9.4853197573052508E-2</v>
      </c>
      <c r="M112" s="47">
        <f t="shared" si="164"/>
        <v>0.90514680242694745</v>
      </c>
      <c r="N112" s="47">
        <f t="shared" ref="N112:N122" si="171">L112*M112</f>
        <v>8.5856068483219972E-2</v>
      </c>
      <c r="O112" s="48">
        <f t="shared" si="165"/>
        <v>1942651400.321208</v>
      </c>
      <c r="P112" s="3">
        <f t="shared" si="166"/>
        <v>382969.75287025003</v>
      </c>
      <c r="Q112" s="49">
        <f t="shared" ref="Q112:Q122" si="172">O112/P112</f>
        <v>5072.5974721543544</v>
      </c>
      <c r="R112" s="49">
        <f t="shared" si="167"/>
        <v>4899.2794408614363</v>
      </c>
      <c r="S112" s="7">
        <v>5</v>
      </c>
      <c r="T112" s="10">
        <f>T111</f>
        <v>7.5931232091690559E-2</v>
      </c>
      <c r="U112" s="10">
        <f>U111</f>
        <v>0.93355209187858901</v>
      </c>
      <c r="V112" s="36">
        <f>S112/((1-T112)*U112)</f>
        <v>5.7959837059440611</v>
      </c>
      <c r="W112" s="38">
        <f t="shared" ref="W112:W118" si="173">R112/S112</f>
        <v>979.85588817228722</v>
      </c>
      <c r="X112" s="38">
        <f>V112*W112</f>
        <v>5679.2287620199231</v>
      </c>
      <c r="Y112" s="8"/>
      <c r="AC112" s="221">
        <f t="shared" si="168"/>
        <v>5.7959837059440611</v>
      </c>
      <c r="AD112" s="222">
        <f t="shared" si="168"/>
        <v>979.85588817228722</v>
      </c>
      <c r="AE112" s="237">
        <f t="shared" si="168"/>
        <v>5679.2287620199231</v>
      </c>
      <c r="AF112" s="238">
        <f t="shared" si="169"/>
        <v>1.1004901217546283</v>
      </c>
      <c r="AG112" s="239">
        <f t="shared" ref="AG112:AG122" si="174">+K112</f>
        <v>4.5499999999999999E-2</v>
      </c>
    </row>
    <row r="113" spans="1:33">
      <c r="A113" s="92"/>
      <c r="B113" s="93"/>
      <c r="C113" s="54">
        <f t="shared" ref="C113:G122" si="175">C112</f>
        <v>13601</v>
      </c>
      <c r="D113" s="54">
        <f t="shared" si="175"/>
        <v>1662.0340000000001</v>
      </c>
      <c r="E113" s="54">
        <f t="shared" si="175"/>
        <v>10340</v>
      </c>
      <c r="F113" s="54">
        <f t="shared" si="175"/>
        <v>16862</v>
      </c>
      <c r="G113" s="24">
        <f t="shared" si="175"/>
        <v>0.122</v>
      </c>
      <c r="H113" s="22">
        <f t="shared" ref="H113:H122" si="176">1+(S113-1)*$Y$111</f>
        <v>1.1256126521932854</v>
      </c>
      <c r="I113" s="21">
        <f>I112</f>
        <v>143390</v>
      </c>
      <c r="J113" s="21">
        <f t="shared" ref="J113:K113" si="177">J112</f>
        <v>843</v>
      </c>
      <c r="K113" s="11">
        <f t="shared" si="177"/>
        <v>4.5499999999999999E-2</v>
      </c>
      <c r="L113" s="47">
        <f t="shared" si="163"/>
        <v>9.4853197573052508E-2</v>
      </c>
      <c r="M113" s="47">
        <f t="shared" si="164"/>
        <v>0.90514680242694745</v>
      </c>
      <c r="N113" s="47">
        <f t="shared" si="171"/>
        <v>8.5856068483219972E-2</v>
      </c>
      <c r="O113" s="48">
        <f t="shared" si="165"/>
        <v>1986999203.1515102</v>
      </c>
      <c r="P113" s="3">
        <f t="shared" si="166"/>
        <v>382969.75287025003</v>
      </c>
      <c r="Q113" s="49">
        <f t="shared" si="172"/>
        <v>5188.3972252626036</v>
      </c>
      <c r="R113" s="49">
        <f t="shared" si="167"/>
        <v>5007.2170115179388</v>
      </c>
      <c r="S113" s="7">
        <v>6</v>
      </c>
      <c r="T113" s="10">
        <f t="shared" ref="T113:U122" si="178">T112</f>
        <v>7.5931232091690559E-2</v>
      </c>
      <c r="U113" s="10">
        <f t="shared" si="178"/>
        <v>0.93355209187858901</v>
      </c>
      <c r="V113" s="36">
        <f t="shared" ref="V113:V121" si="179">S113/((1-T113)*U113)</f>
        <v>6.9551804471328724</v>
      </c>
      <c r="W113" s="38">
        <f t="shared" si="173"/>
        <v>834.53616858632313</v>
      </c>
      <c r="X113" s="38">
        <f t="shared" ref="X113:X115" si="180">V113*W113</f>
        <v>5804.3496421767768</v>
      </c>
      <c r="Y113" s="8"/>
      <c r="AC113" s="221">
        <f t="shared" si="168"/>
        <v>6.9551804471328724</v>
      </c>
      <c r="AD113" s="222">
        <f t="shared" si="168"/>
        <v>834.53616858632313</v>
      </c>
      <c r="AE113" s="237">
        <f t="shared" si="168"/>
        <v>5804.3496421767768</v>
      </c>
      <c r="AF113" s="238">
        <f t="shared" si="169"/>
        <v>1.1256126521932854</v>
      </c>
      <c r="AG113" s="239">
        <f t="shared" si="174"/>
        <v>4.5499999999999999E-2</v>
      </c>
    </row>
    <row r="114" spans="1:33">
      <c r="A114" s="92"/>
      <c r="B114" s="93"/>
      <c r="C114" s="54">
        <f t="shared" si="175"/>
        <v>13601</v>
      </c>
      <c r="D114" s="54">
        <f t="shared" si="175"/>
        <v>1662.0340000000001</v>
      </c>
      <c r="E114" s="54">
        <f t="shared" si="175"/>
        <v>10340</v>
      </c>
      <c r="F114" s="54">
        <f t="shared" si="175"/>
        <v>16862</v>
      </c>
      <c r="G114" s="24">
        <f t="shared" si="175"/>
        <v>0.122</v>
      </c>
      <c r="H114" s="22">
        <f t="shared" si="176"/>
        <v>1.1507351826319425</v>
      </c>
      <c r="I114" s="21">
        <f t="shared" ref="I114:K122" si="181">I113</f>
        <v>143390</v>
      </c>
      <c r="J114" s="21">
        <f t="shared" si="181"/>
        <v>843</v>
      </c>
      <c r="K114" s="11">
        <f t="shared" si="181"/>
        <v>4.5499999999999999E-2</v>
      </c>
      <c r="L114" s="47">
        <f t="shared" si="163"/>
        <v>9.4853197573052508E-2</v>
      </c>
      <c r="M114" s="47">
        <f t="shared" si="164"/>
        <v>0.90514680242694745</v>
      </c>
      <c r="N114" s="47">
        <f t="shared" si="171"/>
        <v>8.5856068483219972E-2</v>
      </c>
      <c r="O114" s="48">
        <f t="shared" si="165"/>
        <v>2031347005.9818122</v>
      </c>
      <c r="P114" s="3">
        <f t="shared" si="166"/>
        <v>382969.75287025003</v>
      </c>
      <c r="Q114" s="49">
        <f t="shared" si="172"/>
        <v>5304.1969783708519</v>
      </c>
      <c r="R114" s="49">
        <f t="shared" si="167"/>
        <v>5114.9864633871975</v>
      </c>
      <c r="S114" s="7">
        <v>7</v>
      </c>
      <c r="T114" s="10">
        <f t="shared" si="178"/>
        <v>7.5931232091690559E-2</v>
      </c>
      <c r="U114" s="10">
        <f t="shared" si="178"/>
        <v>0.93355209187858901</v>
      </c>
      <c r="V114" s="36">
        <f t="shared" si="179"/>
        <v>8.1143771883216846</v>
      </c>
      <c r="W114" s="38">
        <f t="shared" si="173"/>
        <v>730.71235191245682</v>
      </c>
      <c r="X114" s="38">
        <f t="shared" si="180"/>
        <v>5929.2756395833267</v>
      </c>
      <c r="Y114" s="8"/>
      <c r="AC114" s="221">
        <f t="shared" si="168"/>
        <v>8.1143771883216846</v>
      </c>
      <c r="AD114" s="222">
        <f t="shared" si="168"/>
        <v>730.71235191245682</v>
      </c>
      <c r="AE114" s="237">
        <f t="shared" si="168"/>
        <v>5929.2756395833267</v>
      </c>
      <c r="AF114" s="238">
        <f t="shared" si="169"/>
        <v>1.1507351826319425</v>
      </c>
      <c r="AG114" s="239">
        <f t="shared" si="174"/>
        <v>4.5499999999999999E-2</v>
      </c>
    </row>
    <row r="115" spans="1:33">
      <c r="A115" s="92"/>
      <c r="B115" s="93"/>
      <c r="C115" s="54">
        <f t="shared" si="175"/>
        <v>13601</v>
      </c>
      <c r="D115" s="54">
        <f t="shared" si="175"/>
        <v>1662.0340000000001</v>
      </c>
      <c r="E115" s="54">
        <f t="shared" si="175"/>
        <v>10340</v>
      </c>
      <c r="F115" s="54">
        <f t="shared" si="175"/>
        <v>16862</v>
      </c>
      <c r="G115" s="24">
        <f t="shared" si="175"/>
        <v>0.122</v>
      </c>
      <c r="H115" s="22">
        <f t="shared" si="176"/>
        <v>1.1758577130705996</v>
      </c>
      <c r="I115" s="21">
        <f t="shared" si="181"/>
        <v>143390</v>
      </c>
      <c r="J115" s="21">
        <f t="shared" si="181"/>
        <v>843</v>
      </c>
      <c r="K115" s="11">
        <f t="shared" si="181"/>
        <v>4.5499999999999999E-2</v>
      </c>
      <c r="L115" s="47">
        <f t="shared" si="163"/>
        <v>9.4853197573052508E-2</v>
      </c>
      <c r="M115" s="47">
        <f t="shared" si="164"/>
        <v>0.90514680242694745</v>
      </c>
      <c r="N115" s="47">
        <f t="shared" si="171"/>
        <v>8.5856068483219972E-2</v>
      </c>
      <c r="O115" s="48">
        <f t="shared" si="165"/>
        <v>2075694808.8121142</v>
      </c>
      <c r="P115" s="3">
        <f t="shared" si="166"/>
        <v>382969.75287025003</v>
      </c>
      <c r="Q115" s="49">
        <f t="shared" si="172"/>
        <v>5419.9967314791011</v>
      </c>
      <c r="R115" s="49">
        <f t="shared" si="167"/>
        <v>5222.5881889451439</v>
      </c>
      <c r="S115" s="7">
        <v>8</v>
      </c>
      <c r="T115" s="10">
        <f t="shared" si="178"/>
        <v>7.5931232091690559E-2</v>
      </c>
      <c r="U115" s="10">
        <f t="shared" si="178"/>
        <v>0.93355209187858901</v>
      </c>
      <c r="V115" s="36">
        <f t="shared" si="179"/>
        <v>9.2735739295104977</v>
      </c>
      <c r="W115" s="38">
        <f t="shared" si="173"/>
        <v>652.82352361814299</v>
      </c>
      <c r="X115" s="38">
        <f t="shared" si="180"/>
        <v>6054.0072091963912</v>
      </c>
      <c r="Y115" s="8"/>
      <c r="AC115" s="221">
        <f t="shared" si="168"/>
        <v>9.2735739295104977</v>
      </c>
      <c r="AD115" s="222">
        <f t="shared" si="168"/>
        <v>652.82352361814299</v>
      </c>
      <c r="AE115" s="237">
        <f t="shared" si="168"/>
        <v>6054.0072091963912</v>
      </c>
      <c r="AF115" s="238">
        <f t="shared" si="169"/>
        <v>1.1758577130705996</v>
      </c>
      <c r="AG115" s="239">
        <f t="shared" si="174"/>
        <v>4.5499999999999999E-2</v>
      </c>
    </row>
    <row r="116" spans="1:33">
      <c r="A116" s="92"/>
      <c r="B116" s="93"/>
      <c r="C116" s="54">
        <f t="shared" si="175"/>
        <v>13601</v>
      </c>
      <c r="D116" s="54">
        <f t="shared" si="175"/>
        <v>1662.0340000000001</v>
      </c>
      <c r="E116" s="54">
        <f t="shared" si="175"/>
        <v>10340</v>
      </c>
      <c r="F116" s="54">
        <f t="shared" si="175"/>
        <v>16862</v>
      </c>
      <c r="G116" s="24">
        <f t="shared" si="175"/>
        <v>0.122</v>
      </c>
      <c r="H116" s="22">
        <f t="shared" si="176"/>
        <v>1.2009802435092567</v>
      </c>
      <c r="I116" s="21">
        <f t="shared" si="181"/>
        <v>143390</v>
      </c>
      <c r="J116" s="21">
        <f t="shared" si="181"/>
        <v>843</v>
      </c>
      <c r="K116" s="11">
        <f t="shared" si="181"/>
        <v>4.5499999999999999E-2</v>
      </c>
      <c r="L116" s="47">
        <f t="shared" si="163"/>
        <v>9.4853197573052508E-2</v>
      </c>
      <c r="M116" s="47">
        <f t="shared" si="164"/>
        <v>0.90514680242694745</v>
      </c>
      <c r="N116" s="47">
        <f t="shared" si="171"/>
        <v>8.5856068483219972E-2</v>
      </c>
      <c r="O116" s="48">
        <f t="shared" si="165"/>
        <v>2120042611.6424162</v>
      </c>
      <c r="P116" s="3">
        <f t="shared" si="166"/>
        <v>382969.75287025003</v>
      </c>
      <c r="Q116" s="49">
        <f t="shared" si="172"/>
        <v>5535.7964845873503</v>
      </c>
      <c r="R116" s="49">
        <f t="shared" si="167"/>
        <v>5330.0225794470061</v>
      </c>
      <c r="S116" s="7">
        <v>9</v>
      </c>
      <c r="T116" s="10">
        <f t="shared" si="178"/>
        <v>7.5931232091690559E-2</v>
      </c>
      <c r="U116" s="10">
        <f t="shared" si="178"/>
        <v>0.93355209187858901</v>
      </c>
      <c r="V116" s="36">
        <f t="shared" si="179"/>
        <v>10.432770670699309</v>
      </c>
      <c r="W116" s="38">
        <f t="shared" si="173"/>
        <v>592.2247310496673</v>
      </c>
      <c r="X116" s="38">
        <f>V116*W116</f>
        <v>6178.544804557755</v>
      </c>
      <c r="Y116" s="8"/>
      <c r="AC116" s="221">
        <f t="shared" si="168"/>
        <v>10.432770670699309</v>
      </c>
      <c r="AD116" s="222">
        <f t="shared" si="168"/>
        <v>592.2247310496673</v>
      </c>
      <c r="AE116" s="237">
        <f t="shared" si="168"/>
        <v>6178.544804557755</v>
      </c>
      <c r="AF116" s="238">
        <f t="shared" si="169"/>
        <v>1.2009802435092567</v>
      </c>
      <c r="AG116" s="239">
        <f t="shared" si="174"/>
        <v>4.5499999999999999E-2</v>
      </c>
    </row>
    <row r="117" spans="1:33">
      <c r="A117" s="92"/>
      <c r="B117" s="93"/>
      <c r="C117" s="54">
        <f t="shared" si="175"/>
        <v>13601</v>
      </c>
      <c r="D117" s="54">
        <f t="shared" si="175"/>
        <v>1662.0340000000001</v>
      </c>
      <c r="E117" s="54">
        <f t="shared" si="175"/>
        <v>10340</v>
      </c>
      <c r="F117" s="54">
        <f t="shared" si="175"/>
        <v>16862</v>
      </c>
      <c r="G117" s="24">
        <f t="shared" si="175"/>
        <v>0.122</v>
      </c>
      <c r="H117" s="22">
        <f t="shared" si="176"/>
        <v>1.2261027739479138</v>
      </c>
      <c r="I117" s="21">
        <f t="shared" si="181"/>
        <v>143390</v>
      </c>
      <c r="J117" s="21">
        <f t="shared" si="181"/>
        <v>843</v>
      </c>
      <c r="K117" s="11">
        <f t="shared" si="181"/>
        <v>4.5499999999999999E-2</v>
      </c>
      <c r="L117" s="47">
        <f t="shared" si="163"/>
        <v>9.4853197573052508E-2</v>
      </c>
      <c r="M117" s="47">
        <f t="shared" si="164"/>
        <v>0.90514680242694745</v>
      </c>
      <c r="N117" s="47">
        <f t="shared" si="171"/>
        <v>8.5856068483219972E-2</v>
      </c>
      <c r="O117" s="48">
        <f t="shared" si="165"/>
        <v>2164390414.4727182</v>
      </c>
      <c r="P117" s="3">
        <f t="shared" si="166"/>
        <v>382969.75287025003</v>
      </c>
      <c r="Q117" s="49">
        <f t="shared" si="172"/>
        <v>5651.5962376955986</v>
      </c>
      <c r="R117" s="49">
        <f t="shared" si="167"/>
        <v>5437.2900249320464</v>
      </c>
      <c r="S117" s="7">
        <v>10</v>
      </c>
      <c r="T117" s="10">
        <f t="shared" si="178"/>
        <v>7.5931232091690559E-2</v>
      </c>
      <c r="U117" s="10">
        <f t="shared" si="178"/>
        <v>0.93355209187858901</v>
      </c>
      <c r="V117" s="36">
        <f t="shared" si="179"/>
        <v>11.591967411888122</v>
      </c>
      <c r="W117" s="38">
        <f t="shared" si="173"/>
        <v>543.72900249320469</v>
      </c>
      <c r="X117" s="38">
        <f t="shared" ref="X117:X118" si="182">V117*W117</f>
        <v>6302.8888777996644</v>
      </c>
      <c r="Y117" s="8"/>
      <c r="AC117" s="221">
        <f t="shared" si="168"/>
        <v>11.591967411888122</v>
      </c>
      <c r="AD117" s="222">
        <f t="shared" si="168"/>
        <v>543.72900249320469</v>
      </c>
      <c r="AE117" s="237">
        <f t="shared" si="168"/>
        <v>6302.8888777996644</v>
      </c>
      <c r="AF117" s="238">
        <f t="shared" si="169"/>
        <v>1.2261027739479138</v>
      </c>
      <c r="AG117" s="239">
        <f t="shared" si="174"/>
        <v>4.5499999999999999E-2</v>
      </c>
    </row>
    <row r="118" spans="1:33">
      <c r="A118" s="92"/>
      <c r="B118" s="93"/>
      <c r="C118" s="54">
        <f t="shared" si="175"/>
        <v>13601</v>
      </c>
      <c r="D118" s="54">
        <f t="shared" si="175"/>
        <v>1662.0340000000001</v>
      </c>
      <c r="E118" s="54">
        <f t="shared" si="175"/>
        <v>10340</v>
      </c>
      <c r="F118" s="54">
        <f t="shared" si="175"/>
        <v>16862</v>
      </c>
      <c r="G118" s="24">
        <f t="shared" si="175"/>
        <v>0.122</v>
      </c>
      <c r="H118" s="22">
        <f t="shared" si="176"/>
        <v>1.2512253043865709</v>
      </c>
      <c r="I118" s="21">
        <f t="shared" si="181"/>
        <v>143390</v>
      </c>
      <c r="J118" s="21">
        <f t="shared" si="181"/>
        <v>843</v>
      </c>
      <c r="K118" s="11">
        <f t="shared" si="181"/>
        <v>4.5499999999999999E-2</v>
      </c>
      <c r="L118" s="47">
        <f t="shared" si="163"/>
        <v>9.4853197573052508E-2</v>
      </c>
      <c r="M118" s="47">
        <f t="shared" si="164"/>
        <v>0.90514680242694745</v>
      </c>
      <c r="N118" s="47">
        <f t="shared" si="171"/>
        <v>8.5856068483219972E-2</v>
      </c>
      <c r="O118" s="48">
        <f t="shared" si="165"/>
        <v>2208738217.3030205</v>
      </c>
      <c r="P118" s="3">
        <f t="shared" si="166"/>
        <v>382969.75287025003</v>
      </c>
      <c r="Q118" s="49">
        <f t="shared" si="172"/>
        <v>5767.3959908038478</v>
      </c>
      <c r="R118" s="49">
        <f t="shared" si="167"/>
        <v>5544.3909142282882</v>
      </c>
      <c r="S118" s="7">
        <v>11</v>
      </c>
      <c r="T118" s="10">
        <f t="shared" si="178"/>
        <v>7.5931232091690559E-2</v>
      </c>
      <c r="U118" s="10">
        <f t="shared" si="178"/>
        <v>0.93355209187858901</v>
      </c>
      <c r="V118" s="36">
        <f t="shared" si="179"/>
        <v>12.751164153076934</v>
      </c>
      <c r="W118" s="38">
        <f t="shared" si="173"/>
        <v>504.03553765711712</v>
      </c>
      <c r="X118" s="38">
        <f t="shared" si="182"/>
        <v>6427.0398796502905</v>
      </c>
      <c r="Y118" s="8"/>
      <c r="AC118" s="221">
        <f t="shared" si="168"/>
        <v>12.751164153076934</v>
      </c>
      <c r="AD118" s="222">
        <f t="shared" si="168"/>
        <v>504.03553765711712</v>
      </c>
      <c r="AE118" s="237">
        <f t="shared" si="168"/>
        <v>6427.0398796502905</v>
      </c>
      <c r="AF118" s="238">
        <f t="shared" si="169"/>
        <v>1.2512253043865709</v>
      </c>
      <c r="AG118" s="239">
        <f t="shared" si="174"/>
        <v>4.5499999999999999E-2</v>
      </c>
    </row>
    <row r="119" spans="1:33">
      <c r="A119" s="92"/>
      <c r="B119" s="93"/>
      <c r="C119" s="54">
        <f t="shared" si="175"/>
        <v>13601</v>
      </c>
      <c r="D119" s="54">
        <f t="shared" si="175"/>
        <v>1662.0340000000001</v>
      </c>
      <c r="E119" s="54">
        <f t="shared" si="175"/>
        <v>10340</v>
      </c>
      <c r="F119" s="54">
        <f t="shared" si="175"/>
        <v>16862</v>
      </c>
      <c r="G119" s="24">
        <f t="shared" si="175"/>
        <v>0.122</v>
      </c>
      <c r="H119" s="22">
        <f t="shared" si="176"/>
        <v>1.276347834825228</v>
      </c>
      <c r="I119" s="21">
        <f t="shared" si="181"/>
        <v>143390</v>
      </c>
      <c r="J119" s="21">
        <f t="shared" si="181"/>
        <v>843</v>
      </c>
      <c r="K119" s="11">
        <f t="shared" si="181"/>
        <v>4.5499999999999999E-2</v>
      </c>
      <c r="L119" s="47">
        <f t="shared" si="163"/>
        <v>9.4853197573052508E-2</v>
      </c>
      <c r="M119" s="47">
        <f>1-L119</f>
        <v>0.90514680242694745</v>
      </c>
      <c r="N119" s="47">
        <f t="shared" si="171"/>
        <v>8.5856068483219972E-2</v>
      </c>
      <c r="O119" s="48">
        <f t="shared" si="165"/>
        <v>2253086020.1333227</v>
      </c>
      <c r="P119" s="3">
        <f t="shared" si="166"/>
        <v>382969.75287025003</v>
      </c>
      <c r="Q119" s="49">
        <f t="shared" si="172"/>
        <v>5883.195743912097</v>
      </c>
      <c r="R119" s="49">
        <f t="shared" si="167"/>
        <v>5651.3256349572075</v>
      </c>
      <c r="S119" s="7">
        <v>12</v>
      </c>
      <c r="T119" s="10">
        <f t="shared" si="178"/>
        <v>7.5931232091690559E-2</v>
      </c>
      <c r="U119" s="10">
        <f t="shared" si="178"/>
        <v>0.93355209187858901</v>
      </c>
      <c r="V119" s="36">
        <f t="shared" si="179"/>
        <v>13.910360894265745</v>
      </c>
      <c r="W119" s="38">
        <f>R119/S119</f>
        <v>470.94380291310063</v>
      </c>
      <c r="X119" s="38">
        <f>V119*W119</f>
        <v>6550.9982594391895</v>
      </c>
      <c r="Y119" s="8"/>
      <c r="AC119" s="221">
        <f t="shared" si="168"/>
        <v>13.910360894265745</v>
      </c>
      <c r="AD119" s="222">
        <f t="shared" si="168"/>
        <v>470.94380291310063</v>
      </c>
      <c r="AE119" s="237">
        <f t="shared" si="168"/>
        <v>6550.9982594391895</v>
      </c>
      <c r="AF119" s="238">
        <f t="shared" si="169"/>
        <v>1.276347834825228</v>
      </c>
      <c r="AG119" s="239">
        <f t="shared" si="174"/>
        <v>4.5499999999999999E-2</v>
      </c>
    </row>
    <row r="120" spans="1:33">
      <c r="A120" s="92"/>
      <c r="B120" s="93"/>
      <c r="C120" s="54">
        <f t="shared" si="175"/>
        <v>13601</v>
      </c>
      <c r="D120" s="54">
        <f t="shared" si="175"/>
        <v>1662.0340000000001</v>
      </c>
      <c r="E120" s="54">
        <f t="shared" si="175"/>
        <v>10340</v>
      </c>
      <c r="F120" s="54">
        <f t="shared" si="175"/>
        <v>16862</v>
      </c>
      <c r="G120" s="24">
        <f t="shared" si="175"/>
        <v>0.122</v>
      </c>
      <c r="H120" s="22">
        <f t="shared" si="176"/>
        <v>1.301470365263885</v>
      </c>
      <c r="I120" s="21">
        <f t="shared" si="181"/>
        <v>143390</v>
      </c>
      <c r="J120" s="21">
        <f t="shared" si="181"/>
        <v>843</v>
      </c>
      <c r="K120" s="11">
        <f t="shared" si="181"/>
        <v>4.5499999999999999E-2</v>
      </c>
      <c r="L120" s="47">
        <f t="shared" si="163"/>
        <v>9.4853197573052508E-2</v>
      </c>
      <c r="M120" s="47">
        <f t="shared" si="164"/>
        <v>0.90514680242694745</v>
      </c>
      <c r="N120" s="47">
        <f t="shared" si="171"/>
        <v>8.5856068483219972E-2</v>
      </c>
      <c r="O120" s="48">
        <f t="shared" si="165"/>
        <v>2297433822.9636245</v>
      </c>
      <c r="P120" s="3">
        <f t="shared" si="166"/>
        <v>382969.75287025003</v>
      </c>
      <c r="Q120" s="49">
        <f t="shared" si="172"/>
        <v>5998.9954970203453</v>
      </c>
      <c r="R120" s="49">
        <f t="shared" si="167"/>
        <v>5758.094573538413</v>
      </c>
      <c r="S120" s="7">
        <v>13</v>
      </c>
      <c r="T120" s="10">
        <f t="shared" si="178"/>
        <v>7.5931232091690559E-2</v>
      </c>
      <c r="U120" s="10">
        <f t="shared" si="178"/>
        <v>0.93355209187858901</v>
      </c>
      <c r="V120" s="36">
        <f t="shared" si="179"/>
        <v>15.069557635454558</v>
      </c>
      <c r="W120" s="38">
        <f t="shared" ref="W120" si="183">R120/S120</f>
        <v>442.93035181064715</v>
      </c>
      <c r="X120" s="38">
        <f>V120*W120</f>
        <v>6674.7644651027113</v>
      </c>
      <c r="Y120" s="8"/>
      <c r="AC120" s="221">
        <f t="shared" si="168"/>
        <v>15.069557635454558</v>
      </c>
      <c r="AD120" s="222">
        <f t="shared" si="168"/>
        <v>442.93035181064715</v>
      </c>
      <c r="AE120" s="237">
        <f t="shared" si="168"/>
        <v>6674.7644651027113</v>
      </c>
      <c r="AF120" s="238">
        <f t="shared" si="169"/>
        <v>1.301470365263885</v>
      </c>
      <c r="AG120" s="239">
        <f t="shared" si="174"/>
        <v>4.5499999999999999E-2</v>
      </c>
    </row>
    <row r="121" spans="1:33">
      <c r="A121" s="92"/>
      <c r="B121" s="93"/>
      <c r="C121" s="54">
        <f t="shared" si="175"/>
        <v>13601</v>
      </c>
      <c r="D121" s="54">
        <f t="shared" si="175"/>
        <v>1662.0340000000001</v>
      </c>
      <c r="E121" s="54">
        <f t="shared" si="175"/>
        <v>10340</v>
      </c>
      <c r="F121" s="54">
        <f t="shared" si="175"/>
        <v>16862</v>
      </c>
      <c r="G121" s="24">
        <f t="shared" si="175"/>
        <v>0.122</v>
      </c>
      <c r="H121" s="22">
        <f t="shared" si="176"/>
        <v>1.3265928957025421</v>
      </c>
      <c r="I121" s="21">
        <f t="shared" si="181"/>
        <v>143390</v>
      </c>
      <c r="J121" s="21">
        <f t="shared" si="181"/>
        <v>843</v>
      </c>
      <c r="K121" s="11">
        <f t="shared" si="181"/>
        <v>4.5499999999999999E-2</v>
      </c>
      <c r="L121" s="47">
        <f t="shared" si="163"/>
        <v>9.4853197573052508E-2</v>
      </c>
      <c r="M121" s="47">
        <f t="shared" si="164"/>
        <v>0.90514680242694745</v>
      </c>
      <c r="N121" s="47">
        <f t="shared" si="171"/>
        <v>8.5856068483219972E-2</v>
      </c>
      <c r="O121" s="48">
        <f t="shared" si="165"/>
        <v>2341781625.7939267</v>
      </c>
      <c r="P121" s="3">
        <f t="shared" si="166"/>
        <v>382969.75287025003</v>
      </c>
      <c r="Q121" s="49">
        <f t="shared" si="172"/>
        <v>6114.7952501285954</v>
      </c>
      <c r="R121" s="49">
        <f t="shared" si="167"/>
        <v>5864.6981151943028</v>
      </c>
      <c r="S121" s="7">
        <v>14</v>
      </c>
      <c r="T121" s="10">
        <f t="shared" si="178"/>
        <v>7.5931232091690559E-2</v>
      </c>
      <c r="U121" s="10">
        <f t="shared" si="178"/>
        <v>0.93355209187858901</v>
      </c>
      <c r="V121" s="36">
        <f t="shared" si="179"/>
        <v>16.228754376643369</v>
      </c>
      <c r="W121" s="38">
        <f>R121/S121</f>
        <v>418.9070082281645</v>
      </c>
      <c r="X121" s="38">
        <f t="shared" ref="X121" si="184">V121*W121</f>
        <v>6798.3389431894047</v>
      </c>
      <c r="Y121" s="8"/>
      <c r="AC121" s="221">
        <f t="shared" si="168"/>
        <v>16.228754376643369</v>
      </c>
      <c r="AD121" s="222">
        <f t="shared" si="168"/>
        <v>418.9070082281645</v>
      </c>
      <c r="AE121" s="237">
        <f t="shared" si="168"/>
        <v>6798.3389431894047</v>
      </c>
      <c r="AF121" s="238">
        <f t="shared" si="169"/>
        <v>1.3265928957025421</v>
      </c>
      <c r="AG121" s="239">
        <f t="shared" si="174"/>
        <v>4.5499999999999999E-2</v>
      </c>
    </row>
    <row r="122" spans="1:33">
      <c r="A122" s="92"/>
      <c r="B122" s="93"/>
      <c r="C122" s="54">
        <f t="shared" si="175"/>
        <v>13601</v>
      </c>
      <c r="D122" s="54">
        <f t="shared" si="175"/>
        <v>1662.0340000000001</v>
      </c>
      <c r="E122" s="54">
        <f t="shared" si="175"/>
        <v>10340</v>
      </c>
      <c r="F122" s="54">
        <f t="shared" si="175"/>
        <v>16862</v>
      </c>
      <c r="G122" s="24">
        <f t="shared" si="175"/>
        <v>0.122</v>
      </c>
      <c r="H122" s="22">
        <f t="shared" si="176"/>
        <v>1.3517154261411994</v>
      </c>
      <c r="I122" s="21">
        <f t="shared" si="181"/>
        <v>143390</v>
      </c>
      <c r="J122" s="21">
        <f t="shared" si="181"/>
        <v>843</v>
      </c>
      <c r="K122" s="11">
        <f t="shared" si="181"/>
        <v>4.5499999999999999E-2</v>
      </c>
      <c r="L122" s="47">
        <f t="shared" si="163"/>
        <v>9.4853197573052508E-2</v>
      </c>
      <c r="M122" s="47">
        <f t="shared" si="164"/>
        <v>0.90514680242694745</v>
      </c>
      <c r="N122" s="47">
        <f t="shared" si="171"/>
        <v>8.5856068483219972E-2</v>
      </c>
      <c r="O122" s="48">
        <f t="shared" si="165"/>
        <v>2386129428.624229</v>
      </c>
      <c r="P122" s="3">
        <f t="shared" si="166"/>
        <v>382969.75287025003</v>
      </c>
      <c r="Q122" s="49">
        <f t="shared" si="172"/>
        <v>6230.5950032368446</v>
      </c>
      <c r="R122" s="49">
        <f t="shared" si="167"/>
        <v>5971.1366439546873</v>
      </c>
      <c r="S122" s="3">
        <v>15</v>
      </c>
      <c r="T122" s="10">
        <f t="shared" si="178"/>
        <v>7.5931232091690559E-2</v>
      </c>
      <c r="U122" s="10">
        <f t="shared" si="178"/>
        <v>0.93355209187858901</v>
      </c>
      <c r="V122" s="36">
        <f>S122/((1-T122)*U122)</f>
        <v>17.387951117832181</v>
      </c>
      <c r="W122" s="38">
        <f>R122/S122</f>
        <v>398.07577626364582</v>
      </c>
      <c r="X122" s="38">
        <f>V122*W122</f>
        <v>6921.7221388653734</v>
      </c>
      <c r="Y122" s="8"/>
      <c r="AC122" s="221">
        <f t="shared" ref="AC122" si="185">+V122</f>
        <v>17.387951117832181</v>
      </c>
      <c r="AD122" s="222">
        <f t="shared" ref="AD122" si="186">+W122</f>
        <v>398.07577626364582</v>
      </c>
      <c r="AE122" s="237">
        <f t="shared" ref="AE122" si="187">+X122</f>
        <v>6921.7221388653734</v>
      </c>
      <c r="AF122" s="238">
        <f t="shared" ref="AF122" si="188">+H122</f>
        <v>1.3517154261411994</v>
      </c>
      <c r="AG122" s="239">
        <f t="shared" si="174"/>
        <v>4.5499999999999999E-2</v>
      </c>
    </row>
    <row r="123" spans="1:33">
      <c r="A123" s="69"/>
      <c r="B123" s="70"/>
      <c r="C123" s="71"/>
      <c r="D123" s="71"/>
      <c r="E123" s="71"/>
      <c r="F123" s="71"/>
      <c r="G123" s="72"/>
      <c r="H123" s="73"/>
      <c r="I123" s="74"/>
      <c r="J123" s="74"/>
      <c r="K123" s="75"/>
      <c r="L123" s="76"/>
      <c r="M123" s="76"/>
      <c r="N123" s="76"/>
      <c r="O123" s="77"/>
      <c r="P123" s="78"/>
      <c r="Q123" s="79"/>
      <c r="R123" s="79"/>
      <c r="S123" s="79"/>
      <c r="T123" s="80"/>
      <c r="U123" s="80"/>
      <c r="V123" s="80"/>
      <c r="W123" s="79"/>
      <c r="X123" s="80"/>
      <c r="Y123" s="99"/>
      <c r="AC123" s="39" t="s">
        <v>26</v>
      </c>
    </row>
  </sheetData>
  <mergeCells count="20">
    <mergeCell ref="A97:Y97"/>
    <mergeCell ref="A110:Y110"/>
    <mergeCell ref="G45:K45"/>
    <mergeCell ref="S45:Y45"/>
    <mergeCell ref="A58:Y58"/>
    <mergeCell ref="A71:Y71"/>
    <mergeCell ref="A84:Y84"/>
    <mergeCell ref="AC4:AG4"/>
    <mergeCell ref="AC17:AG17"/>
    <mergeCell ref="AC30:AG30"/>
    <mergeCell ref="G17:K17"/>
    <mergeCell ref="S17:Y17"/>
    <mergeCell ref="G30:K30"/>
    <mergeCell ref="S30:Y30"/>
    <mergeCell ref="AC97:AG97"/>
    <mergeCell ref="AC110:AG110"/>
    <mergeCell ref="AC45:AG45"/>
    <mergeCell ref="AC58:AG58"/>
    <mergeCell ref="AC71:AG71"/>
    <mergeCell ref="AC84:AG84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6"/>
  <sheetViews>
    <sheetView showGridLines="0" zoomScale="80" zoomScaleNormal="80" workbookViewId="0">
      <selection activeCell="K15" sqref="K15"/>
    </sheetView>
  </sheetViews>
  <sheetFormatPr baseColWidth="10" defaultRowHeight="15"/>
  <cols>
    <col min="3" max="3" width="10.28515625" bestFit="1" customWidth="1"/>
    <col min="4" max="4" width="2.140625" bestFit="1" customWidth="1"/>
    <col min="5" max="5" width="12" bestFit="1" customWidth="1"/>
    <col min="6" max="6" width="4.42578125" bestFit="1" customWidth="1"/>
    <col min="7" max="7" width="7.140625" bestFit="1" customWidth="1"/>
    <col min="8" max="8" width="13.5703125" bestFit="1" customWidth="1"/>
    <col min="9" max="9" width="10.5703125" bestFit="1" customWidth="1"/>
    <col min="10" max="10" width="14.28515625" bestFit="1" customWidth="1"/>
    <col min="11" max="11" width="14.7109375" bestFit="1" customWidth="1"/>
    <col min="20" max="20" width="13.5703125" bestFit="1" customWidth="1"/>
    <col min="22" max="22" width="14.140625" bestFit="1" customWidth="1"/>
    <col min="23" max="23" width="14.5703125" bestFit="1" customWidth="1"/>
  </cols>
  <sheetData>
    <row r="1" spans="1:23" ht="15" customHeight="1">
      <c r="A1" s="339" t="s">
        <v>116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M1" s="339" t="s">
        <v>117</v>
      </c>
      <c r="N1" s="339"/>
      <c r="O1" s="339"/>
      <c r="P1" s="339"/>
      <c r="Q1" s="339"/>
      <c r="R1" s="339"/>
      <c r="S1" s="339"/>
      <c r="T1" s="339"/>
      <c r="U1" s="339"/>
      <c r="V1" s="339"/>
      <c r="W1" s="339"/>
    </row>
    <row r="2" spans="1:23">
      <c r="A2" s="171" t="s">
        <v>67</v>
      </c>
      <c r="B2" s="175" t="s">
        <v>73</v>
      </c>
      <c r="C2" s="175" t="s">
        <v>85</v>
      </c>
      <c r="D2" s="170" t="s">
        <v>82</v>
      </c>
      <c r="E2" s="170" t="s">
        <v>91</v>
      </c>
      <c r="F2" s="170" t="s">
        <v>92</v>
      </c>
      <c r="G2" s="170" t="s">
        <v>11</v>
      </c>
      <c r="H2" s="170" t="s">
        <v>90</v>
      </c>
      <c r="I2" s="170" t="s">
        <v>52</v>
      </c>
      <c r="J2" s="174" t="s">
        <v>88</v>
      </c>
      <c r="K2" s="174" t="s">
        <v>89</v>
      </c>
      <c r="M2" s="171" t="s">
        <v>67</v>
      </c>
      <c r="N2" s="175" t="s">
        <v>73</v>
      </c>
      <c r="O2" s="175" t="s">
        <v>85</v>
      </c>
      <c r="P2" s="170" t="s">
        <v>82</v>
      </c>
      <c r="Q2" s="170" t="s">
        <v>91</v>
      </c>
      <c r="R2" s="170" t="s">
        <v>92</v>
      </c>
      <c r="S2" s="170" t="s">
        <v>11</v>
      </c>
      <c r="T2" s="170" t="s">
        <v>90</v>
      </c>
      <c r="U2" s="170" t="s">
        <v>52</v>
      </c>
      <c r="V2" s="174" t="s">
        <v>88</v>
      </c>
      <c r="W2" s="174" t="s">
        <v>89</v>
      </c>
    </row>
    <row r="3" spans="1:23">
      <c r="A3" s="336" t="s">
        <v>21</v>
      </c>
      <c r="B3" s="176">
        <v>26565</v>
      </c>
      <c r="C3" s="178">
        <v>3320.625</v>
      </c>
      <c r="D3" s="179">
        <v>8</v>
      </c>
      <c r="E3" s="179">
        <v>0.31515407612334218</v>
      </c>
      <c r="F3" s="179">
        <f>1+(8-1)*E3</f>
        <v>3.2060785328633954</v>
      </c>
      <c r="G3" s="180">
        <v>0.119512406156496</v>
      </c>
      <c r="H3" s="186">
        <f>SQRT((G3*(1-G3)/B3)*F3)</f>
        <v>3.5636929969079661E-3</v>
      </c>
      <c r="I3" s="181">
        <f>+H3/G3</f>
        <v>2.9818603034746653E-2</v>
      </c>
      <c r="J3" s="181">
        <f>+G3-(1.96*H3)</f>
        <v>0.11252756788255638</v>
      </c>
      <c r="K3" s="181">
        <f>+G3+(1.96*H3)</f>
        <v>0.12649724443043561</v>
      </c>
      <c r="M3" s="336" t="s">
        <v>21</v>
      </c>
      <c r="N3" s="189">
        <v>42560</v>
      </c>
      <c r="O3" s="179">
        <v>5320</v>
      </c>
      <c r="P3" s="179">
        <v>8</v>
      </c>
      <c r="Q3" s="179">
        <v>2.7801994920611958E-2</v>
      </c>
      <c r="R3" s="179">
        <v>1.1946139644442837</v>
      </c>
      <c r="S3" s="180">
        <v>6.3799603123113141E-2</v>
      </c>
      <c r="T3" s="186">
        <f>SQRT((S3*(1-S3)/N3)*R3)</f>
        <v>1.2948110079263719E-3</v>
      </c>
      <c r="U3" s="181">
        <f>+T3/S3</f>
        <v>2.0294969632143237E-2</v>
      </c>
      <c r="V3" s="181">
        <f>+S3-(1.96*T3)</f>
        <v>6.1261773547577454E-2</v>
      </c>
      <c r="W3" s="181">
        <f>+S3+(1.96*T3)</f>
        <v>6.6337432698648835E-2</v>
      </c>
    </row>
    <row r="4" spans="1:23">
      <c r="A4" s="337"/>
      <c r="B4" s="177">
        <v>26565</v>
      </c>
      <c r="C4" s="161">
        <v>3320.625</v>
      </c>
      <c r="D4" s="152">
        <v>8</v>
      </c>
      <c r="E4" s="152">
        <v>0.31515407612334218</v>
      </c>
      <c r="F4" s="152">
        <f t="shared" ref="F4:F20" si="0">1+(8-1)*E4</f>
        <v>3.2060785328633954</v>
      </c>
      <c r="G4" s="152">
        <v>0.05</v>
      </c>
      <c r="H4" s="187">
        <f t="shared" ref="H4:H20" si="1">SQRT((G4*(1-G4)/B4)*F4)</f>
        <v>2.3943022452316298E-3</v>
      </c>
      <c r="I4" s="182">
        <f t="shared" ref="I4:I20" si="2">+H4/G4</f>
        <v>4.7886044904632594E-2</v>
      </c>
      <c r="J4" s="182">
        <f t="shared" ref="J4:J20" si="3">+G4-(1.96*H4)</f>
        <v>4.5307167599346006E-2</v>
      </c>
      <c r="K4" s="182">
        <f t="shared" ref="K4:K20" si="4">+G4+(1.96*H4)</f>
        <v>5.4692832400654E-2</v>
      </c>
      <c r="M4" s="337"/>
      <c r="N4" s="190">
        <v>42560</v>
      </c>
      <c r="O4" s="152">
        <v>5320</v>
      </c>
      <c r="P4" s="152">
        <v>8</v>
      </c>
      <c r="Q4" s="152">
        <v>2.7801994920611958E-2</v>
      </c>
      <c r="R4" s="152">
        <v>1.1946139644442837</v>
      </c>
      <c r="S4" s="152">
        <v>0.01</v>
      </c>
      <c r="T4" s="187">
        <f t="shared" ref="T4:T20" si="5">SQRT((S4*(1-S4)/N4)*R4)</f>
        <v>5.2714559433949702E-4</v>
      </c>
      <c r="U4" s="182">
        <f t="shared" ref="U4:U20" si="6">+T4/S4</f>
        <v>5.2714559433949704E-2</v>
      </c>
      <c r="V4" s="182">
        <f t="shared" ref="V4:V20" si="7">+S4-(1.96*T4)</f>
        <v>8.9667946350945864E-3</v>
      </c>
      <c r="W4" s="182">
        <f>+S4+(1.96*T4)</f>
        <v>1.1033205364905414E-2</v>
      </c>
    </row>
    <row r="5" spans="1:23">
      <c r="A5" s="337"/>
      <c r="B5" s="177">
        <v>26565</v>
      </c>
      <c r="C5" s="161">
        <v>3320.625</v>
      </c>
      <c r="D5" s="152">
        <v>8</v>
      </c>
      <c r="E5" s="152">
        <v>0.31515407612334218</v>
      </c>
      <c r="F5" s="152">
        <f t="shared" si="0"/>
        <v>3.2060785328633954</v>
      </c>
      <c r="G5" s="152">
        <v>5.5E-2</v>
      </c>
      <c r="H5" s="187">
        <f t="shared" si="1"/>
        <v>2.5045483319166835E-3</v>
      </c>
      <c r="I5" s="182">
        <f t="shared" si="2"/>
        <v>4.5537242398485153E-2</v>
      </c>
      <c r="J5" s="182">
        <f t="shared" si="3"/>
        <v>5.0091085269443301E-2</v>
      </c>
      <c r="K5" s="182">
        <f t="shared" si="4"/>
        <v>5.9908914730556699E-2</v>
      </c>
      <c r="M5" s="337"/>
      <c r="N5" s="190">
        <v>42560</v>
      </c>
      <c r="O5" s="152">
        <v>5320</v>
      </c>
      <c r="P5" s="152">
        <v>8</v>
      </c>
      <c r="Q5" s="152">
        <v>2.7801994920611958E-2</v>
      </c>
      <c r="R5" s="152">
        <v>1.1946139644442837</v>
      </c>
      <c r="S5" s="152">
        <v>1.4999999999999999E-2</v>
      </c>
      <c r="T5" s="187">
        <f t="shared" si="5"/>
        <v>6.4398644874113999E-4</v>
      </c>
      <c r="U5" s="182">
        <f t="shared" si="6"/>
        <v>4.2932429916076001E-2</v>
      </c>
      <c r="V5" s="182">
        <f t="shared" si="7"/>
        <v>1.3737786560467365E-2</v>
      </c>
      <c r="W5" s="182">
        <f t="shared" ref="W5:W20" si="8">+S5+(1.96*T5)</f>
        <v>1.6262213439532634E-2</v>
      </c>
    </row>
    <row r="6" spans="1:23">
      <c r="A6" s="337"/>
      <c r="B6" s="177">
        <v>26565</v>
      </c>
      <c r="C6" s="161">
        <v>3320.625</v>
      </c>
      <c r="D6" s="152">
        <v>8</v>
      </c>
      <c r="E6" s="152">
        <v>0.31515407612334218</v>
      </c>
      <c r="F6" s="152">
        <f t="shared" si="0"/>
        <v>3.2060785328633954</v>
      </c>
      <c r="G6" s="152">
        <v>0.06</v>
      </c>
      <c r="H6" s="187">
        <f t="shared" si="1"/>
        <v>2.6089858276502642E-3</v>
      </c>
      <c r="I6" s="182">
        <f t="shared" si="2"/>
        <v>4.3483097127504401E-2</v>
      </c>
      <c r="J6" s="182">
        <f t="shared" si="3"/>
        <v>5.4886387777805482E-2</v>
      </c>
      <c r="K6" s="182">
        <f t="shared" si="4"/>
        <v>6.5113612222194514E-2</v>
      </c>
      <c r="M6" s="337"/>
      <c r="N6" s="190">
        <v>42560</v>
      </c>
      <c r="O6" s="152">
        <v>5320</v>
      </c>
      <c r="P6" s="152">
        <v>8</v>
      </c>
      <c r="Q6" s="152">
        <v>2.7801994920611958E-2</v>
      </c>
      <c r="R6" s="152">
        <v>1.1946139644442837</v>
      </c>
      <c r="S6" s="152">
        <v>0.02</v>
      </c>
      <c r="T6" s="187">
        <f t="shared" si="5"/>
        <v>7.4172175904188174E-4</v>
      </c>
      <c r="U6" s="182">
        <f t="shared" si="6"/>
        <v>3.7086087952094088E-2</v>
      </c>
      <c r="V6" s="182">
        <f t="shared" si="7"/>
        <v>1.8546225352277911E-2</v>
      </c>
      <c r="W6" s="182">
        <f t="shared" si="8"/>
        <v>2.145377464772209E-2</v>
      </c>
    </row>
    <row r="7" spans="1:23">
      <c r="A7" s="337"/>
      <c r="B7" s="177">
        <v>26565</v>
      </c>
      <c r="C7" s="161">
        <v>3320.625</v>
      </c>
      <c r="D7" s="152">
        <v>8</v>
      </c>
      <c r="E7" s="152">
        <v>0.31515407612334218</v>
      </c>
      <c r="F7" s="152">
        <f t="shared" si="0"/>
        <v>3.2060785328633954</v>
      </c>
      <c r="G7" s="152">
        <v>6.5000000000000002E-2</v>
      </c>
      <c r="H7" s="187">
        <f t="shared" si="1"/>
        <v>2.7082867919482052E-3</v>
      </c>
      <c r="I7" s="182">
        <f t="shared" si="2"/>
        <v>4.1665950645357004E-2</v>
      </c>
      <c r="J7" s="182">
        <f t="shared" si="3"/>
        <v>5.969175788778152E-2</v>
      </c>
      <c r="K7" s="182">
        <f t="shared" si="4"/>
        <v>7.0308242112218478E-2</v>
      </c>
      <c r="M7" s="337"/>
      <c r="N7" s="190">
        <v>42560</v>
      </c>
      <c r="O7" s="152">
        <v>5320</v>
      </c>
      <c r="P7" s="152">
        <v>8</v>
      </c>
      <c r="Q7" s="152">
        <v>2.7801994920611958E-2</v>
      </c>
      <c r="R7" s="152">
        <v>1.1946139644442837</v>
      </c>
      <c r="S7" s="152">
        <v>2.5000000000000001E-2</v>
      </c>
      <c r="T7" s="187">
        <f t="shared" si="5"/>
        <v>8.2715194653305195E-4</v>
      </c>
      <c r="U7" s="182">
        <f t="shared" si="6"/>
        <v>3.3086077861322075E-2</v>
      </c>
      <c r="V7" s="182">
        <f t="shared" si="7"/>
        <v>2.3378782184795218E-2</v>
      </c>
      <c r="W7" s="182">
        <f t="shared" si="8"/>
        <v>2.6621217815204785E-2</v>
      </c>
    </row>
    <row r="8" spans="1:23">
      <c r="A8" s="337"/>
      <c r="B8" s="177">
        <v>26565</v>
      </c>
      <c r="C8" s="161">
        <v>3320.625</v>
      </c>
      <c r="D8" s="152">
        <v>8</v>
      </c>
      <c r="E8" s="152">
        <v>0.31515407612334218</v>
      </c>
      <c r="F8" s="152">
        <f t="shared" si="0"/>
        <v>3.2060785328633954</v>
      </c>
      <c r="G8" s="152">
        <v>7.0000000000000007E-2</v>
      </c>
      <c r="H8" s="187">
        <f t="shared" si="1"/>
        <v>2.8029971891869853E-3</v>
      </c>
      <c r="I8" s="182">
        <f t="shared" si="2"/>
        <v>4.00428169883855E-2</v>
      </c>
      <c r="J8" s="182">
        <f t="shared" si="3"/>
        <v>6.4506125509193518E-2</v>
      </c>
      <c r="K8" s="182">
        <f t="shared" si="4"/>
        <v>7.5493874490806495E-2</v>
      </c>
      <c r="M8" s="337"/>
      <c r="N8" s="190">
        <v>42560</v>
      </c>
      <c r="O8" s="152">
        <v>5320</v>
      </c>
      <c r="P8" s="152">
        <v>8</v>
      </c>
      <c r="Q8" s="152">
        <v>2.7801994920611958E-2</v>
      </c>
      <c r="R8" s="152">
        <v>1.1946139644442837</v>
      </c>
      <c r="S8" s="152">
        <v>0.03</v>
      </c>
      <c r="T8" s="187">
        <f t="shared" si="5"/>
        <v>9.0377324070472739E-4</v>
      </c>
      <c r="U8" s="182">
        <f t="shared" si="6"/>
        <v>3.0125774690157581E-2</v>
      </c>
      <c r="V8" s="182">
        <f t="shared" si="7"/>
        <v>2.8228604448218734E-2</v>
      </c>
      <c r="W8" s="182">
        <f t="shared" si="8"/>
        <v>3.1771395551781267E-2</v>
      </c>
    </row>
    <row r="9" spans="1:23">
      <c r="A9" s="337"/>
      <c r="B9" s="177">
        <v>26565</v>
      </c>
      <c r="C9" s="161">
        <v>3320.625</v>
      </c>
      <c r="D9" s="152">
        <v>8</v>
      </c>
      <c r="E9" s="152">
        <v>0.31515407612334218</v>
      </c>
      <c r="F9" s="152">
        <f t="shared" si="0"/>
        <v>3.2060785328633954</v>
      </c>
      <c r="G9" s="152">
        <v>7.4999999999999997E-2</v>
      </c>
      <c r="H9" s="187">
        <f t="shared" si="1"/>
        <v>2.8935678209309436E-3</v>
      </c>
      <c r="I9" s="182">
        <f t="shared" si="2"/>
        <v>3.8580904279079252E-2</v>
      </c>
      <c r="J9" s="182">
        <f t="shared" si="3"/>
        <v>6.9328607070975351E-2</v>
      </c>
      <c r="K9" s="182">
        <f t="shared" si="4"/>
        <v>8.0671392929024643E-2</v>
      </c>
      <c r="M9" s="337"/>
      <c r="N9" s="190">
        <v>42560</v>
      </c>
      <c r="O9" s="152">
        <v>5320</v>
      </c>
      <c r="P9" s="152">
        <v>8</v>
      </c>
      <c r="Q9" s="152">
        <v>2.7801994920611958E-2</v>
      </c>
      <c r="R9" s="152">
        <v>1.1946139644442837</v>
      </c>
      <c r="S9" s="152">
        <v>3.5000000000000003E-2</v>
      </c>
      <c r="T9" s="187">
        <f t="shared" si="5"/>
        <v>9.7366747492031835E-4</v>
      </c>
      <c r="U9" s="182">
        <f t="shared" si="6"/>
        <v>2.7819070712009092E-2</v>
      </c>
      <c r="V9" s="182">
        <f t="shared" si="7"/>
        <v>3.3091611749156181E-2</v>
      </c>
      <c r="W9" s="182">
        <f t="shared" si="8"/>
        <v>3.6908388250843825E-2</v>
      </c>
    </row>
    <row r="10" spans="1:23">
      <c r="A10" s="337"/>
      <c r="B10" s="177">
        <v>26565</v>
      </c>
      <c r="C10" s="161">
        <v>3320.625</v>
      </c>
      <c r="D10" s="152">
        <v>8</v>
      </c>
      <c r="E10" s="152">
        <v>0.31515407612334218</v>
      </c>
      <c r="F10" s="152">
        <f t="shared" si="0"/>
        <v>3.2060785328633954</v>
      </c>
      <c r="G10" s="152">
        <v>0.08</v>
      </c>
      <c r="H10" s="187">
        <f t="shared" si="1"/>
        <v>2.9803761210041649E-3</v>
      </c>
      <c r="I10" s="182">
        <f t="shared" si="2"/>
        <v>3.7254701512552058E-2</v>
      </c>
      <c r="J10" s="182">
        <f t="shared" si="3"/>
        <v>7.4158462802831837E-2</v>
      </c>
      <c r="K10" s="182">
        <f t="shared" si="4"/>
        <v>8.5841537197168166E-2</v>
      </c>
      <c r="M10" s="337"/>
      <c r="N10" s="190">
        <v>42560</v>
      </c>
      <c r="O10" s="152">
        <v>5320</v>
      </c>
      <c r="P10" s="152">
        <v>8</v>
      </c>
      <c r="Q10" s="152">
        <v>2.7801994920611958E-2</v>
      </c>
      <c r="R10" s="152">
        <v>1.1946139644442837</v>
      </c>
      <c r="S10" s="152">
        <v>0.04</v>
      </c>
      <c r="T10" s="187">
        <f t="shared" si="5"/>
        <v>1.0381941947269629E-3</v>
      </c>
      <c r="U10" s="182">
        <f t="shared" si="6"/>
        <v>2.5954854868174074E-2</v>
      </c>
      <c r="V10" s="182">
        <f t="shared" si="7"/>
        <v>3.796513937833515E-2</v>
      </c>
      <c r="W10" s="182">
        <f t="shared" si="8"/>
        <v>4.2034860621664852E-2</v>
      </c>
    </row>
    <row r="11" spans="1:23">
      <c r="A11" s="337"/>
      <c r="B11" s="177">
        <v>26565</v>
      </c>
      <c r="C11" s="161">
        <v>3320.625</v>
      </c>
      <c r="D11" s="152">
        <v>8</v>
      </c>
      <c r="E11" s="152">
        <v>0.31515407612334218</v>
      </c>
      <c r="F11" s="152">
        <f t="shared" si="0"/>
        <v>3.2060785328633954</v>
      </c>
      <c r="G11" s="152">
        <v>8.5000000000000006E-2</v>
      </c>
      <c r="H11" s="187">
        <f t="shared" si="1"/>
        <v>3.0637419126885489E-3</v>
      </c>
      <c r="I11" s="182">
        <f t="shared" si="2"/>
        <v>3.604402250221822E-2</v>
      </c>
      <c r="J11" s="182">
        <f t="shared" si="3"/>
        <v>7.8995065851130447E-2</v>
      </c>
      <c r="K11" s="182">
        <f t="shared" si="4"/>
        <v>9.1004934148869565E-2</v>
      </c>
      <c r="M11" s="337"/>
      <c r="N11" s="190">
        <v>42560</v>
      </c>
      <c r="O11" s="152">
        <v>5320</v>
      </c>
      <c r="P11" s="152">
        <v>8</v>
      </c>
      <c r="Q11" s="152">
        <v>2.7801994920611958E-2</v>
      </c>
      <c r="R11" s="152">
        <v>1.1946139644442837</v>
      </c>
      <c r="S11" s="152">
        <v>4.4999999999999998E-2</v>
      </c>
      <c r="T11" s="187">
        <f t="shared" si="5"/>
        <v>1.09829985584771E-3</v>
      </c>
      <c r="U11" s="182">
        <f t="shared" si="6"/>
        <v>2.4406663463282446E-2</v>
      </c>
      <c r="V11" s="182">
        <f t="shared" si="7"/>
        <v>4.2847332282538488E-2</v>
      </c>
      <c r="W11" s="182">
        <f t="shared" si="8"/>
        <v>4.7152667717461509E-2</v>
      </c>
    </row>
    <row r="12" spans="1:23">
      <c r="A12" s="337"/>
      <c r="B12" s="177">
        <v>26565</v>
      </c>
      <c r="C12" s="161">
        <v>3320.625</v>
      </c>
      <c r="D12" s="152">
        <v>8</v>
      </c>
      <c r="E12" s="152">
        <v>0.31515407612334218</v>
      </c>
      <c r="F12" s="152">
        <f t="shared" si="0"/>
        <v>3.2060785328633954</v>
      </c>
      <c r="G12" s="152">
        <v>0.09</v>
      </c>
      <c r="H12" s="187">
        <f t="shared" si="1"/>
        <v>3.1439390561944763E-3</v>
      </c>
      <c r="I12" s="182">
        <f t="shared" si="2"/>
        <v>3.4932656179938626E-2</v>
      </c>
      <c r="J12" s="182">
        <f t="shared" si="3"/>
        <v>8.3837879449858821E-2</v>
      </c>
      <c r="K12" s="182">
        <f t="shared" si="4"/>
        <v>9.6162120550141172E-2</v>
      </c>
      <c r="M12" s="337"/>
      <c r="N12" s="190">
        <v>42560</v>
      </c>
      <c r="O12" s="152">
        <v>5320</v>
      </c>
      <c r="P12" s="152">
        <v>8</v>
      </c>
      <c r="Q12" s="152">
        <v>2.7801994920611958E-2</v>
      </c>
      <c r="R12" s="152">
        <v>1.1946139644442837</v>
      </c>
      <c r="S12" s="152">
        <v>0.05</v>
      </c>
      <c r="T12" s="187">
        <f t="shared" si="5"/>
        <v>1.1546750685317102E-3</v>
      </c>
      <c r="U12" s="182">
        <f t="shared" si="6"/>
        <v>2.3093501370634203E-2</v>
      </c>
      <c r="V12" s="182">
        <f t="shared" si="7"/>
        <v>4.7736836865677854E-2</v>
      </c>
      <c r="W12" s="182">
        <f t="shared" si="8"/>
        <v>5.2263163134322152E-2</v>
      </c>
    </row>
    <row r="13" spans="1:23">
      <c r="A13" s="337"/>
      <c r="B13" s="177">
        <v>26565</v>
      </c>
      <c r="C13" s="161">
        <v>3320.625</v>
      </c>
      <c r="D13" s="152">
        <v>8</v>
      </c>
      <c r="E13" s="152">
        <v>0.31515407612334218</v>
      </c>
      <c r="F13" s="152">
        <f t="shared" si="0"/>
        <v>3.2060785328633954</v>
      </c>
      <c r="G13" s="152">
        <v>9.5000000000000001E-2</v>
      </c>
      <c r="H13" s="187">
        <f t="shared" si="1"/>
        <v>3.2212042262410828E-3</v>
      </c>
      <c r="I13" s="182">
        <f t="shared" si="2"/>
        <v>3.3907412907800874E-2</v>
      </c>
      <c r="J13" s="182">
        <f t="shared" si="3"/>
        <v>8.8686439716567478E-2</v>
      </c>
      <c r="K13" s="182">
        <f t="shared" si="4"/>
        <v>0.10131356028343252</v>
      </c>
      <c r="M13" s="337"/>
      <c r="N13" s="190">
        <v>42560</v>
      </c>
      <c r="O13" s="152">
        <v>5320</v>
      </c>
      <c r="P13" s="152">
        <v>8</v>
      </c>
      <c r="Q13" s="152">
        <v>2.7801994920611958E-2</v>
      </c>
      <c r="R13" s="152">
        <v>1.1946139644442837</v>
      </c>
      <c r="S13" s="152">
        <v>5.5E-2</v>
      </c>
      <c r="T13" s="187">
        <f t="shared" si="5"/>
        <v>1.207842294161615E-3</v>
      </c>
      <c r="U13" s="182">
        <f t="shared" si="6"/>
        <v>2.1960768984756636E-2</v>
      </c>
      <c r="V13" s="182">
        <f t="shared" si="7"/>
        <v>5.2632629103443233E-2</v>
      </c>
      <c r="W13" s="182">
        <f t="shared" si="8"/>
        <v>5.7367370896556767E-2</v>
      </c>
    </row>
    <row r="14" spans="1:23">
      <c r="A14" s="337"/>
      <c r="B14" s="177">
        <v>26565</v>
      </c>
      <c r="C14" s="161">
        <v>3320.625</v>
      </c>
      <c r="D14" s="152">
        <v>8</v>
      </c>
      <c r="E14" s="152">
        <v>0.31515407612334218</v>
      </c>
      <c r="F14" s="152">
        <f t="shared" si="0"/>
        <v>3.2060785328633954</v>
      </c>
      <c r="G14" s="152">
        <v>0.1</v>
      </c>
      <c r="H14" s="187">
        <f t="shared" si="1"/>
        <v>3.2957436401864887E-3</v>
      </c>
      <c r="I14" s="182">
        <f t="shared" si="2"/>
        <v>3.2957436401864888E-2</v>
      </c>
      <c r="J14" s="182">
        <f t="shared" si="3"/>
        <v>9.3540342465234488E-2</v>
      </c>
      <c r="K14" s="182">
        <f t="shared" si="4"/>
        <v>0.10645965753476552</v>
      </c>
      <c r="M14" s="337"/>
      <c r="N14" s="190">
        <v>42560</v>
      </c>
      <c r="O14" s="152">
        <v>5320</v>
      </c>
      <c r="P14" s="152">
        <v>8</v>
      </c>
      <c r="Q14" s="152">
        <v>2.7801994920611958E-2</v>
      </c>
      <c r="R14" s="152">
        <v>1.1946139644442837</v>
      </c>
      <c r="S14" s="152">
        <v>0.06</v>
      </c>
      <c r="T14" s="187">
        <f t="shared" si="5"/>
        <v>1.2582082714661161E-3</v>
      </c>
      <c r="U14" s="182">
        <f t="shared" si="6"/>
        <v>2.0970137857768602E-2</v>
      </c>
      <c r="V14" s="182">
        <f t="shared" si="7"/>
        <v>5.7533911787926412E-2</v>
      </c>
      <c r="W14" s="182">
        <f t="shared" si="8"/>
        <v>6.2466088212073584E-2</v>
      </c>
    </row>
    <row r="15" spans="1:23">
      <c r="A15" s="337"/>
      <c r="B15" s="177">
        <v>26565</v>
      </c>
      <c r="C15" s="161">
        <v>3320.625</v>
      </c>
      <c r="D15" s="152">
        <v>8</v>
      </c>
      <c r="E15" s="152">
        <v>0.31515407612334218</v>
      </c>
      <c r="F15" s="152">
        <f t="shared" si="0"/>
        <v>3.2060785328633954</v>
      </c>
      <c r="G15" s="152">
        <v>0.105</v>
      </c>
      <c r="H15" s="187">
        <f t="shared" si="1"/>
        <v>3.3677382934387628E-3</v>
      </c>
      <c r="I15" s="182">
        <f t="shared" si="2"/>
        <v>3.207369803275012E-2</v>
      </c>
      <c r="J15" s="182">
        <f t="shared" si="3"/>
        <v>9.8399232944860027E-2</v>
      </c>
      <c r="K15" s="182">
        <f t="shared" si="4"/>
        <v>0.11160076705513997</v>
      </c>
      <c r="M15" s="337"/>
      <c r="N15" s="190">
        <v>42560</v>
      </c>
      <c r="O15" s="152">
        <v>5320</v>
      </c>
      <c r="P15" s="152">
        <v>8</v>
      </c>
      <c r="Q15" s="152">
        <v>2.7801994920611958E-2</v>
      </c>
      <c r="R15" s="152">
        <v>1.1946139644442837</v>
      </c>
      <c r="S15" s="152">
        <v>6.5000000000000002E-2</v>
      </c>
      <c r="T15" s="187">
        <f t="shared" si="5"/>
        <v>1.306097107549506E-3</v>
      </c>
      <c r="U15" s="182">
        <f t="shared" si="6"/>
        <v>2.0093801654607783E-2</v>
      </c>
      <c r="V15" s="182">
        <f t="shared" si="7"/>
        <v>6.2440049669202968E-2</v>
      </c>
      <c r="W15" s="182">
        <f t="shared" si="8"/>
        <v>6.7559950330797036E-2</v>
      </c>
    </row>
    <row r="16" spans="1:23">
      <c r="A16" s="337"/>
      <c r="B16" s="177">
        <v>26565</v>
      </c>
      <c r="C16" s="161">
        <v>3320.625</v>
      </c>
      <c r="D16" s="152">
        <v>8</v>
      </c>
      <c r="E16" s="152">
        <v>0.31515407612334218</v>
      </c>
      <c r="F16" s="152">
        <f t="shared" si="0"/>
        <v>3.2060785328633954</v>
      </c>
      <c r="G16" s="152">
        <v>0.11</v>
      </c>
      <c r="H16" s="187">
        <f t="shared" si="1"/>
        <v>3.4373480884172681E-3</v>
      </c>
      <c r="I16" s="182">
        <f t="shared" si="2"/>
        <v>3.1248618985611529E-2</v>
      </c>
      <c r="J16" s="182">
        <f t="shared" si="3"/>
        <v>0.10326279774670216</v>
      </c>
      <c r="K16" s="182">
        <f t="shared" si="4"/>
        <v>0.11673720225329784</v>
      </c>
      <c r="M16" s="337"/>
      <c r="N16" s="190">
        <v>42560</v>
      </c>
      <c r="O16" s="152">
        <v>5320</v>
      </c>
      <c r="P16" s="152">
        <v>8</v>
      </c>
      <c r="Q16" s="152">
        <v>2.7801994920611958E-2</v>
      </c>
      <c r="R16" s="152">
        <v>1.1946139644442837</v>
      </c>
      <c r="S16" s="152">
        <v>7.0000000000000007E-2</v>
      </c>
      <c r="T16" s="187">
        <f t="shared" si="5"/>
        <v>1.3517720989338013E-3</v>
      </c>
      <c r="U16" s="182">
        <f t="shared" si="6"/>
        <v>1.9311029984768587E-2</v>
      </c>
      <c r="V16" s="182">
        <f t="shared" si="7"/>
        <v>6.7350526686089762E-2</v>
      </c>
      <c r="W16" s="182">
        <f t="shared" si="8"/>
        <v>7.2649473313910251E-2</v>
      </c>
    </row>
    <row r="17" spans="1:23">
      <c r="A17" s="337"/>
      <c r="B17" s="177">
        <v>26565</v>
      </c>
      <c r="C17" s="161">
        <v>3320.625</v>
      </c>
      <c r="D17" s="152">
        <v>8</v>
      </c>
      <c r="E17" s="152">
        <v>0.31515407612334218</v>
      </c>
      <c r="F17" s="152">
        <f t="shared" si="0"/>
        <v>3.2060785328633954</v>
      </c>
      <c r="G17" s="152">
        <v>0.115</v>
      </c>
      <c r="H17" s="187">
        <f t="shared" si="1"/>
        <v>3.5047151304186961E-3</v>
      </c>
      <c r="I17" s="182">
        <f t="shared" si="2"/>
        <v>3.0475783742771267E-2</v>
      </c>
      <c r="J17" s="182">
        <f t="shared" si="3"/>
        <v>0.10813075834437937</v>
      </c>
      <c r="K17" s="182">
        <f t="shared" si="4"/>
        <v>0.12186924165562064</v>
      </c>
      <c r="M17" s="337"/>
      <c r="N17" s="190">
        <v>42560</v>
      </c>
      <c r="O17" s="152">
        <v>5320</v>
      </c>
      <c r="P17" s="152">
        <v>8</v>
      </c>
      <c r="Q17" s="152">
        <v>2.7801994920611958E-2</v>
      </c>
      <c r="R17" s="152">
        <v>1.1946139644442837</v>
      </c>
      <c r="S17" s="152">
        <v>7.4999999999999997E-2</v>
      </c>
      <c r="T17" s="187">
        <f t="shared" si="5"/>
        <v>1.3954506489682386E-3</v>
      </c>
      <c r="U17" s="182">
        <f t="shared" si="6"/>
        <v>1.8606008652909848E-2</v>
      </c>
      <c r="V17" s="182">
        <f t="shared" si="7"/>
        <v>7.2264916728022252E-2</v>
      </c>
      <c r="W17" s="182">
        <f t="shared" si="8"/>
        <v>7.7735083271977742E-2</v>
      </c>
    </row>
    <row r="18" spans="1:23">
      <c r="A18" s="337"/>
      <c r="B18" s="177">
        <v>26565</v>
      </c>
      <c r="C18" s="161">
        <v>3320.625</v>
      </c>
      <c r="D18" s="152">
        <v>8</v>
      </c>
      <c r="E18" s="152">
        <v>0.31515407612334218</v>
      </c>
      <c r="F18" s="152">
        <f t="shared" si="0"/>
        <v>3.2060785328633954</v>
      </c>
      <c r="G18" s="152">
        <v>0.12</v>
      </c>
      <c r="H18" s="187">
        <f t="shared" si="1"/>
        <v>3.5699663872946338E-3</v>
      </c>
      <c r="I18" s="182">
        <f t="shared" si="2"/>
        <v>2.9749719894121951E-2</v>
      </c>
      <c r="J18" s="182">
        <f t="shared" si="3"/>
        <v>0.11300286588090251</v>
      </c>
      <c r="K18" s="182">
        <f t="shared" si="4"/>
        <v>0.12699713411909747</v>
      </c>
      <c r="M18" s="337"/>
      <c r="N18" s="190">
        <v>42560</v>
      </c>
      <c r="O18" s="152">
        <v>5320</v>
      </c>
      <c r="P18" s="152">
        <v>8</v>
      </c>
      <c r="Q18" s="152">
        <v>2.7801994920611958E-2</v>
      </c>
      <c r="R18" s="152">
        <v>1.1946139644442837</v>
      </c>
      <c r="S18" s="152">
        <v>0.08</v>
      </c>
      <c r="T18" s="187">
        <f t="shared" si="5"/>
        <v>1.4373147787103344E-3</v>
      </c>
      <c r="U18" s="182">
        <f t="shared" si="6"/>
        <v>1.796643473387918E-2</v>
      </c>
      <c r="V18" s="182">
        <f t="shared" si="7"/>
        <v>7.7182863033727747E-2</v>
      </c>
      <c r="W18" s="182">
        <f t="shared" si="8"/>
        <v>8.2817136966272256E-2</v>
      </c>
    </row>
    <row r="19" spans="1:23">
      <c r="A19" s="337"/>
      <c r="B19" s="177">
        <v>26565</v>
      </c>
      <c r="C19" s="161">
        <v>3320.625</v>
      </c>
      <c r="D19" s="152">
        <v>8</v>
      </c>
      <c r="E19" s="152">
        <v>0.31515407612334218</v>
      </c>
      <c r="F19" s="152">
        <f t="shared" si="0"/>
        <v>3.2060785328633954</v>
      </c>
      <c r="G19" s="152">
        <v>0.125</v>
      </c>
      <c r="H19" s="187">
        <f t="shared" si="1"/>
        <v>3.6332158570650782E-3</v>
      </c>
      <c r="I19" s="182">
        <f t="shared" si="2"/>
        <v>2.9065726856520625E-2</v>
      </c>
      <c r="J19" s="182">
        <f t="shared" si="3"/>
        <v>0.11787889692015245</v>
      </c>
      <c r="K19" s="182">
        <f t="shared" si="4"/>
        <v>0.13212110307984756</v>
      </c>
      <c r="M19" s="337"/>
      <c r="N19" s="190">
        <v>42560</v>
      </c>
      <c r="O19" s="152">
        <v>5320</v>
      </c>
      <c r="P19" s="152">
        <v>8</v>
      </c>
      <c r="Q19" s="152">
        <v>2.7801994920611958E-2</v>
      </c>
      <c r="R19" s="152">
        <v>1.1946139644442837</v>
      </c>
      <c r="S19" s="152">
        <v>8.5000000000000006E-2</v>
      </c>
      <c r="T19" s="187">
        <f t="shared" si="5"/>
        <v>1.4775187259847746E-3</v>
      </c>
      <c r="U19" s="182">
        <f t="shared" si="6"/>
        <v>1.7382573246879699E-2</v>
      </c>
      <c r="V19" s="182">
        <f t="shared" si="7"/>
        <v>8.2104063297069846E-2</v>
      </c>
      <c r="W19" s="182">
        <f t="shared" si="8"/>
        <v>8.7895936702930166E-2</v>
      </c>
    </row>
    <row r="20" spans="1:23">
      <c r="A20" s="338"/>
      <c r="B20" s="183">
        <v>26565</v>
      </c>
      <c r="C20" s="162">
        <v>3320.625</v>
      </c>
      <c r="D20" s="184">
        <v>8</v>
      </c>
      <c r="E20" s="184">
        <v>0.31515407612334218</v>
      </c>
      <c r="F20" s="184">
        <f t="shared" si="0"/>
        <v>3.2060785328633954</v>
      </c>
      <c r="G20" s="184">
        <v>0.13</v>
      </c>
      <c r="H20" s="188">
        <f t="shared" si="1"/>
        <v>3.6945663504980718E-3</v>
      </c>
      <c r="I20" s="185">
        <f t="shared" si="2"/>
        <v>2.8419741157677474E-2</v>
      </c>
      <c r="J20" s="185">
        <f t="shared" si="3"/>
        <v>0.12275864995302378</v>
      </c>
      <c r="K20" s="185">
        <f t="shared" si="4"/>
        <v>0.13724135004697621</v>
      </c>
      <c r="M20" s="338"/>
      <c r="N20" s="191">
        <v>42560</v>
      </c>
      <c r="O20" s="184">
        <v>5320</v>
      </c>
      <c r="P20" s="184">
        <v>8</v>
      </c>
      <c r="Q20" s="184">
        <v>2.7801994920611958E-2</v>
      </c>
      <c r="R20" s="184">
        <v>1.1946139644442837</v>
      </c>
      <c r="S20" s="184">
        <v>0.09</v>
      </c>
      <c r="T20" s="188">
        <f t="shared" si="5"/>
        <v>1.5161945624871105E-3</v>
      </c>
      <c r="U20" s="185">
        <f t="shared" si="6"/>
        <v>1.6846606249856785E-2</v>
      </c>
      <c r="V20" s="185">
        <f t="shared" si="7"/>
        <v>8.7028258657525254E-2</v>
      </c>
      <c r="W20" s="185">
        <f t="shared" si="8"/>
        <v>9.297174134247474E-2</v>
      </c>
    </row>
    <row r="21" spans="1:23">
      <c r="M21" t="s">
        <v>93</v>
      </c>
    </row>
    <row r="22" spans="1:23">
      <c r="H22" s="187"/>
    </row>
    <row r="27" spans="1:23" ht="15" customHeight="1">
      <c r="A27" s="339" t="s">
        <v>118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</row>
    <row r="28" spans="1:23">
      <c r="A28" s="171" t="s">
        <v>67</v>
      </c>
      <c r="B28" s="175" t="s">
        <v>73</v>
      </c>
      <c r="C28" s="175" t="s">
        <v>85</v>
      </c>
      <c r="D28" s="170" t="s">
        <v>82</v>
      </c>
      <c r="E28" s="170" t="s">
        <v>91</v>
      </c>
      <c r="F28" s="170" t="s">
        <v>92</v>
      </c>
      <c r="G28" s="170" t="s">
        <v>11</v>
      </c>
      <c r="H28" s="170" t="s">
        <v>90</v>
      </c>
      <c r="I28" s="170" t="s">
        <v>52</v>
      </c>
      <c r="J28" s="174" t="s">
        <v>88</v>
      </c>
      <c r="K28" s="174" t="s">
        <v>89</v>
      </c>
    </row>
    <row r="29" spans="1:23">
      <c r="A29" s="336" t="s">
        <v>21</v>
      </c>
      <c r="B29" s="176">
        <v>8855</v>
      </c>
      <c r="C29" s="178">
        <f>3320.625/3</f>
        <v>1106.875</v>
      </c>
      <c r="D29" s="179">
        <v>8</v>
      </c>
      <c r="E29" s="179">
        <v>0.31515407612334218</v>
      </c>
      <c r="F29" s="179">
        <v>3.2060785328633954</v>
      </c>
      <c r="G29" s="180">
        <v>0.119512406156496</v>
      </c>
      <c r="H29" s="186">
        <f>SQRT((G29*(1-G29)/B29)*F29)</f>
        <v>6.172497333221995E-3</v>
      </c>
      <c r="I29" s="181">
        <f>+H29/G29</f>
        <v>5.1647335466908716E-2</v>
      </c>
      <c r="J29" s="181">
        <f>+G29-(1.96*H29)</f>
        <v>0.10741431138338089</v>
      </c>
      <c r="K29" s="181">
        <f>+G29+(1.96*H29)</f>
        <v>0.1316105009296111</v>
      </c>
    </row>
    <row r="30" spans="1:23">
      <c r="A30" s="337"/>
      <c r="B30" s="177">
        <v>8855</v>
      </c>
      <c r="C30" s="161">
        <f t="shared" ref="C30:C46" si="9">3320.625/3</f>
        <v>1106.875</v>
      </c>
      <c r="D30" s="152">
        <v>8</v>
      </c>
      <c r="E30" s="152">
        <v>0.31515407612334218</v>
      </c>
      <c r="F30" s="152">
        <v>3.2060785328633954</v>
      </c>
      <c r="G30" s="152">
        <v>0.05</v>
      </c>
      <c r="H30" s="187">
        <f t="shared" ref="H30:H46" si="10">SQRT((G30*(1-G30)/B30)*F30)</f>
        <v>4.1470531374174207E-3</v>
      </c>
      <c r="I30" s="182">
        <f t="shared" ref="I30:I46" si="11">+H30/G30</f>
        <v>8.2941062748348407E-2</v>
      </c>
      <c r="J30" s="182">
        <f t="shared" ref="J30:J46" si="12">+G30-(1.96*H30)</f>
        <v>4.187177585066186E-2</v>
      </c>
      <c r="K30" s="182">
        <f t="shared" ref="K30:K46" si="13">+G30+(1.96*H30)</f>
        <v>5.8128224149338145E-2</v>
      </c>
    </row>
    <row r="31" spans="1:23">
      <c r="A31" s="337"/>
      <c r="B31" s="177">
        <v>8855</v>
      </c>
      <c r="C31" s="161">
        <f t="shared" si="9"/>
        <v>1106.875</v>
      </c>
      <c r="D31" s="152">
        <v>8</v>
      </c>
      <c r="E31" s="152">
        <v>0.31515407612334218</v>
      </c>
      <c r="F31" s="152">
        <v>3.2060785328633998</v>
      </c>
      <c r="G31" s="152">
        <v>5.5E-2</v>
      </c>
      <c r="H31" s="187">
        <f t="shared" si="10"/>
        <v>4.3380049608915802E-3</v>
      </c>
      <c r="I31" s="182">
        <f>+H31/G31</f>
        <v>7.8872817470756001E-2</v>
      </c>
      <c r="J31" s="182">
        <f t="shared" si="12"/>
        <v>4.6497510276652505E-2</v>
      </c>
      <c r="K31" s="182">
        <f t="shared" si="13"/>
        <v>6.3502489723347502E-2</v>
      </c>
    </row>
    <row r="32" spans="1:23">
      <c r="A32" s="337"/>
      <c r="B32" s="177">
        <v>8855</v>
      </c>
      <c r="C32" s="161">
        <f t="shared" si="9"/>
        <v>1106.875</v>
      </c>
      <c r="D32" s="152">
        <v>8</v>
      </c>
      <c r="E32" s="152">
        <v>0.31515407612334218</v>
      </c>
      <c r="F32" s="152">
        <v>3.2060785328633954</v>
      </c>
      <c r="G32" s="152">
        <v>0.06</v>
      </c>
      <c r="H32" s="187">
        <f t="shared" si="10"/>
        <v>4.5188960097173958E-3</v>
      </c>
      <c r="I32" s="182">
        <f t="shared" si="11"/>
        <v>7.5314933495289935E-2</v>
      </c>
      <c r="J32" s="182">
        <f t="shared" si="12"/>
        <v>5.1142963820953902E-2</v>
      </c>
      <c r="K32" s="182">
        <f t="shared" si="13"/>
        <v>6.8857036179046094E-2</v>
      </c>
    </row>
    <row r="33" spans="1:11">
      <c r="A33" s="337"/>
      <c r="B33" s="177">
        <v>8855</v>
      </c>
      <c r="C33" s="161">
        <f t="shared" si="9"/>
        <v>1106.875</v>
      </c>
      <c r="D33" s="152">
        <v>8</v>
      </c>
      <c r="E33" s="152">
        <v>0.31515407612334218</v>
      </c>
      <c r="F33" s="152">
        <v>3.2060785328633954</v>
      </c>
      <c r="G33" s="152">
        <v>6.5000000000000002E-2</v>
      </c>
      <c r="H33" s="187">
        <f t="shared" si="10"/>
        <v>4.6908903251220132E-3</v>
      </c>
      <c r="I33" s="182">
        <f t="shared" si="11"/>
        <v>7.2167543463415584E-2</v>
      </c>
      <c r="J33" s="182">
        <f t="shared" si="12"/>
        <v>5.5805854962760859E-2</v>
      </c>
      <c r="K33" s="182">
        <f t="shared" si="13"/>
        <v>7.4194145037239145E-2</v>
      </c>
    </row>
    <row r="34" spans="1:11">
      <c r="A34" s="337"/>
      <c r="B34" s="177">
        <v>8855</v>
      </c>
      <c r="C34" s="161">
        <f t="shared" si="9"/>
        <v>1106.875</v>
      </c>
      <c r="D34" s="152">
        <v>8</v>
      </c>
      <c r="E34" s="152">
        <v>0.31515407612334218</v>
      </c>
      <c r="F34" s="152">
        <v>3.2060785328633954</v>
      </c>
      <c r="G34" s="152">
        <v>7.0000000000000007E-2</v>
      </c>
      <c r="H34" s="187">
        <f>SQRT((G34*(1-G34)/B34)*F34)</f>
        <v>4.8549335451446105E-3</v>
      </c>
      <c r="I34" s="182">
        <f t="shared" si="11"/>
        <v>6.9356193502065858E-2</v>
      </c>
      <c r="J34" s="182">
        <f t="shared" si="12"/>
        <v>6.0484330251516574E-2</v>
      </c>
      <c r="K34" s="182">
        <f t="shared" si="13"/>
        <v>7.9515669748483439E-2</v>
      </c>
    </row>
    <row r="35" spans="1:11">
      <c r="A35" s="337"/>
      <c r="B35" s="177">
        <v>8855</v>
      </c>
      <c r="C35" s="161">
        <f t="shared" si="9"/>
        <v>1106.875</v>
      </c>
      <c r="D35" s="152">
        <v>8</v>
      </c>
      <c r="E35" s="152">
        <v>0.31515407612334218</v>
      </c>
      <c r="F35" s="152">
        <v>3.2060785328633954</v>
      </c>
      <c r="G35" s="152">
        <v>7.4999999999999997E-2</v>
      </c>
      <c r="H35" s="187">
        <f t="shared" si="10"/>
        <v>5.0118064809987579E-3</v>
      </c>
      <c r="I35" s="182">
        <f t="shared" si="11"/>
        <v>6.6824086413316774E-2</v>
      </c>
      <c r="J35" s="182">
        <f t="shared" si="12"/>
        <v>6.5176859297242429E-2</v>
      </c>
      <c r="K35" s="182">
        <f t="shared" si="13"/>
        <v>8.4823140702757566E-2</v>
      </c>
    </row>
    <row r="36" spans="1:11">
      <c r="A36" s="337"/>
      <c r="B36" s="177">
        <v>8855</v>
      </c>
      <c r="C36" s="161">
        <f t="shared" si="9"/>
        <v>1106.875</v>
      </c>
      <c r="D36" s="152">
        <v>8</v>
      </c>
      <c r="E36" s="152">
        <v>0.31515407612334218</v>
      </c>
      <c r="F36" s="152">
        <v>3.2060785328633954</v>
      </c>
      <c r="G36" s="152">
        <v>0.08</v>
      </c>
      <c r="H36" s="187">
        <f t="shared" si="10"/>
        <v>5.1621628672442613E-3</v>
      </c>
      <c r="I36" s="182">
        <f t="shared" si="11"/>
        <v>6.4527035840553262E-2</v>
      </c>
      <c r="J36" s="182">
        <f t="shared" si="12"/>
        <v>6.988216078020125E-2</v>
      </c>
      <c r="K36" s="182">
        <f t="shared" si="13"/>
        <v>9.0117839219798754E-2</v>
      </c>
    </row>
    <row r="37" spans="1:11">
      <c r="A37" s="337"/>
      <c r="B37" s="177">
        <v>8855</v>
      </c>
      <c r="C37" s="161">
        <f t="shared" si="9"/>
        <v>1106.875</v>
      </c>
      <c r="D37" s="152">
        <v>8</v>
      </c>
      <c r="E37" s="152">
        <v>0.31515407612334218</v>
      </c>
      <c r="F37" s="152">
        <v>3.2060785328633954</v>
      </c>
      <c r="G37" s="152">
        <v>8.5000000000000006E-2</v>
      </c>
      <c r="H37" s="187">
        <f t="shared" si="10"/>
        <v>5.3065566540548177E-3</v>
      </c>
      <c r="I37" s="182">
        <f t="shared" si="11"/>
        <v>6.2430078282997854E-2</v>
      </c>
      <c r="J37" s="182">
        <f t="shared" si="12"/>
        <v>7.4599148958052558E-2</v>
      </c>
      <c r="K37" s="182">
        <f t="shared" si="13"/>
        <v>9.5400851041947454E-2</v>
      </c>
    </row>
    <row r="38" spans="1:11">
      <c r="A38" s="337"/>
      <c r="B38" s="177">
        <v>8855</v>
      </c>
      <c r="C38" s="161">
        <f t="shared" si="9"/>
        <v>1106.875</v>
      </c>
      <c r="D38" s="152">
        <v>8</v>
      </c>
      <c r="E38" s="152">
        <v>0.31515407612334218</v>
      </c>
      <c r="F38" s="152">
        <v>3.2060785328633954</v>
      </c>
      <c r="G38" s="152">
        <v>0.09</v>
      </c>
      <c r="H38" s="187">
        <f t="shared" si="10"/>
        <v>5.4454621812289761E-3</v>
      </c>
      <c r="I38" s="182">
        <f t="shared" si="11"/>
        <v>6.0505135346988627E-2</v>
      </c>
      <c r="J38" s="182">
        <f t="shared" si="12"/>
        <v>7.93268941247912E-2</v>
      </c>
      <c r="K38" s="182">
        <f t="shared" si="13"/>
        <v>0.10067310587520879</v>
      </c>
    </row>
    <row r="39" spans="1:11">
      <c r="A39" s="337"/>
      <c r="B39" s="177">
        <v>8855</v>
      </c>
      <c r="C39" s="161">
        <f t="shared" si="9"/>
        <v>1106.875</v>
      </c>
      <c r="D39" s="152">
        <v>8</v>
      </c>
      <c r="E39" s="152">
        <v>0.31515407612334218</v>
      </c>
      <c r="F39" s="152">
        <v>3.2060785328633954</v>
      </c>
      <c r="G39" s="152">
        <v>9.5000000000000001E-2</v>
      </c>
      <c r="H39" s="187">
        <f t="shared" si="10"/>
        <v>5.5792893814051491E-3</v>
      </c>
      <c r="I39" s="182">
        <f t="shared" si="11"/>
        <v>5.8729361909527884E-2</v>
      </c>
      <c r="J39" s="182">
        <f t="shared" si="12"/>
        <v>8.406459281244591E-2</v>
      </c>
      <c r="K39" s="182">
        <f t="shared" si="13"/>
        <v>0.10593540718755409</v>
      </c>
    </row>
    <row r="40" spans="1:11">
      <c r="A40" s="337"/>
      <c r="B40" s="177">
        <v>8855</v>
      </c>
      <c r="C40" s="161">
        <f t="shared" si="9"/>
        <v>1106.875</v>
      </c>
      <c r="D40" s="152">
        <v>8</v>
      </c>
      <c r="E40" s="152">
        <v>0.31515407612334218</v>
      </c>
      <c r="F40" s="152">
        <v>3.2060785328633954</v>
      </c>
      <c r="G40" s="152">
        <v>0.1</v>
      </c>
      <c r="H40" s="187">
        <f t="shared" si="10"/>
        <v>5.7083954335249987E-3</v>
      </c>
      <c r="I40" s="182">
        <f t="shared" si="11"/>
        <v>5.7083954335249987E-2</v>
      </c>
      <c r="J40" s="182">
        <f t="shared" si="12"/>
        <v>8.8811544950291005E-2</v>
      </c>
      <c r="K40" s="182">
        <f t="shared" si="13"/>
        <v>0.11118845504970901</v>
      </c>
    </row>
    <row r="41" spans="1:11">
      <c r="A41" s="337"/>
      <c r="B41" s="177">
        <v>8855</v>
      </c>
      <c r="C41" s="161">
        <f t="shared" si="9"/>
        <v>1106.875</v>
      </c>
      <c r="D41" s="152">
        <v>8</v>
      </c>
      <c r="E41" s="152">
        <v>0.31515407612334218</v>
      </c>
      <c r="F41" s="152">
        <v>3.2060785328633954</v>
      </c>
      <c r="G41" s="152">
        <v>0.105</v>
      </c>
      <c r="H41" s="187">
        <f t="shared" si="10"/>
        <v>5.8330938308312416E-3</v>
      </c>
      <c r="I41" s="182">
        <f t="shared" si="11"/>
        <v>5.5553274579345162E-2</v>
      </c>
      <c r="J41" s="182">
        <f t="shared" si="12"/>
        <v>9.356713609157076E-2</v>
      </c>
      <c r="K41" s="182">
        <f t="shared" si="13"/>
        <v>0.11643286390842923</v>
      </c>
    </row>
    <row r="42" spans="1:11">
      <c r="A42" s="337"/>
      <c r="B42" s="177">
        <v>8855</v>
      </c>
      <c r="C42" s="161">
        <f t="shared" si="9"/>
        <v>1106.875</v>
      </c>
      <c r="D42" s="152">
        <v>8</v>
      </c>
      <c r="E42" s="152">
        <v>0.31515407612334218</v>
      </c>
      <c r="F42" s="152">
        <v>3.2060785328633954</v>
      </c>
      <c r="G42" s="152">
        <v>0.11</v>
      </c>
      <c r="H42" s="187">
        <f t="shared" si="10"/>
        <v>5.9536615324384656E-3</v>
      </c>
      <c r="I42" s="182">
        <f t="shared" si="11"/>
        <v>5.4124195749440593E-2</v>
      </c>
      <c r="J42" s="182">
        <f t="shared" si="12"/>
        <v>9.8330823396420602E-2</v>
      </c>
      <c r="K42" s="182">
        <f t="shared" si="13"/>
        <v>0.1216691766035794</v>
      </c>
    </row>
    <row r="43" spans="1:11">
      <c r="A43" s="337"/>
      <c r="B43" s="177">
        <v>8855</v>
      </c>
      <c r="C43" s="161">
        <f t="shared" si="9"/>
        <v>1106.875</v>
      </c>
      <c r="D43" s="152">
        <v>8</v>
      </c>
      <c r="E43" s="152">
        <v>0.31515407612334218</v>
      </c>
      <c r="F43" s="152">
        <v>3.2060785328633954</v>
      </c>
      <c r="G43" s="152">
        <v>0.115</v>
      </c>
      <c r="H43" s="187">
        <f t="shared" si="10"/>
        <v>6.0703446719405649E-3</v>
      </c>
      <c r="I43" s="182">
        <f t="shared" si="11"/>
        <v>5.2785605842961429E-2</v>
      </c>
      <c r="J43" s="182">
        <f t="shared" si="12"/>
        <v>0.1031021244429965</v>
      </c>
      <c r="K43" s="182">
        <f t="shared" si="13"/>
        <v>0.12689787555700352</v>
      </c>
    </row>
    <row r="44" spans="1:11">
      <c r="A44" s="337"/>
      <c r="B44" s="177">
        <v>8855</v>
      </c>
      <c r="C44" s="161">
        <f t="shared" si="9"/>
        <v>1106.875</v>
      </c>
      <c r="D44" s="152">
        <v>8</v>
      </c>
      <c r="E44" s="152">
        <v>0.31515407612334218</v>
      </c>
      <c r="F44" s="152">
        <v>3.2060785328633954</v>
      </c>
      <c r="G44" s="152">
        <v>0.12</v>
      </c>
      <c r="H44" s="187">
        <f t="shared" si="10"/>
        <v>6.1833631641074168E-3</v>
      </c>
      <c r="I44" s="182">
        <f t="shared" si="11"/>
        <v>5.1528026367561805E-2</v>
      </c>
      <c r="J44" s="182">
        <f t="shared" si="12"/>
        <v>0.10788060819834946</v>
      </c>
      <c r="K44" s="182">
        <f t="shared" si="13"/>
        <v>0.13211939180165053</v>
      </c>
    </row>
    <row r="45" spans="1:11">
      <c r="A45" s="337"/>
      <c r="B45" s="177">
        <v>8855</v>
      </c>
      <c r="C45" s="161">
        <f t="shared" si="9"/>
        <v>1106.875</v>
      </c>
      <c r="D45" s="152">
        <v>8</v>
      </c>
      <c r="E45" s="152">
        <v>0.31515407612334218</v>
      </c>
      <c r="F45" s="152">
        <v>3.2060785328633954</v>
      </c>
      <c r="G45" s="152">
        <v>0.125</v>
      </c>
      <c r="H45" s="187">
        <f t="shared" si="10"/>
        <v>6.2929144593016195E-3</v>
      </c>
      <c r="I45" s="182">
        <f t="shared" si="11"/>
        <v>5.0343315674412956E-2</v>
      </c>
      <c r="J45" s="182">
        <f t="shared" si="12"/>
        <v>0.11266588765976883</v>
      </c>
      <c r="K45" s="182">
        <f t="shared" si="13"/>
        <v>0.13733411234023118</v>
      </c>
    </row>
    <row r="46" spans="1:11">
      <c r="A46" s="338"/>
      <c r="B46" s="183">
        <v>8855</v>
      </c>
      <c r="C46" s="162">
        <f t="shared" si="9"/>
        <v>1106.875</v>
      </c>
      <c r="D46" s="184">
        <v>8</v>
      </c>
      <c r="E46" s="184">
        <v>0.31515407612334218</v>
      </c>
      <c r="F46" s="184">
        <v>3.2060785328633954</v>
      </c>
      <c r="G46" s="184">
        <v>0.13</v>
      </c>
      <c r="H46" s="188">
        <f t="shared" si="10"/>
        <v>6.3991766309969842E-3</v>
      </c>
      <c r="I46" s="185">
        <f t="shared" si="11"/>
        <v>4.9224435623053724E-2</v>
      </c>
      <c r="J46" s="185">
        <f t="shared" si="12"/>
        <v>0.11745761380324592</v>
      </c>
      <c r="K46" s="185">
        <f t="shared" si="13"/>
        <v>0.14254238619675411</v>
      </c>
    </row>
  </sheetData>
  <mergeCells count="6">
    <mergeCell ref="A29:A46"/>
    <mergeCell ref="A1:K1"/>
    <mergeCell ref="A3:A20"/>
    <mergeCell ref="M1:W1"/>
    <mergeCell ref="M3:M20"/>
    <mergeCell ref="A27:K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51"/>
  <sheetViews>
    <sheetView showGridLines="0" topLeftCell="L5" zoomScale="80" zoomScaleNormal="80" workbookViewId="0">
      <selection activeCell="AB34" sqref="AB34:AB35"/>
    </sheetView>
  </sheetViews>
  <sheetFormatPr baseColWidth="10" defaultRowHeight="15"/>
  <cols>
    <col min="1" max="1" width="11.42578125" style="152"/>
    <col min="2" max="2" width="20.28515625" style="152" customWidth="1"/>
    <col min="3" max="7" width="11.42578125" style="152"/>
    <col min="8" max="8" width="22.42578125" style="152" customWidth="1"/>
    <col min="9" max="9" width="18.7109375" style="152" customWidth="1"/>
    <col min="10" max="14" width="11.42578125" style="152"/>
    <col min="15" max="17" width="11.42578125" style="152" customWidth="1"/>
    <col min="18" max="18" width="23.42578125" style="152" customWidth="1"/>
    <col min="19" max="19" width="13.85546875" style="152" customWidth="1"/>
    <col min="20" max="20" width="11.42578125" style="152" customWidth="1"/>
    <col min="21" max="23" width="11.42578125" style="152"/>
    <col min="24" max="24" width="13.7109375" style="152" bestFit="1" customWidth="1"/>
    <col min="25" max="25" width="14.28515625" style="152" bestFit="1" customWidth="1"/>
    <col min="26" max="26" width="14.5703125" style="152" bestFit="1" customWidth="1"/>
    <col min="27" max="27" width="15.85546875" style="152" customWidth="1"/>
    <col min="28" max="28" width="16.85546875" style="152" customWidth="1"/>
    <col min="29" max="16384" width="11.42578125" style="152"/>
  </cols>
  <sheetData>
    <row r="1" spans="2:28">
      <c r="C1" s="156"/>
      <c r="D1" s="156"/>
      <c r="I1" s="265" t="s">
        <v>119</v>
      </c>
      <c r="J1" s="266"/>
      <c r="K1" s="266"/>
      <c r="L1" s="266"/>
      <c r="M1" s="266"/>
      <c r="N1" s="266"/>
      <c r="O1" s="266"/>
      <c r="P1" s="266"/>
    </row>
    <row r="2" spans="2:28" ht="42" customHeight="1">
      <c r="B2" s="341" t="s">
        <v>84</v>
      </c>
      <c r="C2" s="341"/>
      <c r="D2" s="341"/>
      <c r="E2" s="341"/>
      <c r="F2" s="341"/>
      <c r="G2" s="341"/>
      <c r="I2" s="349" t="s">
        <v>97</v>
      </c>
      <c r="J2" s="347" t="s">
        <v>2</v>
      </c>
      <c r="K2" s="347" t="s">
        <v>98</v>
      </c>
      <c r="L2" s="345" t="s">
        <v>99</v>
      </c>
      <c r="M2" s="351"/>
      <c r="N2" s="264" t="s">
        <v>6</v>
      </c>
      <c r="O2" s="343" t="s">
        <v>100</v>
      </c>
      <c r="P2" s="345" t="s">
        <v>101</v>
      </c>
      <c r="Q2" s="210"/>
      <c r="R2" s="342" t="s">
        <v>121</v>
      </c>
      <c r="S2" s="342"/>
      <c r="T2" s="342"/>
      <c r="U2" s="342"/>
      <c r="V2" s="342"/>
      <c r="W2" s="342"/>
      <c r="X2" s="342"/>
      <c r="Y2" s="342"/>
      <c r="Z2" s="342"/>
      <c r="AA2" s="340" t="s">
        <v>124</v>
      </c>
      <c r="AB2" s="340" t="s">
        <v>123</v>
      </c>
    </row>
    <row r="3" spans="2:28" ht="30" customHeight="1">
      <c r="B3" s="163" t="s">
        <v>67</v>
      </c>
      <c r="C3" s="201" t="s">
        <v>73</v>
      </c>
      <c r="D3" s="200" t="s">
        <v>82</v>
      </c>
      <c r="E3" s="200" t="s">
        <v>95</v>
      </c>
      <c r="F3" s="200" t="s">
        <v>96</v>
      </c>
      <c r="G3" s="200" t="s">
        <v>104</v>
      </c>
      <c r="I3" s="350"/>
      <c r="J3" s="348"/>
      <c r="K3" s="348"/>
      <c r="L3" s="269" t="s">
        <v>57</v>
      </c>
      <c r="M3" s="269" t="s">
        <v>58</v>
      </c>
      <c r="N3" s="270" t="s">
        <v>57</v>
      </c>
      <c r="O3" s="344" t="s">
        <v>58</v>
      </c>
      <c r="P3" s="346" t="s">
        <v>57</v>
      </c>
      <c r="Q3" s="251"/>
      <c r="R3" s="171" t="s">
        <v>67</v>
      </c>
      <c r="S3" s="167" t="s">
        <v>102</v>
      </c>
      <c r="T3" s="167" t="s">
        <v>85</v>
      </c>
      <c r="U3" s="170" t="s">
        <v>82</v>
      </c>
      <c r="V3" s="170" t="s">
        <v>95</v>
      </c>
      <c r="W3" s="170" t="s">
        <v>2</v>
      </c>
      <c r="X3" s="170" t="s">
        <v>90</v>
      </c>
      <c r="Y3" s="209" t="s">
        <v>88</v>
      </c>
      <c r="Z3" s="209" t="s">
        <v>89</v>
      </c>
      <c r="AA3" s="341"/>
      <c r="AB3" s="341"/>
    </row>
    <row r="4" spans="2:28">
      <c r="B4" s="153" t="s">
        <v>73</v>
      </c>
      <c r="C4" s="198">
        <v>26565</v>
      </c>
      <c r="D4" s="196">
        <v>8</v>
      </c>
      <c r="E4" s="203">
        <v>2.5499999999999998</v>
      </c>
      <c r="F4" s="203">
        <v>5.2</v>
      </c>
      <c r="G4" s="203">
        <f>SUM(G7:G8)</f>
        <v>100</v>
      </c>
      <c r="H4" s="164"/>
      <c r="I4" s="153" t="s">
        <v>21</v>
      </c>
      <c r="J4" s="254">
        <v>296971</v>
      </c>
      <c r="K4" s="252">
        <v>15455.222397566255</v>
      </c>
      <c r="L4" s="252">
        <v>266632.00080573029</v>
      </c>
      <c r="M4" s="252">
        <v>327309.99919426971</v>
      </c>
      <c r="N4" s="255">
        <v>5.2042867477182133</v>
      </c>
      <c r="O4" s="255">
        <v>1.9634958389746475</v>
      </c>
      <c r="P4" s="252">
        <v>23484</v>
      </c>
      <c r="Q4" s="252"/>
      <c r="R4" s="153" t="s">
        <v>21</v>
      </c>
      <c r="S4" s="161">
        <v>26565</v>
      </c>
      <c r="T4" s="164">
        <v>3320.625</v>
      </c>
      <c r="U4" s="196">
        <v>8</v>
      </c>
      <c r="V4" s="203">
        <v>2.5499999999999998</v>
      </c>
      <c r="W4" s="164">
        <v>296970.99999999988</v>
      </c>
      <c r="X4" s="164">
        <v>7572.7604999999958</v>
      </c>
      <c r="Y4" s="164">
        <v>282128.38941999985</v>
      </c>
      <c r="Z4" s="164">
        <v>311813.6105799998</v>
      </c>
      <c r="AA4" s="208">
        <f>+M4-L4</f>
        <v>60677.998388539418</v>
      </c>
      <c r="AB4" s="164">
        <f>+Z4-Y4</f>
        <v>29685.221159999957</v>
      </c>
    </row>
    <row r="5" spans="2:28">
      <c r="B5" s="153"/>
      <c r="C5" s="198"/>
      <c r="D5" s="196"/>
      <c r="E5" s="203"/>
      <c r="F5" s="203"/>
      <c r="G5" s="203"/>
      <c r="H5" s="164"/>
      <c r="I5" s="153"/>
      <c r="J5"/>
      <c r="K5"/>
      <c r="L5"/>
      <c r="M5"/>
      <c r="N5"/>
      <c r="O5"/>
      <c r="P5"/>
      <c r="Q5"/>
      <c r="R5" s="153"/>
      <c r="S5" s="161"/>
      <c r="T5" s="161"/>
      <c r="U5" s="196"/>
      <c r="V5" s="203"/>
      <c r="W5" s="164"/>
      <c r="X5" s="164"/>
      <c r="Y5" s="164"/>
      <c r="Z5" s="164"/>
      <c r="AA5" s="208"/>
      <c r="AB5" s="164"/>
    </row>
    <row r="6" spans="2:28">
      <c r="B6" s="153" t="s">
        <v>53</v>
      </c>
      <c r="C6" s="198">
        <v>26600.658904923061</v>
      </c>
      <c r="D6" s="198"/>
      <c r="E6" s="204"/>
      <c r="F6" s="203"/>
      <c r="G6" s="203"/>
      <c r="H6" s="164"/>
      <c r="I6" s="153" t="s">
        <v>53</v>
      </c>
      <c r="J6"/>
      <c r="K6"/>
      <c r="L6"/>
      <c r="M6"/>
      <c r="N6"/>
      <c r="O6"/>
      <c r="P6"/>
      <c r="Q6"/>
      <c r="R6" s="153" t="s">
        <v>53</v>
      </c>
      <c r="S6" s="161">
        <v>26600.658904923061</v>
      </c>
      <c r="T6" s="164"/>
      <c r="U6" s="196"/>
      <c r="V6" s="204"/>
      <c r="W6" s="164"/>
      <c r="X6" s="164"/>
      <c r="Y6" s="164"/>
      <c r="Z6" s="164"/>
      <c r="AA6" s="208"/>
      <c r="AB6" s="164"/>
    </row>
    <row r="7" spans="2:28" ht="15" customHeight="1">
      <c r="B7" s="154" t="s">
        <v>74</v>
      </c>
      <c r="C7" s="202">
        <v>17250.262020391052</v>
      </c>
      <c r="D7" s="202">
        <v>8</v>
      </c>
      <c r="E7" s="203">
        <v>3.1</v>
      </c>
      <c r="F7" s="203">
        <v>6.8052468623040001</v>
      </c>
      <c r="G7" s="203">
        <f>+(C7/C6)*100</f>
        <v>64.849002733531904</v>
      </c>
      <c r="H7" s="164"/>
      <c r="I7" s="154" t="s">
        <v>74</v>
      </c>
      <c r="J7" s="254">
        <v>219933</v>
      </c>
      <c r="K7" s="252">
        <v>14966.983581671057</v>
      </c>
      <c r="L7" s="252">
        <v>190552.42616261082</v>
      </c>
      <c r="M7" s="252">
        <v>249313.57383738918</v>
      </c>
      <c r="N7" s="255">
        <v>6.8052468623040001</v>
      </c>
      <c r="O7" s="255">
        <v>2.1924414790164395</v>
      </c>
      <c r="P7" s="252">
        <v>12798</v>
      </c>
      <c r="Q7" s="252"/>
      <c r="R7" s="154" t="s">
        <v>74</v>
      </c>
      <c r="S7" s="164">
        <v>17250.262020391052</v>
      </c>
      <c r="T7" s="164">
        <v>2156.2827525488815</v>
      </c>
      <c r="U7" s="196">
        <v>8</v>
      </c>
      <c r="V7" s="203">
        <v>3.1</v>
      </c>
      <c r="W7" s="164">
        <v>219933</v>
      </c>
      <c r="X7" s="164">
        <v>6817.9230000000007</v>
      </c>
      <c r="Y7" s="164">
        <v>206569.87092000002</v>
      </c>
      <c r="Z7" s="164">
        <v>233296.12908000001</v>
      </c>
      <c r="AA7" s="208">
        <f t="shared" ref="AA7:AA15" si="0">+M7-L7</f>
        <v>58761.14767477836</v>
      </c>
      <c r="AB7" s="164">
        <f t="shared" ref="AB7:AB15" si="1">+Z7-Y7</f>
        <v>26726.258159999998</v>
      </c>
    </row>
    <row r="8" spans="2:28" ht="15" customHeight="1">
      <c r="B8" s="154" t="s">
        <v>75</v>
      </c>
      <c r="C8" s="202">
        <v>9350.3968845320069</v>
      </c>
      <c r="D8" s="202">
        <v>8</v>
      </c>
      <c r="E8" s="203">
        <v>3.1</v>
      </c>
      <c r="F8" s="203">
        <v>5.0027235402012895</v>
      </c>
      <c r="G8" s="203">
        <f>+(C8/C6)*100</f>
        <v>35.150997266468096</v>
      </c>
      <c r="H8" s="164"/>
      <c r="I8" s="154" t="s">
        <v>75</v>
      </c>
      <c r="J8" s="254">
        <v>77038</v>
      </c>
      <c r="K8" s="252">
        <v>3853.9981609002693</v>
      </c>
      <c r="L8" s="252">
        <v>69472.502455514143</v>
      </c>
      <c r="M8" s="252">
        <v>84603.497544485857</v>
      </c>
      <c r="N8" s="255">
        <v>5.0027235402012895</v>
      </c>
      <c r="O8" s="255">
        <v>0.94053989483599432</v>
      </c>
      <c r="P8" s="252">
        <v>10686</v>
      </c>
      <c r="Q8" s="252"/>
      <c r="R8" s="154" t="s">
        <v>75</v>
      </c>
      <c r="S8" s="164">
        <v>9350.3968845320069</v>
      </c>
      <c r="T8" s="164">
        <v>1168.7996105665009</v>
      </c>
      <c r="U8" s="196">
        <v>8</v>
      </c>
      <c r="V8" s="203">
        <v>3.1</v>
      </c>
      <c r="W8" s="164">
        <v>77038</v>
      </c>
      <c r="X8" s="164">
        <v>2388.1779999999999</v>
      </c>
      <c r="Y8" s="164">
        <v>72357.171119999999</v>
      </c>
      <c r="Z8" s="164">
        <v>81718.828880000001</v>
      </c>
      <c r="AA8" s="208">
        <f t="shared" si="0"/>
        <v>15130.995088971715</v>
      </c>
      <c r="AB8" s="164">
        <f t="shared" si="1"/>
        <v>9361.6577600000019</v>
      </c>
    </row>
    <row r="9" spans="2:28">
      <c r="B9" s="154"/>
      <c r="C9" s="198"/>
      <c r="D9" s="198"/>
      <c r="E9" s="203"/>
      <c r="F9" s="203"/>
      <c r="G9" s="203"/>
      <c r="H9" s="164"/>
      <c r="I9" s="154"/>
      <c r="J9"/>
      <c r="K9"/>
      <c r="L9"/>
      <c r="M9"/>
      <c r="N9"/>
      <c r="O9"/>
      <c r="P9"/>
      <c r="Q9"/>
      <c r="R9" s="154"/>
      <c r="S9" s="164"/>
      <c r="T9" s="164"/>
      <c r="U9" s="196"/>
      <c r="V9" s="203"/>
      <c r="W9" s="164"/>
      <c r="X9" s="164"/>
      <c r="Y9" s="164"/>
      <c r="Z9" s="164"/>
      <c r="AA9" s="208"/>
      <c r="AB9" s="164"/>
    </row>
    <row r="10" spans="2:28">
      <c r="B10" s="153" t="s">
        <v>67</v>
      </c>
      <c r="C10" s="198">
        <f>SUM(C11:C16)</f>
        <v>26423.468409577359</v>
      </c>
      <c r="D10" s="198"/>
      <c r="E10" s="204"/>
      <c r="F10" s="203"/>
      <c r="G10" s="203"/>
      <c r="H10" s="164"/>
      <c r="I10" s="154" t="s">
        <v>76</v>
      </c>
      <c r="J10" s="253">
        <v>191207</v>
      </c>
      <c r="K10" s="253">
        <v>14948.573411366049</v>
      </c>
      <c r="L10" s="253">
        <v>161677.78045556173</v>
      </c>
      <c r="M10" s="253">
        <v>220736.21954443827</v>
      </c>
      <c r="N10" s="255">
        <v>7.8180053090974964</v>
      </c>
      <c r="O10" s="256">
        <v>1.3372210192392404</v>
      </c>
      <c r="P10" s="253">
        <v>4626</v>
      </c>
      <c r="Q10" s="253"/>
      <c r="R10" s="154" t="s">
        <v>76</v>
      </c>
      <c r="S10" s="164">
        <v>3989.2750586634738</v>
      </c>
      <c r="T10" s="164">
        <v>491.55029123299852</v>
      </c>
      <c r="U10" s="196">
        <v>8</v>
      </c>
      <c r="V10" s="203">
        <v>4.5999999999999996</v>
      </c>
      <c r="W10" s="164">
        <v>191207</v>
      </c>
      <c r="X10" s="164">
        <v>8795.5220000000008</v>
      </c>
      <c r="Y10" s="164">
        <v>173967.77688000002</v>
      </c>
      <c r="Z10" s="164">
        <v>208446.22312000001</v>
      </c>
      <c r="AA10" s="208">
        <f t="shared" si="0"/>
        <v>59058.439088876534</v>
      </c>
      <c r="AB10" s="164">
        <f t="shared" si="1"/>
        <v>34478.44623999999</v>
      </c>
    </row>
    <row r="11" spans="2:28">
      <c r="B11" s="154" t="s">
        <v>76</v>
      </c>
      <c r="C11" s="202">
        <v>3932.4023298639881</v>
      </c>
      <c r="D11" s="196">
        <v>8</v>
      </c>
      <c r="E11" s="203">
        <v>4.5999999999999996</v>
      </c>
      <c r="F11" s="203">
        <v>7.8180053090974964</v>
      </c>
      <c r="G11" s="203">
        <f>+(C11/$C$10)*100</f>
        <v>14.882233735971859</v>
      </c>
      <c r="H11" s="164"/>
      <c r="I11" s="154" t="s">
        <v>77</v>
      </c>
      <c r="J11" s="253">
        <v>23196</v>
      </c>
      <c r="K11" s="253">
        <v>2000.3606966411496</v>
      </c>
      <c r="L11" s="253">
        <v>19235.425035589156</v>
      </c>
      <c r="M11" s="253">
        <v>27156.574964410844</v>
      </c>
      <c r="N11" s="255">
        <v>8.6237312322863851</v>
      </c>
      <c r="O11" s="256">
        <v>1.3181436764507399</v>
      </c>
      <c r="P11" s="253">
        <v>3812</v>
      </c>
      <c r="Q11" s="198"/>
      <c r="R11" s="154" t="s">
        <v>77</v>
      </c>
      <c r="S11" s="164">
        <v>3955.9712803738416</v>
      </c>
      <c r="T11" s="164">
        <v>487.58360008539307</v>
      </c>
      <c r="U11" s="196">
        <v>8</v>
      </c>
      <c r="V11" s="203">
        <v>4.5999999999999996</v>
      </c>
      <c r="W11" s="164">
        <v>23196</v>
      </c>
      <c r="X11" s="164">
        <v>1067.0160000000001</v>
      </c>
      <c r="Y11" s="164">
        <v>21104.648640000003</v>
      </c>
      <c r="Z11" s="164">
        <v>25287.351360000001</v>
      </c>
      <c r="AA11" s="208">
        <f t="shared" si="0"/>
        <v>7921.1499288216874</v>
      </c>
      <c r="AB11" s="164">
        <f t="shared" si="1"/>
        <v>4182.7027199999975</v>
      </c>
    </row>
    <row r="12" spans="2:28">
      <c r="B12" s="154" t="s">
        <v>77</v>
      </c>
      <c r="C12" s="202">
        <v>3900.6688006831446</v>
      </c>
      <c r="D12" s="196">
        <v>8</v>
      </c>
      <c r="E12" s="203">
        <v>4.5999999999999996</v>
      </c>
      <c r="F12" s="203">
        <v>8.6237312322863851</v>
      </c>
      <c r="G12" s="203">
        <f t="shared" ref="G12:G16" si="2">+(C12/$C$10)*100</f>
        <v>14.76213773385375</v>
      </c>
      <c r="H12" s="164"/>
      <c r="I12" s="154" t="s">
        <v>78</v>
      </c>
      <c r="J12" s="253">
        <v>13741</v>
      </c>
      <c r="K12" s="253">
        <v>1392.2605967997986</v>
      </c>
      <c r="L12" s="253">
        <v>10977.384557802092</v>
      </c>
      <c r="M12" s="253">
        <v>16504.615442197908</v>
      </c>
      <c r="N12" s="255">
        <v>10.132163574701975</v>
      </c>
      <c r="O12" s="256">
        <v>1.1586362885519628</v>
      </c>
      <c r="P12" s="253">
        <v>2816</v>
      </c>
      <c r="Q12" s="198"/>
      <c r="R12" s="154" t="s">
        <v>78</v>
      </c>
      <c r="S12" s="164">
        <v>5421.2321099476385</v>
      </c>
      <c r="T12" s="164">
        <v>668.33661800210484</v>
      </c>
      <c r="U12" s="196">
        <v>8</v>
      </c>
      <c r="V12" s="203">
        <v>4.5999999999999996</v>
      </c>
      <c r="W12" s="164">
        <v>13741</v>
      </c>
      <c r="X12" s="164">
        <v>632.08600000000001</v>
      </c>
      <c r="Y12" s="164">
        <v>12502.111440000001</v>
      </c>
      <c r="Z12" s="164">
        <v>14979.888559999999</v>
      </c>
      <c r="AA12" s="208">
        <f t="shared" si="0"/>
        <v>5527.2308843958162</v>
      </c>
      <c r="AB12" s="164">
        <f t="shared" si="1"/>
        <v>2477.7771199999988</v>
      </c>
    </row>
    <row r="13" spans="2:28">
      <c r="B13" s="154" t="s">
        <v>78</v>
      </c>
      <c r="C13" s="202">
        <v>5346.6929440168387</v>
      </c>
      <c r="D13" s="196">
        <v>8</v>
      </c>
      <c r="E13" s="203">
        <v>4.5999999999999996</v>
      </c>
      <c r="F13" s="203">
        <v>10.132163574701975</v>
      </c>
      <c r="G13" s="203">
        <f t="shared" si="2"/>
        <v>20.234637107969121</v>
      </c>
      <c r="H13" s="164"/>
      <c r="I13" s="154" t="s">
        <v>79</v>
      </c>
      <c r="J13" s="253">
        <v>17505</v>
      </c>
      <c r="K13" s="253">
        <v>1422.7135621339523</v>
      </c>
      <c r="L13" s="253">
        <v>14691.681796062801</v>
      </c>
      <c r="M13" s="253">
        <v>20318.3182039372</v>
      </c>
      <c r="N13" s="255">
        <v>8.1274696494370318</v>
      </c>
      <c r="O13" s="256">
        <v>1.1401454827971134</v>
      </c>
      <c r="P13" s="253">
        <v>3971</v>
      </c>
      <c r="Q13" s="198"/>
      <c r="R13" s="154" t="s">
        <v>79</v>
      </c>
      <c r="S13" s="164">
        <v>5166.2538720281109</v>
      </c>
      <c r="T13" s="164">
        <v>636.82308017767889</v>
      </c>
      <c r="U13" s="196">
        <v>8</v>
      </c>
      <c r="V13" s="203">
        <v>4.5999999999999996</v>
      </c>
      <c r="W13" s="164">
        <v>17505</v>
      </c>
      <c r="X13" s="164">
        <v>805.2299999999999</v>
      </c>
      <c r="Y13" s="164">
        <v>15926.749199999998</v>
      </c>
      <c r="Z13" s="164">
        <v>19083.250800000002</v>
      </c>
      <c r="AA13" s="208">
        <f t="shared" si="0"/>
        <v>5626.6364078743991</v>
      </c>
      <c r="AB13" s="164">
        <f t="shared" si="1"/>
        <v>3156.5016000000032</v>
      </c>
    </row>
    <row r="14" spans="2:28">
      <c r="B14" s="154" t="s">
        <v>79</v>
      </c>
      <c r="C14" s="202">
        <v>5094.5846414214311</v>
      </c>
      <c r="D14" s="196">
        <v>8</v>
      </c>
      <c r="E14" s="203">
        <v>4.5999999999999996</v>
      </c>
      <c r="F14" s="203">
        <v>8.1274696494370318</v>
      </c>
      <c r="G14" s="203">
        <f t="shared" si="2"/>
        <v>19.280529574894359</v>
      </c>
      <c r="H14" s="164"/>
      <c r="I14" s="154" t="s">
        <v>103</v>
      </c>
      <c r="J14" s="253">
        <v>21969</v>
      </c>
      <c r="K14" s="253">
        <v>1849.7560029301637</v>
      </c>
      <c r="L14" s="253">
        <v>18313.242761550995</v>
      </c>
      <c r="M14" s="253">
        <v>25624.757238449005</v>
      </c>
      <c r="N14" s="255">
        <v>8.4198461601809989</v>
      </c>
      <c r="O14" s="256">
        <v>1.2272312090290025</v>
      </c>
      <c r="P14" s="253">
        <v>4297</v>
      </c>
      <c r="Q14" s="198"/>
      <c r="R14" s="154" t="s">
        <v>103</v>
      </c>
      <c r="S14" s="164">
        <v>5068.9350653434385</v>
      </c>
      <c r="T14" s="164">
        <v>624.77487861132829</v>
      </c>
      <c r="U14" s="196">
        <v>8</v>
      </c>
      <c r="V14" s="203">
        <v>4.5999999999999996</v>
      </c>
      <c r="W14" s="164">
        <v>21969</v>
      </c>
      <c r="X14" s="164">
        <v>1010.574</v>
      </c>
      <c r="Y14" s="164">
        <v>19988.274959999999</v>
      </c>
      <c r="Z14" s="164">
        <v>23949.725039999998</v>
      </c>
      <c r="AA14" s="208">
        <f t="shared" si="0"/>
        <v>7311.5144768980099</v>
      </c>
      <c r="AB14" s="164">
        <f t="shared" si="1"/>
        <v>3961.4500799999987</v>
      </c>
    </row>
    <row r="15" spans="2:28">
      <c r="B15" s="154" t="s">
        <v>80</v>
      </c>
      <c r="C15" s="202">
        <v>4998.1990288906263</v>
      </c>
      <c r="D15" s="196">
        <v>8</v>
      </c>
      <c r="E15" s="203">
        <v>4.5999999999999996</v>
      </c>
      <c r="F15" s="203">
        <v>8.4198461601809989</v>
      </c>
      <c r="G15" s="203">
        <f t="shared" si="2"/>
        <v>18.91575682425929</v>
      </c>
      <c r="H15" s="164"/>
      <c r="I15" s="155" t="s">
        <v>81</v>
      </c>
      <c r="J15" s="257">
        <v>29353</v>
      </c>
      <c r="K15" s="257">
        <v>2004.6218313960319</v>
      </c>
      <c r="L15" s="257">
        <v>25384.650866157615</v>
      </c>
      <c r="M15" s="257">
        <v>33321.349133842385</v>
      </c>
      <c r="N15" s="258">
        <v>6.8293592866011377</v>
      </c>
      <c r="O15" s="259">
        <v>1.1572979059455706</v>
      </c>
      <c r="P15" s="257">
        <v>3962</v>
      </c>
      <c r="Q15" s="198"/>
      <c r="R15" s="155" t="s">
        <v>81</v>
      </c>
      <c r="S15" s="172">
        <v>3195.8284724372952</v>
      </c>
      <c r="T15" s="173">
        <v>393.86508308766628</v>
      </c>
      <c r="U15" s="199">
        <v>8</v>
      </c>
      <c r="V15" s="205">
        <v>4.5999999999999996</v>
      </c>
      <c r="W15" s="173">
        <v>29352.999999999996</v>
      </c>
      <c r="X15" s="173">
        <v>1350.2379999999998</v>
      </c>
      <c r="Y15" s="173">
        <v>26706.533519999997</v>
      </c>
      <c r="Z15" s="173">
        <v>31999.466479999995</v>
      </c>
      <c r="AA15" s="272">
        <f t="shared" si="0"/>
        <v>7936.6982676847692</v>
      </c>
      <c r="AB15" s="173">
        <f t="shared" si="1"/>
        <v>5292.9329599999983</v>
      </c>
    </row>
    <row r="16" spans="2:28">
      <c r="B16" s="155" t="s">
        <v>81</v>
      </c>
      <c r="C16" s="207">
        <v>3150.9206647013302</v>
      </c>
      <c r="D16" s="199">
        <v>8</v>
      </c>
      <c r="E16" s="205">
        <v>4.5999999999999996</v>
      </c>
      <c r="F16" s="205">
        <v>6.8293592866011377</v>
      </c>
      <c r="G16" s="205">
        <f t="shared" si="2"/>
        <v>11.924705023051624</v>
      </c>
      <c r="AA16" s="208"/>
      <c r="AB16" s="164"/>
    </row>
    <row r="17" spans="2:28">
      <c r="B17" s="152" t="s">
        <v>83</v>
      </c>
      <c r="AA17" s="208"/>
      <c r="AB17" s="164"/>
    </row>
    <row r="18" spans="2:28">
      <c r="B18" s="152" t="s">
        <v>87</v>
      </c>
      <c r="AA18" s="208"/>
      <c r="AB18" s="164"/>
    </row>
    <row r="19" spans="2:28" ht="15" customHeight="1">
      <c r="C19" s="197"/>
      <c r="D19" s="197"/>
      <c r="E19" s="197"/>
      <c r="AA19" s="208"/>
      <c r="AB19" s="164"/>
    </row>
    <row r="20" spans="2:28" ht="15" hidden="1" customHeight="1">
      <c r="B20" s="197"/>
      <c r="C20" s="197"/>
      <c r="D20" s="197"/>
      <c r="E20" s="197"/>
      <c r="AA20" s="208"/>
      <c r="AB20" s="164"/>
    </row>
    <row r="21" spans="2:28" hidden="1">
      <c r="AA21" s="208"/>
      <c r="AB21" s="164"/>
    </row>
    <row r="22" spans="2:28" hidden="1">
      <c r="AA22" s="208"/>
      <c r="AB22" s="164"/>
    </row>
    <row r="23" spans="2:28" hidden="1">
      <c r="AA23" s="208"/>
      <c r="AB23" s="164"/>
    </row>
    <row r="24" spans="2:28" hidden="1">
      <c r="AA24" s="208"/>
      <c r="AB24" s="164"/>
    </row>
    <row r="25" spans="2:28" hidden="1">
      <c r="AA25" s="208"/>
      <c r="AB25" s="164"/>
    </row>
    <row r="26" spans="2:28" hidden="1">
      <c r="AA26" s="208"/>
      <c r="AB26" s="164"/>
    </row>
    <row r="27" spans="2:28" hidden="1">
      <c r="AA27" s="208"/>
      <c r="AB27" s="164"/>
    </row>
    <row r="28" spans="2:28" hidden="1">
      <c r="AA28" s="208"/>
      <c r="AB28" s="164"/>
    </row>
    <row r="29" spans="2:28" hidden="1">
      <c r="AA29" s="208"/>
      <c r="AB29" s="164"/>
    </row>
    <row r="30" spans="2:28" hidden="1">
      <c r="AA30" s="208"/>
      <c r="AB30" s="164"/>
    </row>
    <row r="31" spans="2:28" hidden="1">
      <c r="AA31" s="208"/>
      <c r="AB31" s="164"/>
    </row>
    <row r="32" spans="2:28">
      <c r="B32" s="197"/>
      <c r="C32" s="161"/>
      <c r="AA32" s="208"/>
      <c r="AB32" s="164"/>
    </row>
    <row r="33" spans="2:28" ht="25.5" customHeight="1">
      <c r="I33" s="265" t="s">
        <v>120</v>
      </c>
      <c r="J33" s="266"/>
      <c r="K33" s="266"/>
      <c r="L33" s="266"/>
      <c r="M33" s="266"/>
      <c r="N33" s="266"/>
      <c r="O33" s="266"/>
      <c r="P33" s="266"/>
      <c r="AA33" s="208"/>
      <c r="AB33" s="164"/>
    </row>
    <row r="34" spans="2:28" ht="37.5" customHeight="1">
      <c r="B34" s="339" t="s">
        <v>94</v>
      </c>
      <c r="C34" s="339"/>
      <c r="D34" s="339"/>
      <c r="E34" s="339"/>
      <c r="F34" s="339"/>
      <c r="G34" s="211"/>
      <c r="I34" s="260" t="s">
        <v>97</v>
      </c>
      <c r="J34" s="261" t="s">
        <v>2</v>
      </c>
      <c r="K34" s="261" t="s">
        <v>98</v>
      </c>
      <c r="L34" s="262" t="s">
        <v>99</v>
      </c>
      <c r="M34" s="263"/>
      <c r="N34" s="264" t="s">
        <v>6</v>
      </c>
      <c r="O34" s="264" t="s">
        <v>100</v>
      </c>
      <c r="P34" s="262" t="s">
        <v>101</v>
      </c>
      <c r="R34" s="342" t="s">
        <v>122</v>
      </c>
      <c r="S34" s="342"/>
      <c r="T34" s="342"/>
      <c r="U34" s="342"/>
      <c r="V34" s="342"/>
      <c r="W34" s="342"/>
      <c r="X34" s="342"/>
      <c r="Y34" s="342"/>
      <c r="Z34" s="342"/>
      <c r="AA34" s="340" t="s">
        <v>124</v>
      </c>
      <c r="AB34" s="340" t="s">
        <v>123</v>
      </c>
    </row>
    <row r="35" spans="2:28" ht="49.5" customHeight="1">
      <c r="B35" s="163" t="s">
        <v>67</v>
      </c>
      <c r="C35" s="175" t="s">
        <v>73</v>
      </c>
      <c r="D35" s="170" t="s">
        <v>82</v>
      </c>
      <c r="E35" s="170" t="s">
        <v>95</v>
      </c>
      <c r="F35" s="200" t="s">
        <v>96</v>
      </c>
      <c r="G35" s="195"/>
      <c r="I35" s="267"/>
      <c r="J35" s="268"/>
      <c r="K35" s="268"/>
      <c r="L35" s="269" t="s">
        <v>57</v>
      </c>
      <c r="M35" s="269" t="s">
        <v>58</v>
      </c>
      <c r="N35" s="270" t="s">
        <v>57</v>
      </c>
      <c r="O35" s="270" t="s">
        <v>58</v>
      </c>
      <c r="P35" s="271" t="s">
        <v>57</v>
      </c>
      <c r="R35" s="171" t="s">
        <v>67</v>
      </c>
      <c r="S35" s="167" t="s">
        <v>102</v>
      </c>
      <c r="T35" s="167" t="s">
        <v>85</v>
      </c>
      <c r="U35" s="170" t="s">
        <v>82</v>
      </c>
      <c r="V35" s="170" t="s">
        <v>95</v>
      </c>
      <c r="W35" s="170" t="s">
        <v>2</v>
      </c>
      <c r="X35" s="170" t="s">
        <v>90</v>
      </c>
      <c r="Y35" s="209" t="s">
        <v>88</v>
      </c>
      <c r="Z35" s="209" t="s">
        <v>89</v>
      </c>
      <c r="AA35" s="341"/>
      <c r="AB35" s="341"/>
    </row>
    <row r="36" spans="2:28">
      <c r="B36" s="153" t="s">
        <v>73</v>
      </c>
      <c r="C36" s="198">
        <v>42787</v>
      </c>
      <c r="D36" s="196">
        <v>8</v>
      </c>
      <c r="E36" s="203">
        <v>2.1999999999999997</v>
      </c>
      <c r="F36" s="203">
        <v>4.1642627293951096</v>
      </c>
      <c r="G36" s="203"/>
      <c r="H36" s="164"/>
      <c r="I36" s="153" t="s">
        <v>21</v>
      </c>
      <c r="J36" s="198">
        <v>110631</v>
      </c>
      <c r="K36" s="198">
        <v>4606.9655001571036</v>
      </c>
      <c r="L36" s="198">
        <v>101591.50358894808</v>
      </c>
      <c r="M36" s="253">
        <v>119670.49641105192</v>
      </c>
      <c r="N36" s="255">
        <v>4.1642627293951096</v>
      </c>
      <c r="O36" s="206">
        <v>1.1084501137037157</v>
      </c>
      <c r="P36" s="198">
        <v>10336</v>
      </c>
      <c r="Q36" s="198"/>
      <c r="R36" s="153" t="s">
        <v>21</v>
      </c>
      <c r="S36" s="161">
        <v>42787</v>
      </c>
      <c r="T36" s="164">
        <v>5348.375</v>
      </c>
      <c r="U36" s="196">
        <v>8</v>
      </c>
      <c r="V36" s="203">
        <v>2.1999999999999997</v>
      </c>
      <c r="W36" s="164">
        <v>110630.99999999999</v>
      </c>
      <c r="X36" s="164">
        <v>2433.8819999999996</v>
      </c>
      <c r="Y36" s="164">
        <v>105860.59127999999</v>
      </c>
      <c r="Z36" s="164">
        <v>115401.40871999999</v>
      </c>
      <c r="AA36" s="208">
        <f>+M36-L36</f>
        <v>18078.992822103843</v>
      </c>
      <c r="AB36" s="164">
        <f>+Z36-Y36</f>
        <v>9540.8174399999989</v>
      </c>
    </row>
    <row r="37" spans="2:28">
      <c r="B37" s="153"/>
      <c r="C37" s="198"/>
      <c r="D37" s="196"/>
      <c r="E37" s="203"/>
      <c r="F37" s="203"/>
      <c r="G37" s="203"/>
      <c r="H37" s="164"/>
      <c r="I37" s="153"/>
      <c r="J37" s="198"/>
      <c r="K37" s="198"/>
      <c r="L37" s="198"/>
      <c r="M37" s="253"/>
      <c r="N37" s="255"/>
      <c r="O37" s="206"/>
      <c r="P37" s="198"/>
      <c r="Q37" s="198"/>
      <c r="R37" s="153"/>
      <c r="S37" s="161"/>
      <c r="T37" s="161"/>
      <c r="U37" s="196"/>
      <c r="V37" s="203"/>
      <c r="W37" s="164"/>
      <c r="X37" s="164"/>
      <c r="Y37" s="164"/>
      <c r="Z37" s="164"/>
      <c r="AA37" s="208"/>
      <c r="AB37" s="164"/>
    </row>
    <row r="38" spans="2:28">
      <c r="B38" s="153" t="s">
        <v>53</v>
      </c>
      <c r="C38" s="198">
        <f>SUM(C39:C40)</f>
        <v>42715.266947712778</v>
      </c>
      <c r="D38" s="198"/>
      <c r="E38" s="204"/>
      <c r="F38" s="203"/>
      <c r="G38" s="203"/>
      <c r="H38" s="164"/>
      <c r="I38" s="153" t="s">
        <v>53</v>
      </c>
      <c r="J38" s="198"/>
      <c r="K38" s="198"/>
      <c r="L38" s="198"/>
      <c r="M38" s="253"/>
      <c r="N38" s="255"/>
      <c r="O38" s="206"/>
      <c r="P38" s="198"/>
      <c r="Q38" s="198"/>
      <c r="R38" s="153" t="s">
        <v>53</v>
      </c>
      <c r="S38" s="161">
        <v>42715.266947712778</v>
      </c>
      <c r="T38" s="164"/>
      <c r="U38" s="196"/>
      <c r="V38" s="204"/>
      <c r="W38" s="164"/>
      <c r="X38" s="164"/>
      <c r="Y38" s="164"/>
      <c r="Z38" s="164"/>
      <c r="AA38" s="208"/>
      <c r="AB38" s="164"/>
    </row>
    <row r="39" spans="2:28">
      <c r="B39" s="154" t="s">
        <v>74</v>
      </c>
      <c r="C39" s="202">
        <v>29150.989222783803</v>
      </c>
      <c r="D39" s="202">
        <v>8</v>
      </c>
      <c r="E39" s="203">
        <v>2.97</v>
      </c>
      <c r="F39" s="203">
        <v>5.4812816402906082</v>
      </c>
      <c r="G39" s="203"/>
      <c r="H39" s="164"/>
      <c r="I39" s="154" t="s">
        <v>74</v>
      </c>
      <c r="J39" s="198">
        <v>70946</v>
      </c>
      <c r="K39" s="198">
        <v>3888.750072520575</v>
      </c>
      <c r="L39" s="198">
        <v>63315.740489085729</v>
      </c>
      <c r="M39" s="253">
        <v>78576.259510914271</v>
      </c>
      <c r="N39" s="255">
        <v>5.4812816402906082</v>
      </c>
      <c r="O39" s="206">
        <v>1.1543599729175773</v>
      </c>
      <c r="P39" s="198">
        <v>7106</v>
      </c>
      <c r="Q39" s="198"/>
      <c r="R39" s="154" t="s">
        <v>74</v>
      </c>
      <c r="S39" s="164">
        <v>29150.989222783803</v>
      </c>
      <c r="T39" s="164">
        <v>3643.8736528479753</v>
      </c>
      <c r="U39" s="196">
        <v>8</v>
      </c>
      <c r="V39" s="203">
        <v>2.97</v>
      </c>
      <c r="W39" s="164">
        <v>70946</v>
      </c>
      <c r="X39" s="164">
        <v>2107.0962</v>
      </c>
      <c r="Y39" s="164">
        <v>66816.091448000006</v>
      </c>
      <c r="Z39" s="164">
        <v>75075.908551999994</v>
      </c>
      <c r="AA39" s="208">
        <f t="shared" ref="AA39:AA48" si="3">+M39-L39</f>
        <v>15260.519021828542</v>
      </c>
      <c r="AB39" s="164">
        <f t="shared" ref="AB39:AB48" si="4">+Z39-Y39</f>
        <v>8259.817103999987</v>
      </c>
    </row>
    <row r="40" spans="2:28">
      <c r="B40" s="154" t="s">
        <v>75</v>
      </c>
      <c r="C40" s="202">
        <v>13564.277724928974</v>
      </c>
      <c r="D40" s="202">
        <v>8</v>
      </c>
      <c r="E40" s="203">
        <v>2.97</v>
      </c>
      <c r="F40" s="203">
        <v>6.2244497090835242</v>
      </c>
      <c r="G40" s="203"/>
      <c r="H40" s="164"/>
      <c r="I40" s="154" t="s">
        <v>75</v>
      </c>
      <c r="J40" s="198">
        <v>39685</v>
      </c>
      <c r="K40" s="198">
        <v>2470.1728670497964</v>
      </c>
      <c r="L40" s="198">
        <v>34838.182986585634</v>
      </c>
      <c r="M40" s="253">
        <v>44531.817013414366</v>
      </c>
      <c r="N40" s="255">
        <v>6.2244497090835242</v>
      </c>
      <c r="O40" s="206">
        <v>0.97132715600097097</v>
      </c>
      <c r="P40" s="198">
        <v>3230</v>
      </c>
      <c r="Q40" s="198"/>
      <c r="R40" s="154" t="s">
        <v>75</v>
      </c>
      <c r="S40" s="164">
        <v>13564.277724928974</v>
      </c>
      <c r="T40" s="164">
        <v>1695.5347156161217</v>
      </c>
      <c r="U40" s="196">
        <v>8</v>
      </c>
      <c r="V40" s="203">
        <v>2.97</v>
      </c>
      <c r="W40" s="164">
        <v>39685</v>
      </c>
      <c r="X40" s="164">
        <v>1178.6445000000001</v>
      </c>
      <c r="Y40" s="164">
        <v>37374.856780000002</v>
      </c>
      <c r="Z40" s="164">
        <v>41995.143220000005</v>
      </c>
      <c r="AA40" s="208">
        <f t="shared" si="3"/>
        <v>9693.6340268287313</v>
      </c>
      <c r="AB40" s="164">
        <f t="shared" si="4"/>
        <v>4620.2864400000035</v>
      </c>
    </row>
    <row r="41" spans="2:28">
      <c r="B41" s="154"/>
      <c r="C41" s="198"/>
      <c r="D41" s="198"/>
      <c r="E41" s="203"/>
      <c r="F41" s="203"/>
      <c r="G41" s="203"/>
      <c r="H41" s="164"/>
      <c r="I41" s="154"/>
      <c r="J41" s="168"/>
      <c r="M41"/>
      <c r="N41"/>
      <c r="R41" s="154"/>
      <c r="S41" s="164"/>
      <c r="T41" s="164"/>
      <c r="U41" s="196"/>
      <c r="V41" s="203"/>
      <c r="W41" s="164"/>
      <c r="X41" s="164"/>
      <c r="Y41" s="164"/>
      <c r="Z41" s="164"/>
      <c r="AA41" s="208"/>
      <c r="AB41" s="164"/>
    </row>
    <row r="42" spans="2:28">
      <c r="B42" s="153" t="s">
        <v>67</v>
      </c>
      <c r="C42" s="198">
        <f>SUM(C43:C48)</f>
        <v>42269.066491928701</v>
      </c>
      <c r="D42" s="198"/>
      <c r="E42" s="204"/>
      <c r="F42" s="203"/>
      <c r="G42" s="203"/>
      <c r="H42" s="164"/>
      <c r="I42" s="153" t="s">
        <v>67</v>
      </c>
      <c r="J42" s="168"/>
      <c r="M42"/>
      <c r="N42"/>
      <c r="R42" s="153" t="s">
        <v>67</v>
      </c>
      <c r="S42" s="161">
        <v>42269.066491928701</v>
      </c>
      <c r="T42" s="164"/>
      <c r="U42" s="196"/>
      <c r="V42" s="204"/>
      <c r="W42" s="164"/>
      <c r="X42" s="164"/>
      <c r="Y42" s="164"/>
      <c r="Z42" s="164"/>
      <c r="AA42" s="208"/>
      <c r="AB42" s="164"/>
    </row>
    <row r="43" spans="2:28">
      <c r="B43" s="154" t="s">
        <v>76</v>
      </c>
      <c r="C43" s="202">
        <v>14786.572392701382</v>
      </c>
      <c r="D43" s="196">
        <v>8</v>
      </c>
      <c r="E43" s="203">
        <v>4.55</v>
      </c>
      <c r="F43" s="203">
        <v>6.6865539723555356</v>
      </c>
      <c r="G43" s="203"/>
      <c r="H43" s="164"/>
      <c r="I43" s="154" t="s">
        <v>76</v>
      </c>
      <c r="J43" s="198">
        <v>46937</v>
      </c>
      <c r="K43" s="198">
        <v>3138.4678380045175</v>
      </c>
      <c r="L43" s="198">
        <v>40778.896850133504</v>
      </c>
      <c r="M43" s="253">
        <v>53095.103149866496</v>
      </c>
      <c r="N43" s="255">
        <v>6.6865539723555356</v>
      </c>
      <c r="O43" s="206">
        <v>1.1372155789442646</v>
      </c>
      <c r="P43" s="198">
        <v>5876</v>
      </c>
      <c r="Q43" s="198"/>
      <c r="R43" s="154" t="s">
        <v>76</v>
      </c>
      <c r="S43" s="164">
        <v>14786.572392701382</v>
      </c>
      <c r="T43" s="164">
        <v>1848.3215490876728</v>
      </c>
      <c r="U43" s="196">
        <v>8</v>
      </c>
      <c r="V43" s="203">
        <v>4.55</v>
      </c>
      <c r="W43" s="164">
        <v>46937</v>
      </c>
      <c r="X43" s="164">
        <v>2135.6334999999999</v>
      </c>
      <c r="Y43" s="164">
        <v>42751.158340000002</v>
      </c>
      <c r="Z43" s="164">
        <v>51122.841660000006</v>
      </c>
      <c r="AA43" s="208">
        <f t="shared" si="3"/>
        <v>12316.206299732992</v>
      </c>
      <c r="AB43" s="164">
        <f t="shared" si="4"/>
        <v>8371.6833200000037</v>
      </c>
    </row>
    <row r="44" spans="2:28">
      <c r="B44" s="154" t="s">
        <v>77</v>
      </c>
      <c r="C44" s="202">
        <v>6886.3403791288538</v>
      </c>
      <c r="D44" s="196">
        <v>8</v>
      </c>
      <c r="E44" s="203">
        <v>4.55</v>
      </c>
      <c r="F44" s="203">
        <v>13.668540508639582</v>
      </c>
      <c r="G44" s="203"/>
      <c r="H44" s="164"/>
      <c r="I44" s="154" t="s">
        <v>77</v>
      </c>
      <c r="J44" s="198">
        <v>10260</v>
      </c>
      <c r="K44" s="198">
        <v>1402.392256186421</v>
      </c>
      <c r="L44" s="198">
        <v>7508.3145866293416</v>
      </c>
      <c r="M44" s="253">
        <v>13011.685413370658</v>
      </c>
      <c r="N44" s="255">
        <v>13.668540508639582</v>
      </c>
      <c r="O44" s="206">
        <v>1.0752476052354725</v>
      </c>
      <c r="P44" s="198">
        <v>970</v>
      </c>
      <c r="Q44" s="198"/>
      <c r="R44" s="154" t="s">
        <v>77</v>
      </c>
      <c r="S44" s="164">
        <v>6886.3403791288538</v>
      </c>
      <c r="T44" s="164">
        <v>860.79254739110672</v>
      </c>
      <c r="U44" s="196">
        <v>8</v>
      </c>
      <c r="V44" s="203">
        <v>4.55</v>
      </c>
      <c r="W44" s="164">
        <v>10260</v>
      </c>
      <c r="X44" s="164">
        <v>466.83</v>
      </c>
      <c r="Y44" s="164">
        <v>9345.0131999999994</v>
      </c>
      <c r="Z44" s="164">
        <v>11174.986799999999</v>
      </c>
      <c r="AA44" s="208">
        <f t="shared" si="3"/>
        <v>5503.3708267413167</v>
      </c>
      <c r="AB44" s="164">
        <f t="shared" si="4"/>
        <v>1829.9735999999994</v>
      </c>
    </row>
    <row r="45" spans="2:28">
      <c r="B45" s="154" t="s">
        <v>78</v>
      </c>
      <c r="C45" s="202">
        <v>5629.6012399297497</v>
      </c>
      <c r="D45" s="196">
        <v>8</v>
      </c>
      <c r="E45" s="203">
        <v>4.55</v>
      </c>
      <c r="F45" s="203">
        <v>14.154309791622872</v>
      </c>
      <c r="G45" s="203"/>
      <c r="H45" s="164"/>
      <c r="I45" s="154" t="s">
        <v>78</v>
      </c>
      <c r="J45" s="198">
        <v>10132</v>
      </c>
      <c r="K45" s="198">
        <v>1434.1146680872293</v>
      </c>
      <c r="L45" s="198">
        <v>7318.0708757707534</v>
      </c>
      <c r="M45" s="253">
        <v>12945.929124229246</v>
      </c>
      <c r="N45" s="255">
        <v>14.154309791622872</v>
      </c>
      <c r="O45" s="206">
        <v>1.1064526233951153</v>
      </c>
      <c r="P45" s="198">
        <v>706</v>
      </c>
      <c r="Q45" s="198"/>
      <c r="R45" s="154" t="s">
        <v>78</v>
      </c>
      <c r="S45" s="164">
        <v>5629.6012399297497</v>
      </c>
      <c r="T45" s="164">
        <v>703.70015499121871</v>
      </c>
      <c r="U45" s="196">
        <v>8</v>
      </c>
      <c r="V45" s="203">
        <v>4.55</v>
      </c>
      <c r="W45" s="164">
        <v>10132</v>
      </c>
      <c r="X45" s="164">
        <v>461.00600000000003</v>
      </c>
      <c r="Y45" s="164">
        <v>9228.4282399999993</v>
      </c>
      <c r="Z45" s="164">
        <v>11035.571760000001</v>
      </c>
      <c r="AA45" s="208">
        <f t="shared" si="3"/>
        <v>5627.8582484584922</v>
      </c>
      <c r="AB45" s="164">
        <f t="shared" si="4"/>
        <v>1807.1435200000014</v>
      </c>
    </row>
    <row r="46" spans="2:28">
      <c r="B46" s="154" t="s">
        <v>79</v>
      </c>
      <c r="C46" s="202">
        <v>4891.7632924883665</v>
      </c>
      <c r="D46" s="196">
        <v>8</v>
      </c>
      <c r="E46" s="203">
        <v>4.55</v>
      </c>
      <c r="F46" s="203">
        <v>11.225117990462762</v>
      </c>
      <c r="G46" s="203"/>
      <c r="H46" s="164"/>
      <c r="I46" s="154" t="s">
        <v>79</v>
      </c>
      <c r="J46" s="198">
        <v>13635</v>
      </c>
      <c r="K46" s="198">
        <v>1530.5448379995976</v>
      </c>
      <c r="L46" s="198">
        <v>10631.86169354218</v>
      </c>
      <c r="M46" s="253">
        <v>16638.138306457822</v>
      </c>
      <c r="N46" s="255">
        <v>11.225117990462762</v>
      </c>
      <c r="O46" s="206">
        <v>1.0189590155184252</v>
      </c>
      <c r="P46" s="198">
        <v>948</v>
      </c>
      <c r="Q46" s="198"/>
      <c r="R46" s="154" t="s">
        <v>79</v>
      </c>
      <c r="S46" s="164">
        <v>4891.7632924883665</v>
      </c>
      <c r="T46" s="164">
        <v>611.47041156104581</v>
      </c>
      <c r="U46" s="196">
        <v>8</v>
      </c>
      <c r="V46" s="203">
        <v>4.55</v>
      </c>
      <c r="W46" s="164">
        <v>13635</v>
      </c>
      <c r="X46" s="164">
        <v>620.39250000000004</v>
      </c>
      <c r="Y46" s="164">
        <v>12419.030700000001</v>
      </c>
      <c r="Z46" s="164">
        <v>14850.969300000001</v>
      </c>
      <c r="AA46" s="208">
        <f t="shared" si="3"/>
        <v>6006.2766129156425</v>
      </c>
      <c r="AB46" s="164">
        <f t="shared" si="4"/>
        <v>2431.9385999999995</v>
      </c>
    </row>
    <row r="47" spans="2:28">
      <c r="B47" s="154" t="s">
        <v>80</v>
      </c>
      <c r="C47" s="202">
        <v>4145.5135480970193</v>
      </c>
      <c r="D47" s="196">
        <v>8</v>
      </c>
      <c r="E47" s="203">
        <v>4.55</v>
      </c>
      <c r="F47" s="203">
        <v>9.3278458574102601</v>
      </c>
      <c r="G47" s="203"/>
      <c r="H47" s="164"/>
      <c r="I47" s="154" t="s">
        <v>103</v>
      </c>
      <c r="J47" s="198">
        <v>16066</v>
      </c>
      <c r="K47" s="198">
        <v>1498.6117154515325</v>
      </c>
      <c r="L47" s="198">
        <v>13125.518847509811</v>
      </c>
      <c r="M47" s="253">
        <v>19006.481152490189</v>
      </c>
      <c r="N47" s="255">
        <v>9.3278458574102601</v>
      </c>
      <c r="O47" s="206">
        <v>0.91977272580999403</v>
      </c>
      <c r="P47" s="198">
        <v>993</v>
      </c>
      <c r="Q47" s="198"/>
      <c r="R47" s="154" t="s">
        <v>103</v>
      </c>
      <c r="S47" s="164">
        <v>4145.5135480970193</v>
      </c>
      <c r="T47" s="164">
        <v>518.18919351212742</v>
      </c>
      <c r="U47" s="196">
        <v>8</v>
      </c>
      <c r="V47" s="203">
        <v>4.55</v>
      </c>
      <c r="W47" s="164">
        <v>16066</v>
      </c>
      <c r="X47" s="164">
        <v>731.00300000000004</v>
      </c>
      <c r="Y47" s="164">
        <v>14633.234120000001</v>
      </c>
      <c r="Z47" s="164">
        <v>17498.765879999999</v>
      </c>
      <c r="AA47" s="208">
        <f t="shared" si="3"/>
        <v>5880.9623049803777</v>
      </c>
      <c r="AB47" s="164">
        <f t="shared" si="4"/>
        <v>2865.531759999998</v>
      </c>
    </row>
    <row r="48" spans="2:28">
      <c r="B48" s="155" t="s">
        <v>81</v>
      </c>
      <c r="C48" s="207">
        <v>5929.2756395833267</v>
      </c>
      <c r="D48" s="199">
        <v>8</v>
      </c>
      <c r="E48" s="205">
        <v>4.55</v>
      </c>
      <c r="F48" s="205">
        <v>12.219940232410663</v>
      </c>
      <c r="G48" s="203"/>
      <c r="H48" s="164"/>
      <c r="I48" s="155" t="s">
        <v>81</v>
      </c>
      <c r="J48" s="249">
        <v>13601</v>
      </c>
      <c r="K48" s="249">
        <v>1662.0340710101743</v>
      </c>
      <c r="L48" s="249">
        <v>10339.86183444826</v>
      </c>
      <c r="M48" s="257">
        <v>16862.13816555174</v>
      </c>
      <c r="N48" s="258">
        <v>12.219940232410663</v>
      </c>
      <c r="O48" s="250">
        <v>1.1078690785651293</v>
      </c>
      <c r="P48" s="249">
        <v>843</v>
      </c>
      <c r="Q48" s="198"/>
      <c r="R48" s="155" t="s">
        <v>81</v>
      </c>
      <c r="S48" s="172">
        <v>5929.2756395833267</v>
      </c>
      <c r="T48" s="173">
        <v>741.15945494791583</v>
      </c>
      <c r="U48" s="199">
        <v>8</v>
      </c>
      <c r="V48" s="205">
        <v>4.55</v>
      </c>
      <c r="W48" s="173">
        <v>13601</v>
      </c>
      <c r="X48" s="173">
        <v>618.8454999999999</v>
      </c>
      <c r="Y48" s="173">
        <v>12388.062819999999</v>
      </c>
      <c r="Z48" s="173">
        <v>14813.937179999999</v>
      </c>
      <c r="AA48" s="272">
        <f t="shared" si="3"/>
        <v>6522.2763311034796</v>
      </c>
      <c r="AB48" s="173">
        <f t="shared" si="4"/>
        <v>2425.8743599999998</v>
      </c>
    </row>
    <row r="50" spans="2:3">
      <c r="B50" s="152" t="s">
        <v>86</v>
      </c>
      <c r="C50" s="161"/>
    </row>
    <row r="51" spans="2:3">
      <c r="B51" s="152" t="s">
        <v>87</v>
      </c>
    </row>
  </sheetData>
  <mergeCells count="14">
    <mergeCell ref="B2:G2"/>
    <mergeCell ref="O2:O3"/>
    <mergeCell ref="P2:P3"/>
    <mergeCell ref="B34:F34"/>
    <mergeCell ref="K2:K3"/>
    <mergeCell ref="J2:J3"/>
    <mergeCell ref="I2:I3"/>
    <mergeCell ref="L2:M2"/>
    <mergeCell ref="AA2:AA3"/>
    <mergeCell ref="AB2:AB3"/>
    <mergeCell ref="AA34:AA35"/>
    <mergeCell ref="AB34:AB35"/>
    <mergeCell ref="R2:Z2"/>
    <mergeCell ref="R34:Z34"/>
  </mergeCells>
  <conditionalFormatting sqref="L4">
    <cfRule type="cellIs" dxfId="6" priority="9" operator="lessThan">
      <formula>0</formula>
    </cfRule>
  </conditionalFormatting>
  <conditionalFormatting sqref="L7:L8">
    <cfRule type="cellIs" dxfId="5" priority="5" operator="lessThan">
      <formula>0</formula>
    </cfRule>
  </conditionalFormatting>
  <conditionalFormatting sqref="N4">
    <cfRule type="cellIs" dxfId="4" priority="8" operator="greaterThan">
      <formula>20</formula>
    </cfRule>
  </conditionalFormatting>
  <conditionalFormatting sqref="N7:N8">
    <cfRule type="cellIs" dxfId="3" priority="4" operator="greaterThan">
      <formula>20</formula>
    </cfRule>
  </conditionalFormatting>
  <conditionalFormatting sqref="N10:N15">
    <cfRule type="cellIs" dxfId="2" priority="3" operator="greaterThan">
      <formula>20</formula>
    </cfRule>
  </conditionalFormatting>
  <conditionalFormatting sqref="N36:N40">
    <cfRule type="cellIs" dxfId="1" priority="2" operator="greaterThan">
      <formula>20</formula>
    </cfRule>
  </conditionalFormatting>
  <conditionalFormatting sqref="N43:N48">
    <cfRule type="cellIs" dxfId="0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Costos UPM- Freddy</vt:lpstr>
      <vt:lpstr>Desocupados ECE JAS 2022</vt:lpstr>
      <vt:lpstr>Pobreza extrema ENAHO 2022 </vt:lpstr>
      <vt:lpstr>Variación del p muestra fija</vt:lpstr>
      <vt:lpstr>Distribución TM y amplitud 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2023-07-10T15:24:04Z</dcterms:modified>
</cp:coreProperties>
</file>