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75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1"/>
  <c r="E47"/>
  <c r="I42"/>
  <c r="E5"/>
  <c r="E6"/>
  <c r="E9"/>
  <c r="E10"/>
  <c r="E7"/>
  <c r="E8"/>
  <c r="E22"/>
  <c r="E23"/>
  <c r="C47"/>
  <c r="E15"/>
  <c r="E17"/>
  <c r="E16"/>
  <c r="E18"/>
  <c r="E19"/>
  <c r="E21"/>
  <c r="D17"/>
  <c r="D16"/>
  <c r="D18"/>
  <c r="D19"/>
  <c r="D21"/>
  <c r="D27"/>
  <c r="D29"/>
  <c r="D28"/>
  <c r="D30"/>
  <c r="D31"/>
  <c r="D33"/>
  <c r="E20"/>
  <c r="D20"/>
  <c r="D15"/>
  <c r="D11"/>
  <c r="B47"/>
  <c r="D5"/>
  <c r="D6"/>
  <c r="D9"/>
  <c r="D10"/>
  <c r="D7"/>
  <c r="D8"/>
  <c r="D22"/>
  <c r="B50"/>
  <c r="D23"/>
  <c r="D24"/>
  <c r="E24"/>
  <c r="D25"/>
  <c r="E25"/>
  <c r="D26"/>
  <c r="E26"/>
  <c r="E27"/>
  <c r="E28"/>
  <c r="E29"/>
  <c r="E30"/>
  <c r="E31"/>
  <c r="D32"/>
  <c r="E32"/>
  <c r="E11"/>
  <c r="E12"/>
  <c r="E13"/>
  <c r="E14"/>
  <c r="E33"/>
  <c r="E34"/>
  <c r="E35"/>
  <c r="D47"/>
  <c r="E36"/>
  <c r="E37"/>
  <c r="E38"/>
  <c r="E39"/>
  <c r="E40"/>
  <c r="D34"/>
  <c r="D36"/>
  <c r="D35"/>
  <c r="D37"/>
  <c r="D38"/>
  <c r="D40"/>
  <c r="D12"/>
  <c r="D14"/>
  <c r="F57"/>
  <c r="D13"/>
  <c r="D39"/>
</calcChain>
</file>

<file path=xl/sharedStrings.xml><?xml version="1.0" encoding="utf-8"?>
<sst xmlns="http://schemas.openxmlformats.org/spreadsheetml/2006/main" count="68" uniqueCount="43">
  <si>
    <t>m</t>
  </si>
  <si>
    <t>z</t>
  </si>
  <si>
    <t>λ(obs)</t>
  </si>
  <si>
    <t>ν</t>
  </si>
  <si>
    <t>Energy</t>
  </si>
  <si>
    <t>Photons per joule</t>
  </si>
  <si>
    <r>
      <t>F</t>
    </r>
    <r>
      <rPr>
        <sz val="11"/>
        <color theme="1"/>
        <rFont val="Calibri"/>
        <family val="2"/>
      </rPr>
      <t>ν</t>
    </r>
  </si>
  <si>
    <r>
      <t>F</t>
    </r>
    <r>
      <rPr>
        <sz val="11"/>
        <color theme="1"/>
        <rFont val="Calibri"/>
        <family val="2"/>
      </rPr>
      <t>λ</t>
    </r>
  </si>
  <si>
    <t>VLT</t>
  </si>
  <si>
    <t>JWST</t>
  </si>
  <si>
    <t>Hubble</t>
  </si>
  <si>
    <t>QE</t>
  </si>
  <si>
    <t>Photons</t>
  </si>
  <si>
    <t>Radius(cm)</t>
  </si>
  <si>
    <t>M</t>
  </si>
  <si>
    <t>d(Kpc)</t>
  </si>
  <si>
    <t>Time (hours)</t>
  </si>
  <si>
    <t>Npix</t>
  </si>
  <si>
    <t>FWHM</t>
  </si>
  <si>
    <t>Read noise</t>
  </si>
  <si>
    <t>Dark noise</t>
  </si>
  <si>
    <t>Background</t>
  </si>
  <si>
    <t>a</t>
  </si>
  <si>
    <t>b</t>
  </si>
  <si>
    <t>c</t>
  </si>
  <si>
    <t>Time (seconds)</t>
  </si>
  <si>
    <t>Gain</t>
  </si>
  <si>
    <t># of Exposures</t>
  </si>
  <si>
    <t>Time (Hours)</t>
  </si>
  <si>
    <t>Filter</t>
  </si>
  <si>
    <t>JWST Bandwith</t>
  </si>
  <si>
    <t>Filter QE</t>
  </si>
  <si>
    <t>Group Studies - Observing Time Calculations</t>
  </si>
  <si>
    <t>SNR</t>
  </si>
  <si>
    <t>Diameter (m)</t>
  </si>
  <si>
    <t>Mirror reflectivity</t>
  </si>
  <si>
    <t>E-ELT</t>
  </si>
  <si>
    <t>Time (Seconds)</t>
  </si>
  <si>
    <t>Euclid</t>
  </si>
  <si>
    <t>npix =</t>
  </si>
  <si>
    <t>angular diameter of galaxy</t>
  </si>
  <si>
    <t>n pix</t>
  </si>
  <si>
    <t>EELT Npix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</si>
</sst>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redshift</a:t>
            </a:r>
            <a:r>
              <a:rPr lang="en-GB" baseline="0"/>
              <a:t> - angular size relation</a:t>
            </a:r>
            <a:endParaRPr lang="en-GB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1.5kpc galaxy</c:v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1.194838145231846E-2"/>
                  <c:y val="-2.8136847477398658E-2"/>
                </c:manualLayout>
              </c:layout>
              <c:numFmt formatCode="General" sourceLinked="0"/>
            </c:trendlineLbl>
          </c:trendline>
          <c:xVal>
            <c:numRef>
              <c:f>Sheet1!$I$19:$I$28</c:f>
              <c:numCache>
                <c:formatCode>0.00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xVal>
          <c:yVal>
            <c:numRef>
              <c:f>Sheet1!$J$19:$J$28</c:f>
              <c:numCache>
                <c:formatCode>General</c:formatCode>
                <c:ptCount val="10"/>
                <c:pt idx="0">
                  <c:v>0.25700000000000001</c:v>
                </c:pt>
                <c:pt idx="1">
                  <c:v>0.28100000000000003</c:v>
                </c:pt>
                <c:pt idx="2">
                  <c:v>0.30399999999999999</c:v>
                </c:pt>
                <c:pt idx="3">
                  <c:v>0.32800000000000001</c:v>
                </c:pt>
                <c:pt idx="4">
                  <c:v>0.35239999999999999</c:v>
                </c:pt>
                <c:pt idx="5">
                  <c:v>0.376</c:v>
                </c:pt>
                <c:pt idx="6">
                  <c:v>0.4</c:v>
                </c:pt>
                <c:pt idx="7">
                  <c:v>0.42399999999999999</c:v>
                </c:pt>
                <c:pt idx="8">
                  <c:v>0.44800000000000001</c:v>
                </c:pt>
                <c:pt idx="9">
                  <c:v>0.47199999999999998</c:v>
                </c:pt>
              </c:numCache>
            </c:numRef>
          </c:yVal>
        </c:ser>
        <c:dLbls/>
        <c:axId val="64766336"/>
        <c:axId val="64767872"/>
      </c:scatterChart>
      <c:valAx>
        <c:axId val="64766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Redshift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64767872"/>
        <c:crosses val="autoZero"/>
        <c:crossBetween val="midCat"/>
      </c:valAx>
      <c:valAx>
        <c:axId val="647678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Angular size(")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476633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</xdr:row>
      <xdr:rowOff>119062</xdr:rowOff>
    </xdr:from>
    <xdr:to>
      <xdr:col>13</xdr:col>
      <xdr:colOff>266700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>
      <selection activeCell="K28" sqref="K28"/>
    </sheetView>
  </sheetViews>
  <sheetFormatPr defaultColWidth="8.85546875" defaultRowHeight="15"/>
  <cols>
    <col min="1" max="1" width="16.7109375" customWidth="1"/>
    <col min="2" max="2" width="17.85546875" customWidth="1"/>
    <col min="3" max="3" width="12" bestFit="1" customWidth="1"/>
    <col min="4" max="26" width="12.7109375" customWidth="1"/>
  </cols>
  <sheetData>
    <row r="1" spans="1:20">
      <c r="A1" s="25" t="s">
        <v>32</v>
      </c>
      <c r="B1" s="25"/>
      <c r="C1" s="25"/>
      <c r="D1" s="25"/>
    </row>
    <row r="2" spans="1:20">
      <c r="A2" s="9"/>
      <c r="B2" s="9"/>
      <c r="C2" s="9"/>
      <c r="D2" s="9"/>
    </row>
    <row r="3" spans="1:20">
      <c r="A3" s="10"/>
      <c r="B3" s="10" t="s">
        <v>0</v>
      </c>
      <c r="C3" s="9"/>
      <c r="D3" s="10">
        <v>28</v>
      </c>
      <c r="E3" s="16">
        <v>30</v>
      </c>
      <c r="F3" s="16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9"/>
      <c r="B4" s="10" t="s">
        <v>1</v>
      </c>
      <c r="C4" s="9"/>
      <c r="D4" s="10">
        <v>9.69</v>
      </c>
      <c r="E4" s="16">
        <v>8</v>
      </c>
      <c r="F4" s="16"/>
      <c r="G4" s="1"/>
      <c r="H4" s="5"/>
      <c r="I4" s="1"/>
    </row>
    <row r="5" spans="1:20">
      <c r="A5" s="9"/>
      <c r="B5" s="11" t="s">
        <v>2</v>
      </c>
      <c r="C5" s="9"/>
      <c r="D5" s="12">
        <f>((1+D4)*0.00000015)</f>
        <v>1.6034999999999998E-6</v>
      </c>
      <c r="E5" s="12">
        <f>((1+E4)*0.00000015)</f>
        <v>1.35E-6</v>
      </c>
      <c r="F5" s="12"/>
      <c r="G5" s="4"/>
      <c r="I5" s="4"/>
    </row>
    <row r="6" spans="1:20">
      <c r="A6" s="9"/>
      <c r="B6" s="11" t="s">
        <v>3</v>
      </c>
      <c r="C6" s="9"/>
      <c r="D6" s="12">
        <f>((300000000)/D5)</f>
        <v>187090739008419.12</v>
      </c>
      <c r="E6" s="12">
        <f>((300000000)/E5)</f>
        <v>222222222222222.22</v>
      </c>
      <c r="F6" s="12"/>
      <c r="G6" s="4"/>
      <c r="H6" s="4"/>
      <c r="I6" s="4"/>
    </row>
    <row r="7" spans="1:20">
      <c r="A7" s="9"/>
      <c r="B7" s="11" t="s">
        <v>4</v>
      </c>
      <c r="C7" s="9"/>
      <c r="D7" s="12">
        <f>((6.63E-34)*D6)</f>
        <v>1.2404115996258187E-19</v>
      </c>
      <c r="E7" s="12">
        <f>((6.63E-34)*E6)</f>
        <v>1.4733333333333333E-19</v>
      </c>
      <c r="F7" s="12"/>
      <c r="G7" s="4"/>
      <c r="H7" s="4"/>
      <c r="I7" s="4"/>
    </row>
    <row r="8" spans="1:20">
      <c r="A8" s="9"/>
      <c r="B8" s="11" t="s">
        <v>5</v>
      </c>
      <c r="C8" s="9"/>
      <c r="D8" s="12">
        <f>(1/D7)</f>
        <v>8.0618401206636493E+18</v>
      </c>
      <c r="E8" s="12">
        <f>(1/E7)</f>
        <v>6.7873303167420815E+18</v>
      </c>
      <c r="F8" s="12"/>
      <c r="G8" s="4"/>
      <c r="H8" s="4"/>
      <c r="I8" s="4"/>
    </row>
    <row r="9" spans="1:20">
      <c r="A9" s="9"/>
      <c r="B9" s="10" t="s">
        <v>6</v>
      </c>
      <c r="C9" s="9"/>
      <c r="D9" s="12">
        <f>10^((-48.6-D3)/2.5)</f>
        <v>2.2908676527677602E-31</v>
      </c>
      <c r="E9" s="12">
        <f>10^((-48.6-E3)/2.5)</f>
        <v>3.6307805477010203E-32</v>
      </c>
      <c r="F9" s="12"/>
      <c r="G9" s="4"/>
      <c r="H9" s="4"/>
      <c r="I9" s="4"/>
    </row>
    <row r="10" spans="1:20">
      <c r="A10" s="9"/>
      <c r="B10" s="10" t="s">
        <v>7</v>
      </c>
      <c r="C10" s="9"/>
      <c r="D10" s="12">
        <f>((D6*D9)/D5*(10^-6))*10^-7</f>
        <v>2.6729037862600735E-24</v>
      </c>
      <c r="E10" s="12">
        <f>((E6*E9)/E5*(10^-6))*10^-7</f>
        <v>5.9765934941580579E-25</v>
      </c>
      <c r="F10" s="12"/>
      <c r="G10" s="4"/>
      <c r="H10" s="4"/>
      <c r="I10" s="4"/>
    </row>
    <row r="11" spans="1:20" ht="18.75" customHeight="1">
      <c r="A11" s="10" t="s">
        <v>8</v>
      </c>
      <c r="B11" s="10" t="s">
        <v>12</v>
      </c>
      <c r="C11" s="9"/>
      <c r="D11" s="13">
        <f>(D10*(0.289)*($B44^2)*D8*PI()*$B45*($B53^3))</f>
        <v>2.2776346953698474</v>
      </c>
      <c r="E11" s="13">
        <f>(E10*(0.289)*($B44^2)*E8*PI()*$B45*($B53^3))</f>
        <v>0.42876493961485335</v>
      </c>
      <c r="F11" s="13"/>
      <c r="G11" s="3"/>
      <c r="H11" s="3"/>
      <c r="I11" s="3"/>
    </row>
    <row r="12" spans="1:20" ht="18.75" customHeight="1">
      <c r="A12" s="10"/>
      <c r="B12" s="10" t="s">
        <v>25</v>
      </c>
      <c r="C12" s="9"/>
      <c r="D12" s="13">
        <f>((($B52^2)*$B50*$B47)/((D11)^2))</f>
        <v>2752032.6952538579</v>
      </c>
      <c r="E12" s="13">
        <f>((($B52^2)*$B50*$B47)/((E11)^2))</f>
        <v>77657462.860418946</v>
      </c>
      <c r="F12" s="13"/>
      <c r="G12" s="3"/>
      <c r="H12" s="3"/>
      <c r="I12" s="3"/>
    </row>
    <row r="13" spans="1:20" ht="20.25" customHeight="1">
      <c r="A13" s="9"/>
      <c r="B13" s="10" t="s">
        <v>16</v>
      </c>
      <c r="C13" s="9"/>
      <c r="D13" s="15">
        <f>D12/(60*60)</f>
        <v>764.453526459405</v>
      </c>
      <c r="E13" s="15">
        <f>E12/(60*60)</f>
        <v>21571.517461227486</v>
      </c>
      <c r="F13" s="15"/>
      <c r="G13" s="3"/>
      <c r="H13" s="3"/>
      <c r="I13" s="3"/>
    </row>
    <row r="14" spans="1:20" ht="20.25" customHeight="1">
      <c r="A14" s="9"/>
      <c r="B14" s="10" t="s">
        <v>27</v>
      </c>
      <c r="C14" s="9"/>
      <c r="D14" s="13">
        <f>(D12*($B50+D11)*$B53)/(65535*$B51)</f>
        <v>4235.6996655355424</v>
      </c>
      <c r="E14" s="13">
        <f>(E12*($B50+E11)*$B53)/(65535*$B51)</f>
        <v>118428.46919753672</v>
      </c>
      <c r="F14" s="13"/>
      <c r="G14" s="3"/>
      <c r="H14" s="3"/>
      <c r="I14" s="3"/>
    </row>
    <row r="15" spans="1:20" ht="20.25" customHeight="1">
      <c r="A15" s="21" t="s">
        <v>38</v>
      </c>
      <c r="B15" s="21" t="s">
        <v>12</v>
      </c>
      <c r="C15" s="9"/>
      <c r="D15" s="13">
        <f>(D10*(0.628)*($E44^2)*D8*PI()*$E45*($E53^3))</f>
        <v>0.13269920854436643</v>
      </c>
      <c r="E15" s="13">
        <f>(E10*(0.628)*($E44^2)*E8*PI()*$E45*($E53^3))</f>
        <v>2.4980638139262747E-2</v>
      </c>
      <c r="F15" s="13"/>
      <c r="G15" s="3"/>
      <c r="H15" s="3"/>
      <c r="I15" s="3"/>
    </row>
    <row r="16" spans="1:20" ht="20.25" customHeight="1">
      <c r="A16" s="21"/>
      <c r="B16" s="21" t="s">
        <v>22</v>
      </c>
      <c r="C16" s="9"/>
      <c r="D16" s="13">
        <f>(D15^2)</f>
        <v>1.7609079948301253E-2</v>
      </c>
      <c r="E16" s="13">
        <f>(E15^2)</f>
        <v>6.2403228184478856E-4</v>
      </c>
      <c r="F16" s="13"/>
      <c r="G16" s="3"/>
      <c r="H16" s="3"/>
      <c r="I16" s="3"/>
    </row>
    <row r="17" spans="1:12" ht="20.25" customHeight="1">
      <c r="A17" s="21"/>
      <c r="B17" s="21" t="s">
        <v>23</v>
      </c>
      <c r="C17" s="9"/>
      <c r="D17" s="13">
        <f>(-1*($E52^2)*(D15+(($E49+$E50)*$E47)))</f>
        <v>-287.7291311774141</v>
      </c>
      <c r="E17" s="13">
        <f>(-1*($E52^2)*(E15+(($E49+$E50)*$E47)))</f>
        <v>-276.95727413690372</v>
      </c>
      <c r="F17" s="13"/>
      <c r="G17" s="3"/>
      <c r="H17" s="3"/>
      <c r="I17" s="3"/>
    </row>
    <row r="18" spans="1:12" ht="20.25" customHeight="1">
      <c r="A18" s="21"/>
      <c r="B18" s="21" t="s">
        <v>24</v>
      </c>
      <c r="C18" s="9"/>
      <c r="D18" s="13">
        <f>(($E48^2)*$E47*($E52^2)*-1)</f>
        <v>-745700.49597186327</v>
      </c>
      <c r="E18" s="13">
        <f>(($E48^2)*$E47*($E52^2)*-1)</f>
        <v>-745700.49597186327</v>
      </c>
      <c r="F18" s="13"/>
      <c r="G18" s="3"/>
      <c r="H18" s="3"/>
      <c r="I18" s="3" t="s">
        <v>39</v>
      </c>
      <c r="J18" t="s">
        <v>40</v>
      </c>
    </row>
    <row r="19" spans="1:12" ht="20.25" customHeight="1">
      <c r="A19" s="9"/>
      <c r="B19" s="21" t="s">
        <v>37</v>
      </c>
      <c r="C19" s="9"/>
      <c r="D19" s="13">
        <f>((-D17+SQRT((D17^2)-(4*D16*D18)))/(2*D16))</f>
        <v>18614.758450221419</v>
      </c>
      <c r="E19" s="12">
        <f>((-E17+SQRT((E17^2)-(4*E16*E18)))/(2*E16))</f>
        <v>446495.16096850322</v>
      </c>
      <c r="F19" s="13"/>
      <c r="G19" s="3"/>
      <c r="H19" s="3"/>
      <c r="I19" s="3">
        <v>6</v>
      </c>
      <c r="J19">
        <v>0.25700000000000001</v>
      </c>
    </row>
    <row r="20" spans="1:12" ht="20.25" customHeight="1">
      <c r="A20" s="9"/>
      <c r="B20" s="21" t="s">
        <v>28</v>
      </c>
      <c r="C20" s="9"/>
      <c r="D20" s="22">
        <f>(D19/60^2)</f>
        <v>5.1707662361726161</v>
      </c>
      <c r="E20" s="22">
        <f>(E19/60^2)</f>
        <v>124.026433602362</v>
      </c>
      <c r="F20" s="22"/>
      <c r="G20" s="3"/>
      <c r="H20" s="3"/>
      <c r="I20" s="3">
        <v>7</v>
      </c>
      <c r="J20">
        <v>0.28100000000000003</v>
      </c>
      <c r="L20">
        <v>0</v>
      </c>
    </row>
    <row r="21" spans="1:12" ht="20.25" customHeight="1">
      <c r="A21" s="9"/>
      <c r="B21" s="21" t="s">
        <v>27</v>
      </c>
      <c r="C21" s="9"/>
      <c r="D21" s="24">
        <f>(D19*($E50+D15)*$E53)/(65535*$E51)</f>
        <v>1.5175648924482156E-2</v>
      </c>
      <c r="E21" s="24">
        <f>(E19*($E50+E15)*$E53)/(65535*$E51)</f>
        <v>7.9253062066808322E-2</v>
      </c>
      <c r="F21" s="23"/>
      <c r="G21" s="3"/>
      <c r="H21" s="3"/>
      <c r="I21" s="3">
        <v>8</v>
      </c>
      <c r="J21">
        <v>0.30399999999999999</v>
      </c>
    </row>
    <row r="22" spans="1:12" ht="20.25" customHeight="1">
      <c r="A22" s="20" t="s">
        <v>36</v>
      </c>
      <c r="B22" s="18" t="s">
        <v>12</v>
      </c>
      <c r="C22" s="9"/>
      <c r="D22" s="13">
        <f>(D10*(0.289)*(1965^2)*D8*PI()*$B45*($B53^3))</f>
        <v>52.316835375546923</v>
      </c>
      <c r="E22" s="13">
        <f>(E10*(0.289)*(1965^2)*E8*PI()*$B45*($B53^3))</f>
        <v>9.8486490420247605</v>
      </c>
      <c r="F22" s="13"/>
      <c r="G22" s="3"/>
      <c r="H22" s="3"/>
      <c r="I22" s="3">
        <v>9</v>
      </c>
      <c r="J22">
        <v>0.32800000000000001</v>
      </c>
    </row>
    <row r="23" spans="1:12" ht="20.25" customHeight="1">
      <c r="A23" s="9"/>
      <c r="B23" s="18" t="s">
        <v>37</v>
      </c>
      <c r="C23" s="9"/>
      <c r="D23" s="13">
        <f>((($C52^2)*$B50*(39.3^2/8.2^2)*114.5)/((D22)^2))</f>
        <v>19165.650862045568</v>
      </c>
      <c r="E23" s="13">
        <f>((($C52^2)*$B50*(39.3^2/8.2^2)*I42)/((E22)^2))</f>
        <v>1959207.4021663286</v>
      </c>
      <c r="F23" s="13"/>
      <c r="G23" s="3"/>
      <c r="H23" s="3"/>
      <c r="I23" s="3">
        <v>10</v>
      </c>
      <c r="J23">
        <v>0.35239999999999999</v>
      </c>
    </row>
    <row r="24" spans="1:12" ht="20.25" customHeight="1">
      <c r="A24" s="9"/>
      <c r="B24" s="19" t="s">
        <v>16</v>
      </c>
      <c r="C24" s="9"/>
      <c r="D24" s="22">
        <f>(D23/3600)</f>
        <v>5.3237919061237688</v>
      </c>
      <c r="E24" s="22">
        <f>(E23/3600)</f>
        <v>544.22427837953569</v>
      </c>
      <c r="F24" s="22"/>
      <c r="G24" s="3"/>
      <c r="H24" s="3"/>
      <c r="I24" s="3">
        <v>11</v>
      </c>
      <c r="J24">
        <v>0.376</v>
      </c>
    </row>
    <row r="25" spans="1:12" ht="20.25" customHeight="1">
      <c r="A25" s="9"/>
      <c r="B25" s="18" t="s">
        <v>27</v>
      </c>
      <c r="C25" s="9"/>
      <c r="D25" s="13">
        <f>(D23*($B50+D22)*$B53)/(65535*$B51)</f>
        <v>36.815133854532917</v>
      </c>
      <c r="E25" s="13">
        <f>(E23*($B50+E22)*$B53)/(65535*$B51)</f>
        <v>3128.6189286573363</v>
      </c>
      <c r="F25" s="13"/>
      <c r="G25" s="3"/>
      <c r="H25" s="3"/>
      <c r="I25" s="3">
        <v>12</v>
      </c>
      <c r="J25">
        <v>0.4</v>
      </c>
    </row>
    <row r="26" spans="1:12" ht="20.25" customHeight="1">
      <c r="A26" s="10" t="s">
        <v>9</v>
      </c>
      <c r="B26" s="10" t="s">
        <v>29</v>
      </c>
      <c r="C26" s="9"/>
      <c r="D26" s="14">
        <f>IF(AND(D4&gt;=5,D4&lt;5.83),$A56,(IF(AND(D4&gt;5.83,D4&lt;=7.5),$A57,IF(AND(D4&gt;=7.5,D4&lt;8.67),$A58,IF(AND(D4&gt;=8.67,D4&lt;9.4),$A59,IF(AND(D4&gt;=9.4,D4&lt;10.47),$A60,IF(AND(D4&gt;=10.47,D4&lt;11.74),$A61,IF(AND(D4&gt;=11.74,D4&lt;12.67),$A62,IF(AND(D4&gt;=12.67,D4&lt;=15),$A63,error)))))))))</f>
        <v>0.151</v>
      </c>
      <c r="E26" s="14">
        <f>IF(AND(E4&gt;=5,E4&lt;5.83),$A56,(IF(AND(E4&gt;5.83,E4&lt;=7.5),$A57,IF(AND(E4&gt;=7.5,E4&lt;8.67),$A58,IF(AND(E4&gt;=8.67,E4&lt;9.4),$A59,IF(AND(E4&gt;=9.4,E4&lt;10.47),$A60,IF(AND(E4&gt;=10.47,E4&lt;11.74),$A61,IF(AND(E4&gt;=11.74,E4&lt;12.67),$A62,IF(AND(E4&gt;=12.67,E4&lt;=15),$A63,error)))))))))</f>
        <v>0.14000000000000001</v>
      </c>
      <c r="F26" s="14"/>
      <c r="G26" s="3"/>
      <c r="H26" s="3"/>
      <c r="I26" s="3">
        <v>13</v>
      </c>
      <c r="J26">
        <v>0.42399999999999999</v>
      </c>
    </row>
    <row r="27" spans="1:12" ht="18.75" customHeight="1">
      <c r="A27" s="9"/>
      <c r="B27" s="10" t="s">
        <v>12</v>
      </c>
      <c r="C27" s="9"/>
      <c r="D27" s="13">
        <f>(D10*D26*($C44^2)*D8*PI()*$C45)*($C53^3)</f>
        <v>0.81297887988557671</v>
      </c>
      <c r="E27" s="13">
        <f>(E10*E26*($C44^2)*E8*PI()*$C45)*($C53^3)</f>
        <v>0.14189449525857309</v>
      </c>
      <c r="F27" s="13"/>
      <c r="G27" s="3"/>
      <c r="H27" s="3"/>
      <c r="I27" s="3">
        <v>14</v>
      </c>
      <c r="J27">
        <v>0.44800000000000001</v>
      </c>
    </row>
    <row r="28" spans="1:12" ht="20.25" customHeight="1">
      <c r="A28" s="9"/>
      <c r="B28" s="10" t="s">
        <v>22</v>
      </c>
      <c r="C28" s="9"/>
      <c r="D28" s="13">
        <f>(D27^2)</f>
        <v>0.66093465914000693</v>
      </c>
      <c r="E28" s="13">
        <f>(E27^2)</f>
        <v>2.0134047784685222E-2</v>
      </c>
      <c r="F28" s="13"/>
      <c r="G28" s="3"/>
      <c r="H28" s="3"/>
      <c r="I28" s="3">
        <v>15</v>
      </c>
      <c r="J28">
        <v>0.47199999999999998</v>
      </c>
    </row>
    <row r="29" spans="1:12" ht="20.25" customHeight="1">
      <c r="A29" s="9"/>
      <c r="B29" s="10" t="s">
        <v>23</v>
      </c>
      <c r="C29" s="9"/>
      <c r="D29" s="13">
        <f>(-1*($C52^2)*(D27+(($C49+$C50)*$C47)))</f>
        <v>-715.58455246166591</v>
      </c>
      <c r="E29" s="13">
        <f>(-1*($C52^2)*(E27+(($C49+$C50)*$C47)))</f>
        <v>-648.4761139989655</v>
      </c>
      <c r="F29" s="13"/>
      <c r="G29" s="3"/>
      <c r="H29" s="3"/>
      <c r="I29" s="3"/>
    </row>
    <row r="30" spans="1:12">
      <c r="A30" s="9"/>
      <c r="B30" s="10" t="s">
        <v>24</v>
      </c>
      <c r="C30" s="9"/>
      <c r="D30" s="13">
        <f>(($C48^2)*$C47*($C52^2)*-1)</f>
        <v>-2757768.1064048181</v>
      </c>
      <c r="E30" s="13">
        <f>(($C48^2)*$C47*($C52^2)*-1)</f>
        <v>-2757768.1064048181</v>
      </c>
      <c r="F30" s="13"/>
      <c r="G30" s="3"/>
      <c r="H30" s="3"/>
      <c r="I30" s="3"/>
    </row>
    <row r="31" spans="1:12" ht="20.25" customHeight="1">
      <c r="A31" s="9"/>
      <c r="B31" s="10" t="s">
        <v>25</v>
      </c>
      <c r="C31" s="9"/>
      <c r="D31" s="13">
        <f>((-D29+SQRT((D29^2)-(4*D28*D30)))/(2*D28))</f>
        <v>2654.5347188451542</v>
      </c>
      <c r="E31" s="12">
        <f>((-E29+SQRT((E29^2)-(4*E28*E30)))/(2*E28))</f>
        <v>36011.457714597236</v>
      </c>
      <c r="F31" s="13"/>
      <c r="G31" s="3"/>
      <c r="H31" s="3"/>
      <c r="I31" s="3"/>
    </row>
    <row r="32" spans="1:12" ht="20.25" customHeight="1">
      <c r="A32" s="9"/>
      <c r="B32" s="10" t="s">
        <v>28</v>
      </c>
      <c r="C32" s="9"/>
      <c r="D32" s="15">
        <f>D31/(60^2)</f>
        <v>0.73737075523476503</v>
      </c>
      <c r="E32" s="15">
        <f>E31/(60^2)</f>
        <v>10.003182698499232</v>
      </c>
      <c r="F32" s="15"/>
      <c r="G32" s="3"/>
      <c r="H32" s="3"/>
      <c r="I32" s="3"/>
    </row>
    <row r="33" spans="1:9" ht="20.25" customHeight="1">
      <c r="A33" s="9"/>
      <c r="B33" s="10" t="s">
        <v>27</v>
      </c>
      <c r="C33" s="9"/>
      <c r="D33" s="12">
        <f>(D31*($C50+D27)*$C53)/(65535*$C51)</f>
        <v>1.803892974254272E-2</v>
      </c>
      <c r="E33" s="12">
        <f>(E31*($C50+E27)*$C53)/(65535*$C51)</f>
        <v>4.3946722331756442E-2</v>
      </c>
      <c r="F33" s="12"/>
      <c r="G33" s="4"/>
      <c r="H33" s="4"/>
      <c r="I33" s="4"/>
    </row>
    <row r="34" spans="1:9" ht="18.75" customHeight="1">
      <c r="A34" s="10" t="s">
        <v>10</v>
      </c>
      <c r="B34" s="10" t="s">
        <v>12</v>
      </c>
      <c r="C34" s="9"/>
      <c r="D34" s="13">
        <f>(D10*0.29*($D44^2)*D8*PI()*$D45)*($D53^2)</f>
        <v>0.18319046957512056</v>
      </c>
      <c r="E34" s="13">
        <f>(E10*0.29*($D44^2)*E8*PI()*$D45)*($D53^2)</f>
        <v>3.4485622643994178E-2</v>
      </c>
      <c r="F34" s="13"/>
      <c r="G34" s="3"/>
      <c r="H34" s="3"/>
      <c r="I34" s="3"/>
    </row>
    <row r="35" spans="1:9" ht="18.75" customHeight="1">
      <c r="A35" s="10"/>
      <c r="B35" s="10" t="s">
        <v>22</v>
      </c>
      <c r="C35" s="9"/>
      <c r="D35" s="13">
        <f>(D34^2)</f>
        <v>3.3558748143153169E-2</v>
      </c>
      <c r="E35" s="13">
        <f>(E34^2)</f>
        <v>1.1892581691439639E-3</v>
      </c>
      <c r="F35" s="13"/>
      <c r="G35" s="3"/>
      <c r="H35" s="3"/>
      <c r="I35" s="3"/>
    </row>
    <row r="36" spans="1:9" ht="18.75" customHeight="1">
      <c r="A36" s="10"/>
      <c r="B36" s="10" t="s">
        <v>23</v>
      </c>
      <c r="C36" s="9"/>
      <c r="D36" s="13">
        <f>(-1*($D52^2)*(D34+(($D49+$D50)*$D47)))</f>
        <v>-6475.143340282968</v>
      </c>
      <c r="E36" s="13">
        <f>(-1*($D52^2)*(E34+(($D49+$D50)*$D47)))</f>
        <v>-6460.2728555898548</v>
      </c>
      <c r="F36" s="13"/>
      <c r="G36" s="3"/>
      <c r="H36" s="3"/>
      <c r="I36" s="3"/>
    </row>
    <row r="37" spans="1:9" ht="18.75" customHeight="1">
      <c r="A37" s="10"/>
      <c r="B37" s="10" t="s">
        <v>24</v>
      </c>
      <c r="C37" s="9"/>
      <c r="D37" s="13">
        <f>(($D48^2)*$D47*($D52^2)*-1)</f>
        <v>-1096441.8611307375</v>
      </c>
      <c r="E37" s="13">
        <f>(($D48^2)*$D47*($D52^2)*-1)</f>
        <v>-1096441.8611307375</v>
      </c>
      <c r="F37" s="13"/>
      <c r="G37" s="3"/>
      <c r="H37" s="3"/>
      <c r="I37" s="3"/>
    </row>
    <row r="38" spans="1:9" ht="20.25" customHeight="1">
      <c r="A38" s="9"/>
      <c r="B38" s="10" t="s">
        <v>25</v>
      </c>
      <c r="C38" s="9"/>
      <c r="D38" s="13">
        <f>((-D36+SQRT((D36^2)-(4*D35*D37)))/(2*D35))</f>
        <v>193118.67258912738</v>
      </c>
      <c r="E38" s="13">
        <f>((-E36+SQRT((E36^2)-(4*E35*E37)))/(2*E35))</f>
        <v>5432356.7906470038</v>
      </c>
      <c r="F38" s="13"/>
      <c r="G38" s="3"/>
      <c r="H38" s="3"/>
      <c r="I38" s="3"/>
    </row>
    <row r="39" spans="1:9" ht="20.25" customHeight="1">
      <c r="A39" s="9"/>
      <c r="B39" s="10" t="s">
        <v>28</v>
      </c>
      <c r="C39" s="9"/>
      <c r="D39" s="15">
        <f>D38/(60^2)</f>
        <v>53.64407571920205</v>
      </c>
      <c r="E39" s="15">
        <f>E38/(60^2)</f>
        <v>1508.9879974019454</v>
      </c>
      <c r="F39" s="15"/>
      <c r="G39" s="3"/>
      <c r="H39" s="3"/>
      <c r="I39" s="3"/>
    </row>
    <row r="40" spans="1:9">
      <c r="A40" s="9"/>
      <c r="B40" s="10" t="s">
        <v>27</v>
      </c>
      <c r="C40" s="9"/>
      <c r="D40" s="12">
        <f>(D38*($D50+D34)*$D53)/(65535*$D51)</f>
        <v>1.0430163701714523</v>
      </c>
      <c r="E40" s="12">
        <f>(E38*($D50+E34)*$D53)/(65535*$D51)</f>
        <v>24.902121156515786</v>
      </c>
      <c r="F40" s="12"/>
      <c r="G40" s="4"/>
      <c r="H40" s="4"/>
      <c r="I40" s="4"/>
    </row>
    <row r="42" spans="1:9">
      <c r="B42" s="1" t="s">
        <v>8</v>
      </c>
      <c r="C42" s="1" t="s">
        <v>9</v>
      </c>
      <c r="D42" s="1" t="s">
        <v>10</v>
      </c>
      <c r="E42" s="6" t="s">
        <v>38</v>
      </c>
      <c r="H42" s="6" t="s">
        <v>42</v>
      </c>
      <c r="I42">
        <f>PI()*(4*((E4*0.0239)+0.1133))^2/0.106^2</f>
        <v>414.79424170738196</v>
      </c>
    </row>
    <row r="43" spans="1:9">
      <c r="A43" t="s">
        <v>34</v>
      </c>
      <c r="B43" s="6">
        <v>8.1999999999999993</v>
      </c>
      <c r="C43" s="6">
        <v>6.5</v>
      </c>
      <c r="D43" s="6">
        <v>2.4</v>
      </c>
      <c r="E43" s="6">
        <v>1.2</v>
      </c>
    </row>
    <row r="44" spans="1:9">
      <c r="A44" t="s">
        <v>13</v>
      </c>
      <c r="B44" s="1">
        <v>410</v>
      </c>
      <c r="C44" s="1">
        <v>325</v>
      </c>
      <c r="D44" s="1">
        <v>120</v>
      </c>
      <c r="E44" s="6">
        <v>60</v>
      </c>
    </row>
    <row r="45" spans="1:9">
      <c r="A45" t="s">
        <v>11</v>
      </c>
      <c r="B45" s="1">
        <v>0.95</v>
      </c>
      <c r="C45" s="1">
        <v>0.8</v>
      </c>
      <c r="D45" s="1">
        <v>0.8</v>
      </c>
      <c r="E45" s="6">
        <v>0.95</v>
      </c>
    </row>
    <row r="46" spans="1:9">
      <c r="A46" t="s">
        <v>18</v>
      </c>
      <c r="B46" s="1">
        <v>0.8</v>
      </c>
      <c r="C46" s="17">
        <v>0.16</v>
      </c>
      <c r="D46" s="17">
        <v>0.16</v>
      </c>
      <c r="E46" s="6">
        <v>0.34</v>
      </c>
      <c r="F46">
        <f>E4*(0.0239)+0.1133</f>
        <v>0.30449999999999999</v>
      </c>
    </row>
    <row r="47" spans="1:9">
      <c r="A47" s="2" t="s">
        <v>17</v>
      </c>
      <c r="B47" s="3">
        <f>(PI()*((4*B46)/0.106)^2)</f>
        <v>2863.1104283338814</v>
      </c>
      <c r="C47" s="3">
        <f>PI()*(4*((E4*0.0239)+0.1133))^2/0.13^2</f>
        <v>275.77681064048181</v>
      </c>
      <c r="D47" s="3">
        <f>(PI()*((4*D46)/0.13)^2)</f>
        <v>76.141795911856775</v>
      </c>
      <c r="E47">
        <f>(PI()*((4*F46)/0.3)^2)</f>
        <v>51.784756664712724</v>
      </c>
      <c r="H47" t="s">
        <v>41</v>
      </c>
    </row>
    <row r="48" spans="1:9">
      <c r="A48" s="2" t="s">
        <v>19</v>
      </c>
      <c r="B48" s="1"/>
      <c r="C48" s="1">
        <v>10</v>
      </c>
      <c r="D48" s="1">
        <v>12</v>
      </c>
      <c r="E48" s="6">
        <v>12</v>
      </c>
    </row>
    <row r="49" spans="1:6">
      <c r="A49" s="2" t="s">
        <v>20</v>
      </c>
      <c r="B49" s="1"/>
      <c r="C49" s="1">
        <v>1.7999999999999999E-2</v>
      </c>
      <c r="D49" s="1">
        <v>4.8000000000000001E-2</v>
      </c>
      <c r="E49" s="6">
        <v>4.8000000000000001E-2</v>
      </c>
    </row>
    <row r="50" spans="1:6">
      <c r="A50" s="2" t="s">
        <v>21</v>
      </c>
      <c r="B50" s="3">
        <f>(288*($B53^3)*$B45)</f>
        <v>199.45440000000002</v>
      </c>
      <c r="C50" s="1">
        <v>5.0000000000000001E-3</v>
      </c>
      <c r="D50" s="1">
        <v>0.8</v>
      </c>
      <c r="E50" s="6">
        <v>5.0000000000000001E-3</v>
      </c>
    </row>
    <row r="51" spans="1:6">
      <c r="A51" s="2" t="s">
        <v>26</v>
      </c>
      <c r="B51" s="1">
        <v>1.8</v>
      </c>
      <c r="C51" s="1">
        <v>1.8</v>
      </c>
      <c r="D51" s="1">
        <v>2.5</v>
      </c>
      <c r="E51" s="6">
        <v>2.5</v>
      </c>
    </row>
    <row r="52" spans="1:6">
      <c r="A52" s="2" t="s">
        <v>33</v>
      </c>
      <c r="B52" s="6">
        <v>5</v>
      </c>
      <c r="C52" s="6">
        <v>10</v>
      </c>
      <c r="D52" s="6">
        <v>10</v>
      </c>
      <c r="E52" s="6">
        <v>10</v>
      </c>
    </row>
    <row r="53" spans="1:6">
      <c r="A53" s="2" t="s">
        <v>35</v>
      </c>
      <c r="B53" s="6">
        <v>0.9</v>
      </c>
      <c r="C53" s="6">
        <v>0.98</v>
      </c>
      <c r="D53" s="6">
        <v>0.9</v>
      </c>
      <c r="E53" s="6">
        <v>0.97</v>
      </c>
    </row>
    <row r="55" spans="1:6">
      <c r="A55" s="6" t="s">
        <v>30</v>
      </c>
      <c r="B55" s="6" t="s">
        <v>31</v>
      </c>
    </row>
    <row r="56" spans="1:6">
      <c r="A56" s="8">
        <v>0.22500000000000001</v>
      </c>
      <c r="B56" s="6">
        <v>0.95</v>
      </c>
      <c r="D56" s="1" t="s">
        <v>14</v>
      </c>
      <c r="E56" s="1" t="s">
        <v>15</v>
      </c>
      <c r="F56" s="1" t="s">
        <v>0</v>
      </c>
    </row>
    <row r="57" spans="1:6">
      <c r="A57" s="8">
        <v>0.28699999999999998</v>
      </c>
      <c r="B57" s="6">
        <v>0.85</v>
      </c>
      <c r="D57" s="1">
        <v>30</v>
      </c>
      <c r="E57" s="1">
        <v>10</v>
      </c>
      <c r="F57" s="3">
        <f>((5*LOG(E57/10))+D57)</f>
        <v>30</v>
      </c>
    </row>
    <row r="58" spans="1:6">
      <c r="A58" s="8">
        <v>0.14000000000000001</v>
      </c>
      <c r="B58" s="6">
        <v>0.9</v>
      </c>
    </row>
    <row r="59" spans="1:6">
      <c r="A59" s="8">
        <v>0.375</v>
      </c>
      <c r="B59" s="6">
        <v>0.9</v>
      </c>
    </row>
    <row r="60" spans="1:6">
      <c r="A60" s="8">
        <v>0.151</v>
      </c>
      <c r="B60" s="6">
        <v>0.95</v>
      </c>
    </row>
    <row r="61" spans="1:6">
      <c r="A61" s="8">
        <v>0.221</v>
      </c>
      <c r="B61" s="6">
        <v>0.9</v>
      </c>
    </row>
    <row r="62" spans="1:6">
      <c r="A62" s="8">
        <v>0.5</v>
      </c>
      <c r="B62" s="6">
        <v>0.9</v>
      </c>
    </row>
    <row r="63" spans="1:6">
      <c r="A63" s="8">
        <v>0.21</v>
      </c>
      <c r="B63" s="6">
        <v>0.95</v>
      </c>
    </row>
    <row r="64" spans="1:6">
      <c r="A64" s="7"/>
    </row>
    <row r="65" spans="1:1">
      <c r="A65" s="7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Bedana</dc:creator>
  <cp:lastModifiedBy>Mike</cp:lastModifiedBy>
  <dcterms:created xsi:type="dcterms:W3CDTF">2013-02-11T10:06:08Z</dcterms:created>
  <dcterms:modified xsi:type="dcterms:W3CDTF">2013-03-13T20:44:36Z</dcterms:modified>
</cp:coreProperties>
</file>