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20" yWindow="75" windowWidth="20730" windowHeight="11760"/>
  </bookViews>
  <sheets>
    <sheet name="Sheet1" sheetId="1" r:id="rId1"/>
    <sheet name="Sheet2" sheetId="2" r:id="rId2"/>
    <sheet name="Sheet3" sheetId="3" r:id="rId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9" i="1" l="1"/>
  <c r="D43" i="1"/>
  <c r="C73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D26" i="1"/>
  <c r="F67" i="1"/>
  <c r="E30" i="1"/>
  <c r="E31" i="1"/>
  <c r="E32" i="1"/>
  <c r="E33" i="1"/>
  <c r="E34" i="1"/>
  <c r="E35" i="1"/>
  <c r="E36" i="1"/>
  <c r="C63" i="1"/>
  <c r="E37" i="1"/>
  <c r="E38" i="1"/>
  <c r="E39" i="1"/>
  <c r="E40" i="1"/>
  <c r="E41" i="1"/>
  <c r="E42" i="1"/>
  <c r="E43" i="1"/>
  <c r="E44" i="1"/>
  <c r="E45" i="1"/>
  <c r="E46" i="1"/>
  <c r="E47" i="1"/>
  <c r="E48" i="1"/>
  <c r="E50" i="1"/>
  <c r="E51" i="1"/>
  <c r="E52" i="1"/>
  <c r="E53" i="1"/>
  <c r="E54" i="1"/>
  <c r="E55" i="1"/>
  <c r="E56" i="1"/>
  <c r="D28" i="1"/>
  <c r="D27" i="1"/>
  <c r="D30" i="1"/>
  <c r="D42" i="1"/>
  <c r="D44" i="1"/>
  <c r="C67" i="1"/>
  <c r="D46" i="1"/>
  <c r="D5" i="1"/>
  <c r="F73" i="1"/>
  <c r="B66" i="1"/>
  <c r="B63" i="1"/>
  <c r="E63" i="1"/>
  <c r="F66" i="1"/>
  <c r="F63" i="1"/>
  <c r="D63" i="1"/>
  <c r="D6" i="1"/>
  <c r="D9" i="1"/>
  <c r="D10" i="1"/>
  <c r="D7" i="1"/>
  <c r="D8" i="1"/>
  <c r="D29" i="1"/>
  <c r="D31" i="1"/>
  <c r="D32" i="1"/>
  <c r="D47" i="1"/>
  <c r="D45" i="1"/>
  <c r="D48" i="1"/>
  <c r="D22" i="1"/>
  <c r="D23" i="1"/>
  <c r="D25" i="1"/>
  <c r="D33" i="1"/>
  <c r="D24" i="1"/>
  <c r="D34" i="1"/>
  <c r="D35" i="1"/>
  <c r="D36" i="1"/>
  <c r="D49" i="1"/>
  <c r="D38" i="1"/>
  <c r="D37" i="1"/>
  <c r="D39" i="1"/>
  <c r="D15" i="1"/>
  <c r="D17" i="1"/>
  <c r="D16" i="1"/>
  <c r="D18" i="1"/>
  <c r="D19" i="1"/>
  <c r="D21" i="1"/>
  <c r="D41" i="1"/>
  <c r="D20" i="1"/>
  <c r="D11" i="1"/>
  <c r="D40" i="1"/>
  <c r="D50" i="1"/>
  <c r="D52" i="1"/>
  <c r="D51" i="1"/>
  <c r="D53" i="1"/>
  <c r="D54" i="1"/>
  <c r="D56" i="1"/>
  <c r="D12" i="1"/>
  <c r="D14" i="1"/>
  <c r="F77" i="1"/>
  <c r="D13" i="1"/>
  <c r="D55" i="1"/>
</calcChain>
</file>

<file path=xl/sharedStrings.xml><?xml version="1.0" encoding="utf-8"?>
<sst xmlns="http://schemas.openxmlformats.org/spreadsheetml/2006/main" count="85" uniqueCount="48">
  <si>
    <t>m</t>
  </si>
  <si>
    <t>z</t>
  </si>
  <si>
    <t>λ(obs)</t>
  </si>
  <si>
    <t>ν</t>
  </si>
  <si>
    <t>Energy</t>
  </si>
  <si>
    <t>Photons per joule</t>
  </si>
  <si>
    <r>
      <t>F</t>
    </r>
    <r>
      <rPr>
        <sz val="11"/>
        <color theme="1"/>
        <rFont val="Calibri"/>
        <family val="2"/>
      </rPr>
      <t>ν</t>
    </r>
  </si>
  <si>
    <r>
      <t>F</t>
    </r>
    <r>
      <rPr>
        <sz val="11"/>
        <color theme="1"/>
        <rFont val="Calibri"/>
        <family val="2"/>
      </rPr>
      <t>λ</t>
    </r>
  </si>
  <si>
    <t>VLT</t>
  </si>
  <si>
    <t>JWST</t>
  </si>
  <si>
    <t>Hubble</t>
  </si>
  <si>
    <t>QE</t>
  </si>
  <si>
    <t>Photons</t>
  </si>
  <si>
    <t>Radius(cm)</t>
  </si>
  <si>
    <t>M</t>
  </si>
  <si>
    <t>d(Kpc)</t>
  </si>
  <si>
    <t>Time (hours)</t>
  </si>
  <si>
    <t>Npix</t>
  </si>
  <si>
    <t>FWHM</t>
  </si>
  <si>
    <t>Read noise</t>
  </si>
  <si>
    <t>Dark noise</t>
  </si>
  <si>
    <t>Background</t>
  </si>
  <si>
    <t>a</t>
  </si>
  <si>
    <t>b</t>
  </si>
  <si>
    <t>c</t>
  </si>
  <si>
    <t>Time (seconds)</t>
  </si>
  <si>
    <t>Gain</t>
  </si>
  <si>
    <t># of Exposures</t>
  </si>
  <si>
    <t>Time (Hours)</t>
  </si>
  <si>
    <t>Filter</t>
  </si>
  <si>
    <t>JWST Bandwith</t>
  </si>
  <si>
    <t>Filter QE</t>
  </si>
  <si>
    <t>Group Studies - Observing Time Calculations</t>
  </si>
  <si>
    <t>SNR</t>
  </si>
  <si>
    <t>Diameter (m)</t>
  </si>
  <si>
    <t>Mirror reflectivity</t>
  </si>
  <si>
    <t>E-ELT</t>
  </si>
  <si>
    <t>Time (Seconds)</t>
  </si>
  <si>
    <t>Euclid</t>
  </si>
  <si>
    <t>Spectroscopy</t>
  </si>
  <si>
    <t>photons</t>
  </si>
  <si>
    <t>Δλ</t>
  </si>
  <si>
    <t>Resolution</t>
  </si>
  <si>
    <t>Spec N</t>
  </si>
  <si>
    <t>Grating Width</t>
  </si>
  <si>
    <t>λ/pixel</t>
  </si>
  <si>
    <t>SIMPLE</t>
  </si>
  <si>
    <t>Spec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</si>
</sst>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1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1" fontId="0" fillId="3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/>
    <xf numFmtId="0" fontId="0" fillId="5" borderId="1" xfId="0" applyFill="1" applyBorder="1"/>
    <xf numFmtId="0" fontId="0" fillId="5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3"/>
  <sheetViews>
    <sheetView tabSelected="1" topLeftCell="A23" workbookViewId="0">
      <selection activeCell="E50" sqref="E50"/>
    </sheetView>
  </sheetViews>
  <sheetFormatPr defaultColWidth="8.85546875" defaultRowHeight="15" x14ac:dyDescent="0.25"/>
  <cols>
    <col min="1" max="1" width="16.7109375" customWidth="1"/>
    <col min="2" max="2" width="17.85546875" customWidth="1"/>
    <col min="3" max="3" width="12" bestFit="1" customWidth="1"/>
    <col min="4" max="26" width="12.7109375" customWidth="1"/>
  </cols>
  <sheetData>
    <row r="1" spans="1:20" x14ac:dyDescent="0.25">
      <c r="A1" s="31" t="s">
        <v>32</v>
      </c>
      <c r="B1" s="31"/>
      <c r="C1" s="31"/>
      <c r="D1" s="31"/>
    </row>
    <row r="2" spans="1:20" x14ac:dyDescent="0.25">
      <c r="A2" s="8"/>
      <c r="B2" s="8"/>
      <c r="C2" s="8"/>
      <c r="D2" s="8"/>
    </row>
    <row r="3" spans="1:20" x14ac:dyDescent="0.25">
      <c r="A3" s="9"/>
      <c r="B3" s="9" t="s">
        <v>0</v>
      </c>
      <c r="C3" s="8"/>
      <c r="D3" s="9">
        <v>28</v>
      </c>
      <c r="E3" s="15">
        <v>31</v>
      </c>
      <c r="F3" s="15"/>
      <c r="G3" s="1"/>
      <c r="H3" s="1"/>
      <c r="I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25">
      <c r="A4" s="8"/>
      <c r="B4" s="9" t="s">
        <v>1</v>
      </c>
      <c r="C4" s="8"/>
      <c r="D4" s="9">
        <v>9.69</v>
      </c>
      <c r="E4" s="15">
        <v>15</v>
      </c>
      <c r="F4" s="15"/>
      <c r="G4" s="1"/>
      <c r="H4" s="5"/>
      <c r="I4" s="1"/>
    </row>
    <row r="5" spans="1:20" x14ac:dyDescent="0.25">
      <c r="A5" s="8"/>
      <c r="B5" s="10" t="s">
        <v>2</v>
      </c>
      <c r="C5" s="8"/>
      <c r="D5" s="11">
        <f>((1+D4)*0.00000015)</f>
        <v>1.6034999999999998E-6</v>
      </c>
      <c r="E5" s="11">
        <f>((1+E4)*0.00000015)</f>
        <v>2.3999999999999999E-6</v>
      </c>
      <c r="F5" s="11"/>
      <c r="G5" s="4"/>
      <c r="I5" s="4"/>
    </row>
    <row r="6" spans="1:20" x14ac:dyDescent="0.25">
      <c r="A6" s="8"/>
      <c r="B6" s="10" t="s">
        <v>3</v>
      </c>
      <c r="C6" s="8"/>
      <c r="D6" s="11">
        <f>((300000000)/D5)</f>
        <v>187090739008419.12</v>
      </c>
      <c r="E6" s="11">
        <f>((300000000)/E5)</f>
        <v>125000000000000</v>
      </c>
      <c r="F6" s="11"/>
      <c r="G6" s="4"/>
      <c r="H6" s="4"/>
      <c r="I6" s="4"/>
    </row>
    <row r="7" spans="1:20" x14ac:dyDescent="0.25">
      <c r="A7" s="8"/>
      <c r="B7" s="10" t="s">
        <v>4</v>
      </c>
      <c r="C7" s="8"/>
      <c r="D7" s="11">
        <f>((6.63E-34)*D6)</f>
        <v>1.2404115996258187E-19</v>
      </c>
      <c r="E7" s="11">
        <f>((6.63E-34)*E6)</f>
        <v>8.2874999999999995E-20</v>
      </c>
      <c r="F7" s="11"/>
      <c r="G7" s="4"/>
      <c r="H7" s="4"/>
      <c r="I7" s="4"/>
    </row>
    <row r="8" spans="1:20" x14ac:dyDescent="0.25">
      <c r="A8" s="8"/>
      <c r="B8" s="10" t="s">
        <v>5</v>
      </c>
      <c r="C8" s="8"/>
      <c r="D8" s="11">
        <f>(1/D7)</f>
        <v>8.0618401206636493E+18</v>
      </c>
      <c r="E8" s="11">
        <f>(1/E7)</f>
        <v>1.2066365007541479E+19</v>
      </c>
      <c r="F8" s="11"/>
      <c r="G8" s="4"/>
      <c r="H8" s="4"/>
      <c r="I8" s="4"/>
    </row>
    <row r="9" spans="1:20" x14ac:dyDescent="0.25">
      <c r="A9" s="8"/>
      <c r="B9" s="9" t="s">
        <v>6</v>
      </c>
      <c r="C9" s="8"/>
      <c r="D9" s="11">
        <f>10^((-48.6-D3)/2.5)</f>
        <v>2.2908676527677602E-31</v>
      </c>
      <c r="E9" s="11">
        <f>10^((-48.6-E3)/2.5)</f>
        <v>1.4454397707459357E-32</v>
      </c>
      <c r="F9" s="11"/>
      <c r="G9" s="4"/>
      <c r="H9" s="4"/>
      <c r="I9" s="4"/>
    </row>
    <row r="10" spans="1:20" x14ac:dyDescent="0.25">
      <c r="A10" s="8"/>
      <c r="B10" s="9" t="s">
        <v>7</v>
      </c>
      <c r="C10" s="8"/>
      <c r="D10" s="11">
        <f>((D6*D9)/D5*(10^-6))*10^-7</f>
        <v>2.6729037862600735E-24</v>
      </c>
      <c r="E10" s="11">
        <f>((E6*E9)/E5*(10^-6))*10^-7</f>
        <v>7.5283321393017482E-26</v>
      </c>
      <c r="F10" s="11"/>
      <c r="G10" s="4"/>
      <c r="H10" s="4"/>
      <c r="I10" s="4"/>
    </row>
    <row r="11" spans="1:20" ht="18.75" customHeight="1" x14ac:dyDescent="0.25">
      <c r="A11" s="9" t="s">
        <v>8</v>
      </c>
      <c r="B11" s="9" t="s">
        <v>12</v>
      </c>
      <c r="C11" s="8"/>
      <c r="D11" s="12">
        <f>(D10*(0.289)*($B60^2)*D8*PI()*$B61*($B70^3))</f>
        <v>2.2776346953698474</v>
      </c>
      <c r="E11" s="12">
        <f>(E10*(0.289)*($B60^2)*E8*PI()*$B61*($B70^3))</f>
        <v>9.6015598280218717E-2</v>
      </c>
      <c r="F11" s="12"/>
      <c r="G11" s="3"/>
      <c r="H11" s="3"/>
      <c r="I11" s="3"/>
    </row>
    <row r="12" spans="1:20" ht="18.75" customHeight="1" x14ac:dyDescent="0.25">
      <c r="A12" s="9"/>
      <c r="B12" s="9" t="s">
        <v>25</v>
      </c>
      <c r="C12" s="8"/>
      <c r="D12" s="12">
        <f>((($B69^2)*$B66*$B63)/((D11)^2))</f>
        <v>2752032.6952538579</v>
      </c>
      <c r="E12" s="12">
        <f>((($B69^2)*$B66*$B63)/((E11)^2))</f>
        <v>1548596038.9682181</v>
      </c>
      <c r="F12" s="12"/>
      <c r="G12" s="3"/>
      <c r="H12" s="3"/>
      <c r="I12" s="3"/>
    </row>
    <row r="13" spans="1:20" ht="20.25" customHeight="1" x14ac:dyDescent="0.25">
      <c r="A13" s="8"/>
      <c r="B13" s="9" t="s">
        <v>16</v>
      </c>
      <c r="C13" s="8"/>
      <c r="D13" s="14">
        <f>D12/(60*60)</f>
        <v>764.453526459405</v>
      </c>
      <c r="E13" s="14">
        <f>E12/(60*60)</f>
        <v>430165.56638006057</v>
      </c>
      <c r="F13" s="14"/>
      <c r="G13" s="3"/>
      <c r="H13" s="3"/>
      <c r="I13" s="3"/>
    </row>
    <row r="14" spans="1:20" ht="20.25" customHeight="1" x14ac:dyDescent="0.25">
      <c r="A14" s="8"/>
      <c r="B14" s="9" t="s">
        <v>27</v>
      </c>
      <c r="C14" s="8"/>
      <c r="D14" s="12">
        <f>(D12*($B66+D11)*$B70)/(65535*$B68)</f>
        <v>4235.6996655355424</v>
      </c>
      <c r="E14" s="12">
        <f>(E12*($B66+E11)*$B70)/(65535*$B68)</f>
        <v>2357694.2333864234</v>
      </c>
      <c r="F14" s="12"/>
      <c r="G14" s="3"/>
      <c r="H14" s="3"/>
      <c r="I14" s="3"/>
    </row>
    <row r="15" spans="1:20" ht="20.25" customHeight="1" x14ac:dyDescent="0.25">
      <c r="A15" s="20" t="s">
        <v>38</v>
      </c>
      <c r="B15" s="20" t="s">
        <v>12</v>
      </c>
      <c r="C15" s="8"/>
      <c r="D15" s="12">
        <f>(D10*(0.628)*($E60^2)*D8*PI()*$E61*($E70^3))</f>
        <v>0.13269920854436643</v>
      </c>
      <c r="E15" s="12">
        <f>(E10*(0.628)*($E60^2)*E8*PI()*$E61*($E70^3))</f>
        <v>5.594046282136526E-3</v>
      </c>
      <c r="F15" s="12"/>
      <c r="G15" s="3"/>
      <c r="H15" s="3"/>
      <c r="I15" s="3"/>
    </row>
    <row r="16" spans="1:20" ht="20.25" customHeight="1" x14ac:dyDescent="0.25">
      <c r="A16" s="20"/>
      <c r="B16" s="20" t="s">
        <v>22</v>
      </c>
      <c r="C16" s="8"/>
      <c r="D16" s="12">
        <f>(D15^2)</f>
        <v>1.7609079948301253E-2</v>
      </c>
      <c r="E16" s="12">
        <f>(E15^2)</f>
        <v>3.1293353806685487E-5</v>
      </c>
      <c r="F16" s="12"/>
      <c r="G16" s="3"/>
      <c r="H16" s="3"/>
      <c r="I16" s="3"/>
    </row>
    <row r="17" spans="1:9" ht="20.25" customHeight="1" x14ac:dyDescent="0.25">
      <c r="A17" s="20"/>
      <c r="B17" s="20" t="s">
        <v>23</v>
      </c>
      <c r="C17" s="8"/>
      <c r="D17" s="12">
        <f>(-1*($E69^2)*(D15+(($E65+$E66)*$E63)))</f>
        <v>-355.45498521024018</v>
      </c>
      <c r="E17" s="12">
        <f>(-1*($E69^2)*(E15+(($E65+$E66)*$E63)))</f>
        <v>-342.7444689840172</v>
      </c>
      <c r="F17" s="12"/>
      <c r="G17" s="3"/>
      <c r="H17" s="3"/>
      <c r="I17" s="3"/>
    </row>
    <row r="18" spans="1:9" ht="20.25" customHeight="1" x14ac:dyDescent="0.25">
      <c r="A18" s="20"/>
      <c r="B18" s="20" t="s">
        <v>24</v>
      </c>
      <c r="C18" s="8"/>
      <c r="D18" s="12">
        <f>(($E64^2)*$E63*($E69^2)*-1)</f>
        <v>-929710.36353274935</v>
      </c>
      <c r="E18" s="12">
        <f>(($E64^2)*$E63*($E69^2)*-1)</f>
        <v>-929710.36353274935</v>
      </c>
      <c r="F18" s="12"/>
      <c r="G18" s="3"/>
      <c r="H18" s="3"/>
      <c r="I18" s="3"/>
    </row>
    <row r="19" spans="1:9" ht="20.25" customHeight="1" x14ac:dyDescent="0.25">
      <c r="A19" s="8"/>
      <c r="B19" s="20" t="s">
        <v>37</v>
      </c>
      <c r="C19" s="8"/>
      <c r="D19" s="12">
        <f>((-D17+SQRT((D17^2)-(4*D16*D18)))/(2*D16))</f>
        <v>22529.375227995966</v>
      </c>
      <c r="E19" s="12">
        <f>((-E17+SQRT((E17^2)-(4*E16*E18)))/(2*E16))</f>
        <v>10955340.062679684</v>
      </c>
      <c r="F19" s="12"/>
      <c r="G19" s="3"/>
      <c r="H19" s="3"/>
      <c r="I19" s="3"/>
    </row>
    <row r="20" spans="1:9" ht="20.25" customHeight="1" x14ac:dyDescent="0.25">
      <c r="A20" s="8"/>
      <c r="B20" s="20" t="s">
        <v>28</v>
      </c>
      <c r="C20" s="8"/>
      <c r="D20" s="21">
        <f>(D19/60^2)</f>
        <v>6.2581597855544349</v>
      </c>
      <c r="E20" s="21">
        <f>(E19/60^2)</f>
        <v>3043.1500174110233</v>
      </c>
      <c r="F20" s="21"/>
      <c r="G20" s="3"/>
      <c r="H20" s="3"/>
      <c r="I20" s="3"/>
    </row>
    <row r="21" spans="1:9" ht="20.25" customHeight="1" x14ac:dyDescent="0.25">
      <c r="A21" s="8"/>
      <c r="B21" s="20" t="s">
        <v>27</v>
      </c>
      <c r="C21" s="8"/>
      <c r="D21" s="23">
        <f>(D19*($E66+D15)*$E70)/(65535*$E68)</f>
        <v>1.8367033333377747E-2</v>
      </c>
      <c r="E21" s="23">
        <f>(E19*($E66+E15)*$E70)/(65535*$E68)</f>
        <v>0.6871414558373744</v>
      </c>
      <c r="F21" s="22"/>
      <c r="G21" s="3"/>
      <c r="H21" s="3"/>
      <c r="I21" s="3"/>
    </row>
    <row r="22" spans="1:9" ht="20.25" customHeight="1" x14ac:dyDescent="0.25">
      <c r="A22" s="19" t="s">
        <v>36</v>
      </c>
      <c r="B22" s="17" t="s">
        <v>12</v>
      </c>
      <c r="C22" s="8"/>
      <c r="D22" s="12">
        <f>(D10*(0.289)*($F60^2)*D8*PI()*$F61*($F70^3))</f>
        <v>52.316835375546923</v>
      </c>
      <c r="E22" s="12">
        <f>(E10*(0.289)*($F60^2)*E8*PI()*$F61*($F70^3))</f>
        <v>2.2054600146908832</v>
      </c>
      <c r="F22" s="12"/>
      <c r="G22" s="3"/>
      <c r="H22" s="3"/>
      <c r="I22" s="3"/>
    </row>
    <row r="23" spans="1:9" ht="20.25" customHeight="1" x14ac:dyDescent="0.25">
      <c r="A23" s="8"/>
      <c r="B23" s="17" t="s">
        <v>37</v>
      </c>
      <c r="C23" s="8"/>
      <c r="D23" s="12">
        <f>((($F69^2)*$F66*$F63)/((D22)^2))</f>
        <v>19169.315050617679</v>
      </c>
      <c r="E23" s="12">
        <f>((($F69^2)*$F66*$F63)/((E22)^2))</f>
        <v>10786763.328908082</v>
      </c>
      <c r="F23" s="12"/>
      <c r="G23" s="3"/>
      <c r="H23" s="3"/>
      <c r="I23" s="3"/>
    </row>
    <row r="24" spans="1:9" ht="20.25" customHeight="1" x14ac:dyDescent="0.25">
      <c r="A24" s="8"/>
      <c r="B24" s="18" t="s">
        <v>16</v>
      </c>
      <c r="C24" s="8"/>
      <c r="D24" s="21">
        <f>(D23/3600)</f>
        <v>5.3248097362826883</v>
      </c>
      <c r="E24" s="21">
        <f>(E23/3600)</f>
        <v>2996.3231469189118</v>
      </c>
      <c r="F24" s="21"/>
      <c r="G24" s="3"/>
      <c r="H24" s="3"/>
      <c r="I24" s="3"/>
    </row>
    <row r="25" spans="1:9" ht="20.25" customHeight="1" x14ac:dyDescent="0.25">
      <c r="A25" s="8"/>
      <c r="B25" s="17" t="s">
        <v>27</v>
      </c>
      <c r="C25" s="8"/>
      <c r="D25" s="12">
        <f>(D23*($F66+D22)*$F70)/(65535*$F68)</f>
        <v>677.68221471296931</v>
      </c>
      <c r="E25" s="12">
        <f>(E23*($F66+E22)*$F70)/(65535*$F68)</f>
        <v>377214.43795836152</v>
      </c>
      <c r="F25" s="12"/>
      <c r="G25" s="3"/>
      <c r="H25" s="3"/>
      <c r="I25" s="3"/>
    </row>
    <row r="26" spans="1:9" ht="20.25" customHeight="1" x14ac:dyDescent="0.25">
      <c r="A26" s="29"/>
      <c r="B26" s="26" t="s">
        <v>41</v>
      </c>
      <c r="C26" s="8"/>
      <c r="D26" s="11">
        <f>(D5/$F71)</f>
        <v>8.0174999999999984E-11</v>
      </c>
      <c r="E26" s="11">
        <f>(E5/$F71)</f>
        <v>1.2E-10</v>
      </c>
      <c r="F26" s="12"/>
      <c r="G26" s="3"/>
      <c r="H26" s="3"/>
      <c r="I26" s="3"/>
    </row>
    <row r="27" spans="1:9" ht="20.25" customHeight="1" x14ac:dyDescent="0.25">
      <c r="A27" s="29"/>
      <c r="B27" s="26" t="s">
        <v>43</v>
      </c>
      <c r="C27" s="8"/>
      <c r="D27" s="12">
        <f>(D26*2)/$F73</f>
        <v>0.39565879518072283</v>
      </c>
      <c r="E27" s="12">
        <f>(E26*2)/$F73</f>
        <v>0.59219277108433732</v>
      </c>
      <c r="F27" s="12"/>
      <c r="G27" s="3"/>
      <c r="H27" s="3"/>
      <c r="I27" s="3"/>
    </row>
    <row r="28" spans="1:9" ht="20.25" customHeight="1" x14ac:dyDescent="0.25">
      <c r="A28" s="29"/>
      <c r="B28" s="26" t="s">
        <v>40</v>
      </c>
      <c r="C28" s="8"/>
      <c r="D28" s="12">
        <f>(D10*(D26*10^6)*($F60^2)*D8*PI()*$F61)*($F70^3)</f>
        <v>1.4513848706693686E-2</v>
      </c>
      <c r="E28" s="12">
        <f>(E10*(E26*10^6)*($F60^2)*E8*PI()*$F61)*($F70^3)</f>
        <v>9.1576194381628366E-4</v>
      </c>
      <c r="F28" s="12"/>
      <c r="G28" s="3"/>
      <c r="H28" s="3"/>
      <c r="I28" s="3"/>
    </row>
    <row r="29" spans="1:9" ht="20.25" customHeight="1" x14ac:dyDescent="0.25">
      <c r="A29" s="29"/>
      <c r="B29" s="27" t="s">
        <v>22</v>
      </c>
      <c r="C29" s="8"/>
      <c r="D29" s="11">
        <f>D28^2</f>
        <v>2.1065180428079397E-4</v>
      </c>
      <c r="E29" s="11">
        <f>E28^2</f>
        <v>8.3861993774217833E-7</v>
      </c>
      <c r="F29" s="12"/>
      <c r="G29" s="3"/>
      <c r="H29" s="3"/>
      <c r="I29" s="3"/>
    </row>
    <row r="30" spans="1:9" ht="20.25" customHeight="1" x14ac:dyDescent="0.25">
      <c r="A30" s="29"/>
      <c r="B30" s="27" t="s">
        <v>23</v>
      </c>
      <c r="C30" s="8"/>
      <c r="D30" s="12">
        <f>(-1*($F69^2)*(D28+(($F65+$F67)*D27)))</f>
        <v>-7.3862813312448816</v>
      </c>
      <c r="E30" s="12">
        <f>(-1*($F69^2)*(E28+(($F65+$F67)*E27)))</f>
        <v>-8.9744895123618171</v>
      </c>
      <c r="F30" s="12"/>
      <c r="G30" s="3"/>
      <c r="H30" s="3"/>
      <c r="I30" s="3"/>
    </row>
    <row r="31" spans="1:9" ht="20.25" customHeight="1" x14ac:dyDescent="0.25">
      <c r="A31" s="29"/>
      <c r="B31" s="27" t="s">
        <v>24</v>
      </c>
      <c r="C31" s="8"/>
      <c r="D31" s="12">
        <f>(($F64^2)*D27*($F69^2)*-1)</f>
        <v>-989.1469879518072</v>
      </c>
      <c r="E31" s="12">
        <f>(($F64^2)*E27*($F69^2)*-1)</f>
        <v>-1480.4819277108431</v>
      </c>
      <c r="F31" s="12"/>
      <c r="G31" s="3"/>
      <c r="H31" s="3"/>
      <c r="I31" s="3"/>
    </row>
    <row r="32" spans="1:9" ht="20.25" customHeight="1" x14ac:dyDescent="0.25">
      <c r="A32" s="29"/>
      <c r="B32" s="26" t="s">
        <v>46</v>
      </c>
      <c r="C32" s="8"/>
      <c r="D32" s="11">
        <f>((-D30+SQRT((D30^2)-(4*D29*D31)))/(2*D29))</f>
        <v>35197.344940868439</v>
      </c>
      <c r="E32" s="11">
        <f>((-E30+SQRT((E30^2)-(4*E29*E31)))/(2*E29))</f>
        <v>10701662.874629222</v>
      </c>
      <c r="F32" s="12"/>
      <c r="G32" s="3"/>
      <c r="H32" s="3"/>
      <c r="I32" s="3"/>
    </row>
    <row r="33" spans="1:9" ht="20.25" customHeight="1" x14ac:dyDescent="0.25">
      <c r="A33" s="29"/>
      <c r="B33" s="26" t="s">
        <v>28</v>
      </c>
      <c r="C33" s="8"/>
      <c r="D33" s="21">
        <f>(D32/3600)</f>
        <v>9.7770402613523437</v>
      </c>
      <c r="E33" s="21">
        <f>(E32/3600)</f>
        <v>2972.6841318414504</v>
      </c>
      <c r="F33" s="21"/>
      <c r="G33" s="3"/>
      <c r="H33" s="3"/>
      <c r="I33" s="3"/>
    </row>
    <row r="34" spans="1:9" ht="20.25" customHeight="1" x14ac:dyDescent="0.25">
      <c r="A34" s="9" t="s">
        <v>9</v>
      </c>
      <c r="B34" s="9" t="s">
        <v>29</v>
      </c>
      <c r="C34" s="8"/>
      <c r="D34" s="13">
        <f>IF(AND(D4&gt;=5,D4&lt;5.83),$A76,(IF(AND(D4&gt;5.83,D4&lt;=7.5),$A77,IF(AND(D4&gt;=7.5,D4&lt;8.67),$A78,IF(AND(D4&gt;=8.67,D4&lt;9.4),$A79,IF(AND(D4&gt;=9.4,D4&lt;10.47),$A80,IF(AND(D4&gt;=10.47,D4&lt;11.74),$A81,IF(AND(D4&gt;=11.74,D4&lt;12.67),$A82,IF(AND(D4&gt;=12.67,D4&lt;=15),$A83,error)))))))))</f>
        <v>0.151</v>
      </c>
      <c r="E34" s="13">
        <f>IF(AND(E4&gt;=5,E4&lt;5.83),$A76,(IF(AND(E4&gt;5.83,E4&lt;=7.5),$A77,IF(AND(E4&gt;=7.5,E4&lt;8.67),$A78,IF(AND(E4&gt;=8.67,E4&lt;9.4),$A79,IF(AND(E4&gt;=9.4,E4&lt;10.47),$A80,IF(AND(E4&gt;=10.47,E4&lt;11.74),$A81,IF(AND(E4&gt;=11.74,E4&lt;12.67),$A82,IF(AND(E4&gt;=12.67,E4&lt;=15),$A83,error)))))))))</f>
        <v>0.21</v>
      </c>
      <c r="F34" s="13"/>
      <c r="G34" s="3"/>
      <c r="H34" s="3"/>
      <c r="I34" s="3"/>
    </row>
    <row r="35" spans="1:9" ht="18.75" customHeight="1" x14ac:dyDescent="0.25">
      <c r="A35" s="8"/>
      <c r="B35" s="9" t="s">
        <v>12</v>
      </c>
      <c r="C35" s="8"/>
      <c r="D35" s="12">
        <f>(D10*D34*($C60^2)*D8*PI()*$C61)*($C70^3)</f>
        <v>0.81297887988557671</v>
      </c>
      <c r="E35" s="12">
        <f>(E10*E34*($C60^2)*E8*PI()*$C61)*($C70^3)</f>
        <v>4.7662776020678095E-2</v>
      </c>
      <c r="F35" s="12"/>
      <c r="G35" s="3"/>
      <c r="H35" s="3"/>
      <c r="I35" s="3"/>
    </row>
    <row r="36" spans="1:9" ht="20.25" customHeight="1" x14ac:dyDescent="0.25">
      <c r="A36" s="8"/>
      <c r="B36" s="9" t="s">
        <v>22</v>
      </c>
      <c r="C36" s="8"/>
      <c r="D36" s="12">
        <f>(D35^2)</f>
        <v>0.66093465914000693</v>
      </c>
      <c r="E36" s="12">
        <f>(E35^2)</f>
        <v>2.2717402179973267E-3</v>
      </c>
      <c r="F36" s="12"/>
      <c r="G36" s="3"/>
      <c r="H36" s="3"/>
      <c r="I36" s="3"/>
    </row>
    <row r="37" spans="1:9" ht="20.25" customHeight="1" x14ac:dyDescent="0.25">
      <c r="A37" s="8"/>
      <c r="B37" s="9" t="s">
        <v>23</v>
      </c>
      <c r="C37" s="8"/>
      <c r="D37" s="12">
        <f>(-1*($C69^2)*(D35+(($C65+$C66)*$C63)))</f>
        <v>-786.13318536459428</v>
      </c>
      <c r="E37" s="12">
        <f>(-1*($C69^2)*(E35+(($C65+$C66)*$C63)))</f>
        <v>-709.6015749781044</v>
      </c>
      <c r="F37" s="12"/>
      <c r="G37" s="3"/>
      <c r="H37" s="3"/>
      <c r="I37" s="3"/>
    </row>
    <row r="38" spans="1:9" x14ac:dyDescent="0.25">
      <c r="A38" s="8"/>
      <c r="B38" s="9" t="s">
        <v>24</v>
      </c>
      <c r="C38" s="8"/>
      <c r="D38" s="12">
        <f>(($C64^2)*$C63*($C69^2)*-1)</f>
        <v>-3064501.2929392899</v>
      </c>
      <c r="E38" s="12">
        <f>(($C64^2)*$C63*($C69^2)*-1)</f>
        <v>-3064501.2929392899</v>
      </c>
      <c r="F38" s="12"/>
      <c r="G38" s="3"/>
      <c r="H38" s="3"/>
      <c r="I38" s="3"/>
    </row>
    <row r="39" spans="1:9" ht="20.25" customHeight="1" x14ac:dyDescent="0.25">
      <c r="A39" s="8"/>
      <c r="B39" s="9" t="s">
        <v>25</v>
      </c>
      <c r="C39" s="8"/>
      <c r="D39" s="12">
        <f>((-D37+SQRT((D37^2)-(4*D36*D38)))/(2*D36))</f>
        <v>2828.6115073729115</v>
      </c>
      <c r="E39" s="12">
        <f>((-E37+SQRT((E37^2)-(4*E36*E38)))/(2*E36))</f>
        <v>316620.86261613166</v>
      </c>
      <c r="F39" s="12"/>
      <c r="G39" s="3"/>
      <c r="H39" s="3"/>
      <c r="I39" s="3"/>
    </row>
    <row r="40" spans="1:9" ht="20.25" customHeight="1" x14ac:dyDescent="0.25">
      <c r="A40" s="8"/>
      <c r="B40" s="9" t="s">
        <v>28</v>
      </c>
      <c r="C40" s="8"/>
      <c r="D40" s="14">
        <f>D39/(60^2)</f>
        <v>0.7857254187146977</v>
      </c>
      <c r="E40" s="14">
        <f>E39/(60^2)</f>
        <v>87.950239615592125</v>
      </c>
      <c r="F40" s="14"/>
      <c r="G40" s="3"/>
      <c r="H40" s="3"/>
      <c r="I40" s="3"/>
    </row>
    <row r="41" spans="1:9" ht="20.25" customHeight="1" x14ac:dyDescent="0.25">
      <c r="A41" s="8"/>
      <c r="B41" s="9" t="s">
        <v>27</v>
      </c>
      <c r="C41" s="8"/>
      <c r="D41" s="11">
        <f>(D39*($C66+D35)*$C70)/(65535*$C68)</f>
        <v>1.9221871120467433E-2</v>
      </c>
      <c r="E41" s="11">
        <f>(E39*($C66+E35)*$C70)/(65535*$C68)</f>
        <v>0.13852352771630669</v>
      </c>
      <c r="F41" s="11"/>
      <c r="G41" s="4"/>
      <c r="H41" s="4"/>
      <c r="I41" s="4"/>
    </row>
    <row r="42" spans="1:9" ht="20.25" customHeight="1" x14ac:dyDescent="0.25">
      <c r="A42" s="29"/>
      <c r="B42" s="10" t="s">
        <v>41</v>
      </c>
      <c r="C42" s="8"/>
      <c r="D42" s="11">
        <f>(D5/$C71)</f>
        <v>1.6034999999999998E-8</v>
      </c>
      <c r="E42" s="11">
        <f>(E5/$C71)</f>
        <v>2.4E-8</v>
      </c>
      <c r="F42" s="11"/>
      <c r="G42" s="4"/>
      <c r="H42" s="4"/>
      <c r="I42" s="4"/>
    </row>
    <row r="43" spans="1:9" ht="20.25" customHeight="1" x14ac:dyDescent="0.25">
      <c r="A43" s="29"/>
      <c r="B43" s="10" t="s">
        <v>43</v>
      </c>
      <c r="C43" s="8"/>
      <c r="D43" s="11">
        <f>(D42*2)/$C73</f>
        <v>14.927127272727271</v>
      </c>
      <c r="E43" s="11">
        <f>(E42*2)/$C73</f>
        <v>22.34181818181818</v>
      </c>
      <c r="F43" s="11"/>
      <c r="G43" s="4"/>
      <c r="H43" s="4"/>
      <c r="I43" s="4"/>
    </row>
    <row r="44" spans="1:9" ht="20.25" customHeight="1" x14ac:dyDescent="0.25">
      <c r="A44" s="29"/>
      <c r="B44" s="24" t="s">
        <v>40</v>
      </c>
      <c r="C44" s="8"/>
      <c r="D44" s="11">
        <f>(D10*(D42*10^6)*($C60^2)*D8*PI()*$C61)*($C70^3)</f>
        <v>8.6331896284537898E-2</v>
      </c>
      <c r="E44" s="11">
        <f>(E10*(E42*10^6)*($C60^2)*E8*PI()*$C61)*($C70^3)</f>
        <v>5.4471744023632121E-3</v>
      </c>
      <c r="F44" s="11"/>
      <c r="G44" s="4"/>
      <c r="H44" s="4"/>
      <c r="I44" s="4"/>
    </row>
    <row r="45" spans="1:9" ht="20.25" customHeight="1" x14ac:dyDescent="0.25">
      <c r="A45" s="29"/>
      <c r="B45" s="24" t="s">
        <v>22</v>
      </c>
      <c r="C45" s="8"/>
      <c r="D45" s="11">
        <f>D44^2</f>
        <v>7.4531963160842088E-3</v>
      </c>
      <c r="E45" s="11">
        <f>E44^2</f>
        <v>2.9671708969761016E-5</v>
      </c>
      <c r="F45" s="11"/>
      <c r="G45" s="4"/>
      <c r="H45" s="4"/>
      <c r="I45" s="4"/>
    </row>
    <row r="46" spans="1:9" ht="20.25" customHeight="1" x14ac:dyDescent="0.25">
      <c r="A46" s="29"/>
      <c r="B46" s="24" t="s">
        <v>23</v>
      </c>
      <c r="C46" s="8"/>
      <c r="D46" s="11">
        <f>(-1*($C69^2)*(D44+(($C65+$C67)*D43)))</f>
        <v>-35.502018839041114</v>
      </c>
      <c r="E46" s="11">
        <f>(-1*($C69^2)*(E44+(($C65+$C67)*E43)))</f>
        <v>-40.759990346634567</v>
      </c>
      <c r="F46" s="11"/>
      <c r="G46" s="4"/>
      <c r="H46" s="4"/>
      <c r="I46" s="4"/>
    </row>
    <row r="47" spans="1:9" ht="20.25" customHeight="1" x14ac:dyDescent="0.25">
      <c r="A47" s="29"/>
      <c r="B47" s="24" t="s">
        <v>24</v>
      </c>
      <c r="C47" s="8"/>
      <c r="D47" s="11">
        <f>(($C64^2)*D43*($C69^2)*-1)</f>
        <v>-149271.27272727271</v>
      </c>
      <c r="E47" s="11">
        <f>(($C64^2)*E43*($C69^2)*-1)</f>
        <v>-223418.18181818179</v>
      </c>
      <c r="F47" s="11"/>
      <c r="G47" s="4"/>
      <c r="H47" s="4"/>
      <c r="I47" s="4"/>
    </row>
    <row r="48" spans="1:9" ht="20.25" customHeight="1" x14ac:dyDescent="0.25">
      <c r="A48" s="29"/>
      <c r="B48" s="24" t="s">
        <v>39</v>
      </c>
      <c r="C48" s="8"/>
      <c r="D48" s="11">
        <f>((-D46+SQRT((D46^2)-(4*D45*D47)))/(2*D45))</f>
        <v>7451.1948799342499</v>
      </c>
      <c r="E48" s="11">
        <f>((-E46+SQRT((E46^2)-(4*E45*E47)))/(2*E45))</f>
        <v>1379158.3901284211</v>
      </c>
      <c r="F48" s="11"/>
      <c r="G48" s="4"/>
      <c r="H48" s="4"/>
      <c r="I48" s="4"/>
    </row>
    <row r="49" spans="1:9" ht="20.25" customHeight="1" x14ac:dyDescent="0.25">
      <c r="A49" s="29"/>
      <c r="B49" s="24" t="s">
        <v>28</v>
      </c>
      <c r="C49" s="8"/>
      <c r="D49" s="21">
        <f>D48/60^2</f>
        <v>2.0697763555372917</v>
      </c>
      <c r="E49" s="21">
        <f>E48/60^2</f>
        <v>383.09955281345032</v>
      </c>
      <c r="F49" s="25"/>
      <c r="G49" s="4"/>
      <c r="H49" s="4"/>
      <c r="I49" s="4"/>
    </row>
    <row r="50" spans="1:9" ht="18.75" customHeight="1" x14ac:dyDescent="0.25">
      <c r="A50" s="9" t="s">
        <v>10</v>
      </c>
      <c r="B50" s="9" t="s">
        <v>12</v>
      </c>
      <c r="C50" s="8"/>
      <c r="D50" s="12">
        <f>(D10*0.29*($D60^2)*D8*PI()*$D61)*($D70^2)</f>
        <v>0.18319046957512056</v>
      </c>
      <c r="E50" s="12">
        <f>(E10*0.29*($D60^2)*E8*PI()*$D61)*($D70^2)</f>
        <v>7.7225476812616068E-3</v>
      </c>
      <c r="F50" s="12"/>
      <c r="G50" s="3"/>
      <c r="H50" s="3"/>
      <c r="I50" s="3"/>
    </row>
    <row r="51" spans="1:9" ht="18.75" customHeight="1" x14ac:dyDescent="0.25">
      <c r="A51" s="9"/>
      <c r="B51" s="9" t="s">
        <v>22</v>
      </c>
      <c r="C51" s="8"/>
      <c r="D51" s="12">
        <f>(D50^2)</f>
        <v>3.3558748143153169E-2</v>
      </c>
      <c r="E51" s="12">
        <f>(E50^2)</f>
        <v>5.9637742689359019E-5</v>
      </c>
      <c r="F51" s="12"/>
      <c r="G51" s="3"/>
      <c r="H51" s="3"/>
      <c r="I51" s="3"/>
    </row>
    <row r="52" spans="1:9" ht="18.75" customHeight="1" x14ac:dyDescent="0.25">
      <c r="A52" s="9"/>
      <c r="B52" s="9" t="s">
        <v>23</v>
      </c>
      <c r="C52" s="8"/>
      <c r="D52" s="12">
        <f>(-1*($D69^2)*(D50+(($D65+$D66)*$D63)))</f>
        <v>-6475.143340282968</v>
      </c>
      <c r="E52" s="12">
        <f>(-1*($D69^2)*(E50+(($D65+$D66)*$D63)))</f>
        <v>-6457.596548093582</v>
      </c>
      <c r="F52" s="12"/>
      <c r="G52" s="3"/>
      <c r="H52" s="3"/>
      <c r="I52" s="3"/>
    </row>
    <row r="53" spans="1:9" ht="18.75" customHeight="1" x14ac:dyDescent="0.25">
      <c r="A53" s="9"/>
      <c r="B53" s="9" t="s">
        <v>24</v>
      </c>
      <c r="C53" s="8"/>
      <c r="D53" s="12">
        <f>(($D64^2)*$D63*($D69^2)*-1)</f>
        <v>-1096441.8611307375</v>
      </c>
      <c r="E53" s="12">
        <f>(($D64^2)*$D63*($D69^2)*-1)</f>
        <v>-1096441.8611307375</v>
      </c>
      <c r="F53" s="12"/>
      <c r="G53" s="3"/>
      <c r="H53" s="3"/>
      <c r="I53" s="3"/>
    </row>
    <row r="54" spans="1:9" ht="20.25" customHeight="1" x14ac:dyDescent="0.25">
      <c r="A54" s="8"/>
      <c r="B54" s="9" t="s">
        <v>25</v>
      </c>
      <c r="C54" s="8"/>
      <c r="D54" s="12">
        <f>((-D52+SQRT((D52^2)-(4*D51*D53)))/(2*D51))</f>
        <v>193118.67258912738</v>
      </c>
      <c r="E54" s="12">
        <f>((-E52+SQRT((E52^2)-(4*E51*E53)))/(2*E51))</f>
        <v>108280534.82283585</v>
      </c>
      <c r="F54" s="12"/>
      <c r="G54" s="3"/>
      <c r="H54" s="3"/>
      <c r="I54" s="3"/>
    </row>
    <row r="55" spans="1:9" ht="20.25" customHeight="1" x14ac:dyDescent="0.25">
      <c r="A55" s="8"/>
      <c r="B55" s="9" t="s">
        <v>28</v>
      </c>
      <c r="C55" s="8"/>
      <c r="D55" s="14">
        <f>D54/(60^2)</f>
        <v>53.64407571920205</v>
      </c>
      <c r="E55" s="14">
        <f>E54/(60^2)</f>
        <v>30077.926339676626</v>
      </c>
      <c r="F55" s="14"/>
      <c r="G55" s="3"/>
      <c r="H55" s="3"/>
      <c r="I55" s="3"/>
    </row>
    <row r="56" spans="1:9" x14ac:dyDescent="0.25">
      <c r="A56" s="8"/>
      <c r="B56" s="9" t="s">
        <v>27</v>
      </c>
      <c r="C56" s="8"/>
      <c r="D56" s="11">
        <f>(D54*($D66+D50)*$D70)/(65535*$D68)</f>
        <v>1.0430163701714523</v>
      </c>
      <c r="E56" s="11">
        <f>(E54*($D66+E50)*$D70)/(65535*$D68)</f>
        <v>480.44291756314328</v>
      </c>
      <c r="F56" s="11"/>
      <c r="G56" s="4"/>
      <c r="H56" s="4"/>
      <c r="I56" s="4"/>
    </row>
    <row r="58" spans="1:9" x14ac:dyDescent="0.25">
      <c r="B58" s="1" t="s">
        <v>8</v>
      </c>
      <c r="C58" s="1" t="s">
        <v>9</v>
      </c>
      <c r="D58" s="1" t="s">
        <v>10</v>
      </c>
      <c r="E58" s="6" t="s">
        <v>38</v>
      </c>
      <c r="F58" s="6" t="s">
        <v>36</v>
      </c>
    </row>
    <row r="59" spans="1:9" x14ac:dyDescent="0.25">
      <c r="A59" t="s">
        <v>34</v>
      </c>
      <c r="B59" s="6">
        <v>8.1999999999999993</v>
      </c>
      <c r="C59" s="6">
        <v>6.5</v>
      </c>
      <c r="D59" s="6">
        <v>2.4</v>
      </c>
      <c r="E59" s="6">
        <v>1.2</v>
      </c>
      <c r="F59" s="6">
        <v>39.299999999999997</v>
      </c>
    </row>
    <row r="60" spans="1:9" x14ac:dyDescent="0.25">
      <c r="A60" t="s">
        <v>13</v>
      </c>
      <c r="B60" s="1">
        <v>410</v>
      </c>
      <c r="C60" s="1">
        <v>325</v>
      </c>
      <c r="D60" s="1">
        <v>120</v>
      </c>
      <c r="E60" s="6">
        <v>60</v>
      </c>
      <c r="F60" s="6">
        <v>1965</v>
      </c>
    </row>
    <row r="61" spans="1:9" x14ac:dyDescent="0.25">
      <c r="A61" t="s">
        <v>11</v>
      </c>
      <c r="B61" s="1">
        <v>0.95</v>
      </c>
      <c r="C61" s="1">
        <v>0.8</v>
      </c>
      <c r="D61" s="1">
        <v>0.8</v>
      </c>
      <c r="E61" s="6">
        <v>0.95</v>
      </c>
      <c r="F61" s="6">
        <v>0.95</v>
      </c>
    </row>
    <row r="62" spans="1:9" x14ac:dyDescent="0.25">
      <c r="A62" t="s">
        <v>18</v>
      </c>
      <c r="B62" s="1">
        <v>0.8</v>
      </c>
      <c r="C62" s="16">
        <v>0.16</v>
      </c>
      <c r="D62" s="16">
        <v>0.16</v>
      </c>
      <c r="E62" s="6">
        <v>0.34</v>
      </c>
      <c r="F62" s="6">
        <v>0.16</v>
      </c>
    </row>
    <row r="63" spans="1:9" x14ac:dyDescent="0.25">
      <c r="A63" s="2" t="s">
        <v>17</v>
      </c>
      <c r="B63" s="3">
        <f>(PI()*((4*B62)/0.106)^2)</f>
        <v>2863.1104283338814</v>
      </c>
      <c r="C63" s="3">
        <f>(PI()*((4*C62)/0.0648)^2)</f>
        <v>306.45012929392897</v>
      </c>
      <c r="D63" s="3">
        <f>(PI()*((4*D62)/0.13)^2)</f>
        <v>76.141795911856775</v>
      </c>
      <c r="E63" s="3">
        <f>(PI()*((4*E62)/0.3)^2)</f>
        <v>64.563219689774257</v>
      </c>
      <c r="F63" s="3">
        <f>(PI()*((4*F62)/0.106)^2)</f>
        <v>114.52441713335523</v>
      </c>
    </row>
    <row r="64" spans="1:9" x14ac:dyDescent="0.25">
      <c r="A64" s="2" t="s">
        <v>19</v>
      </c>
      <c r="B64" s="1">
        <v>5</v>
      </c>
      <c r="C64" s="1">
        <v>10</v>
      </c>
      <c r="D64" s="1">
        <v>12</v>
      </c>
      <c r="E64" s="6">
        <v>12</v>
      </c>
      <c r="F64" s="6">
        <v>5</v>
      </c>
    </row>
    <row r="65" spans="1:7" x14ac:dyDescent="0.25">
      <c r="A65" s="2" t="s">
        <v>20</v>
      </c>
      <c r="B65" s="1">
        <v>0.15</v>
      </c>
      <c r="C65" s="1">
        <v>1.7999999999999999E-2</v>
      </c>
      <c r="D65" s="1">
        <v>4.8000000000000001E-2</v>
      </c>
      <c r="E65" s="6">
        <v>4.8000000000000001E-2</v>
      </c>
      <c r="F65" s="6">
        <v>0.15</v>
      </c>
    </row>
    <row r="66" spans="1:7" x14ac:dyDescent="0.25">
      <c r="A66" s="2" t="s">
        <v>21</v>
      </c>
      <c r="B66" s="3">
        <f>(288*($B70^3)*$B61)</f>
        <v>199.45440000000002</v>
      </c>
      <c r="C66" s="1">
        <v>5.0000000000000001E-3</v>
      </c>
      <c r="D66" s="1">
        <v>0.8</v>
      </c>
      <c r="E66" s="6">
        <v>5.0000000000000001E-3</v>
      </c>
      <c r="F66" s="3">
        <f>199.45*((39.3^2)/(8.2^2))</f>
        <v>4581.3285321237354</v>
      </c>
    </row>
    <row r="67" spans="1:7" x14ac:dyDescent="0.25">
      <c r="A67" s="2" t="s">
        <v>47</v>
      </c>
      <c r="B67" s="3"/>
      <c r="C67" s="4">
        <f>C66*D42</f>
        <v>8.0174999999999984E-11</v>
      </c>
      <c r="D67" s="6"/>
      <c r="E67" s="6"/>
      <c r="F67" s="4">
        <f>F66*D26</f>
        <v>3.6730801506302039E-7</v>
      </c>
    </row>
    <row r="68" spans="1:7" x14ac:dyDescent="0.25">
      <c r="A68" s="2" t="s">
        <v>26</v>
      </c>
      <c r="B68" s="1">
        <v>1.8</v>
      </c>
      <c r="C68" s="1">
        <v>1.8</v>
      </c>
      <c r="D68" s="1">
        <v>2.5</v>
      </c>
      <c r="E68" s="6">
        <v>2.5</v>
      </c>
      <c r="F68" s="6">
        <v>1.8</v>
      </c>
    </row>
    <row r="69" spans="1:7" x14ac:dyDescent="0.25">
      <c r="A69" s="2" t="s">
        <v>33</v>
      </c>
      <c r="B69" s="6">
        <v>5</v>
      </c>
      <c r="C69" s="6">
        <v>10</v>
      </c>
      <c r="D69" s="6">
        <v>10</v>
      </c>
      <c r="E69" s="6">
        <v>10</v>
      </c>
      <c r="F69" s="6">
        <v>10</v>
      </c>
    </row>
    <row r="70" spans="1:7" x14ac:dyDescent="0.25">
      <c r="A70" s="2" t="s">
        <v>35</v>
      </c>
      <c r="B70" s="6">
        <v>0.9</v>
      </c>
      <c r="C70" s="6">
        <v>0.98</v>
      </c>
      <c r="D70" s="6">
        <v>0.9</v>
      </c>
      <c r="E70" s="6">
        <v>0.97</v>
      </c>
      <c r="F70" s="6">
        <v>0.9</v>
      </c>
    </row>
    <row r="71" spans="1:7" x14ac:dyDescent="0.25">
      <c r="A71" s="2" t="s">
        <v>42</v>
      </c>
      <c r="C71" s="6">
        <v>100</v>
      </c>
      <c r="F71" s="6">
        <v>20000</v>
      </c>
      <c r="G71" s="30"/>
    </row>
    <row r="72" spans="1:7" x14ac:dyDescent="0.25">
      <c r="A72" s="2" t="s">
        <v>44</v>
      </c>
      <c r="C72" s="4">
        <v>4.4000000000000002E-6</v>
      </c>
      <c r="F72" s="4">
        <v>1.66E-6</v>
      </c>
      <c r="G72" s="30"/>
    </row>
    <row r="73" spans="1:7" x14ac:dyDescent="0.25">
      <c r="A73" s="28" t="s">
        <v>45</v>
      </c>
      <c r="C73" s="4">
        <f>($C72/2048)</f>
        <v>2.1484375000000001E-9</v>
      </c>
      <c r="F73" s="4">
        <f>($F72/4096)</f>
        <v>4.052734375E-10</v>
      </c>
      <c r="G73" s="30"/>
    </row>
    <row r="75" spans="1:7" x14ac:dyDescent="0.25">
      <c r="A75" s="6" t="s">
        <v>30</v>
      </c>
      <c r="B75" s="6" t="s">
        <v>31</v>
      </c>
    </row>
    <row r="76" spans="1:7" x14ac:dyDescent="0.25">
      <c r="A76" s="7">
        <v>0.22500000000000001</v>
      </c>
      <c r="B76" s="6">
        <v>0.95</v>
      </c>
      <c r="D76" s="1" t="s">
        <v>14</v>
      </c>
      <c r="E76" s="1" t="s">
        <v>15</v>
      </c>
      <c r="F76" s="1" t="s">
        <v>0</v>
      </c>
    </row>
    <row r="77" spans="1:7" x14ac:dyDescent="0.25">
      <c r="A77" s="7">
        <v>0.28699999999999998</v>
      </c>
      <c r="B77" s="6">
        <v>0.85</v>
      </c>
      <c r="D77" s="1">
        <v>30</v>
      </c>
      <c r="E77" s="1">
        <v>10</v>
      </c>
      <c r="F77" s="3">
        <f>((5*LOG(E77/10))+D77)</f>
        <v>30</v>
      </c>
    </row>
    <row r="78" spans="1:7" x14ac:dyDescent="0.25">
      <c r="A78" s="7">
        <v>0.14000000000000001</v>
      </c>
      <c r="B78" s="6">
        <v>0.9</v>
      </c>
    </row>
    <row r="79" spans="1:7" x14ac:dyDescent="0.25">
      <c r="A79" s="7">
        <v>0.375</v>
      </c>
      <c r="B79" s="6">
        <v>0.9</v>
      </c>
    </row>
    <row r="80" spans="1:7" x14ac:dyDescent="0.25">
      <c r="A80" s="7">
        <v>0.151</v>
      </c>
      <c r="B80" s="6">
        <v>0.95</v>
      </c>
    </row>
    <row r="81" spans="1:2" x14ac:dyDescent="0.25">
      <c r="A81" s="7">
        <v>0.221</v>
      </c>
      <c r="B81" s="6">
        <v>0.9</v>
      </c>
    </row>
    <row r="82" spans="1:2" x14ac:dyDescent="0.25">
      <c r="A82" s="7">
        <v>0.5</v>
      </c>
      <c r="B82" s="6">
        <v>0.9</v>
      </c>
    </row>
    <row r="83" spans="1:2" x14ac:dyDescent="0.25">
      <c r="A83" s="7">
        <v>0.21</v>
      </c>
      <c r="B83" s="6">
        <v>0.95</v>
      </c>
    </row>
  </sheetData>
  <mergeCells count="1">
    <mergeCell ref="A1:D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Bedana</dc:creator>
  <cp:lastModifiedBy>isclusteruser</cp:lastModifiedBy>
  <dcterms:created xsi:type="dcterms:W3CDTF">2013-02-11T10:06:08Z</dcterms:created>
  <dcterms:modified xsi:type="dcterms:W3CDTF">2013-03-14T18:20:12Z</dcterms:modified>
</cp:coreProperties>
</file>