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Case\Documents\xl\"/>
    </mc:Choice>
  </mc:AlternateContent>
  <xr:revisionPtr revIDLastSave="0" documentId="13_ncr:1_{6D2E5AD0-F5B7-42DB-9493-4306580F6B59}" xr6:coauthVersionLast="47" xr6:coauthVersionMax="47" xr10:uidLastSave="{00000000-0000-0000-0000-000000000000}"/>
  <bookViews>
    <workbookView xWindow="-120" yWindow="-120" windowWidth="29040" windowHeight="16440" xr2:uid="{D308DC56-4BD4-4B7C-8472-89C6A7E2944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6" i="2" l="1"/>
  <c r="AA26" i="2"/>
  <c r="AB26" i="2"/>
  <c r="Z25" i="2"/>
  <c r="AA25" i="2"/>
  <c r="AB25" i="2"/>
  <c r="AA24" i="2"/>
  <c r="Z24" i="2"/>
  <c r="AB24" i="2"/>
  <c r="Y19" i="2"/>
  <c r="Z20" i="2"/>
  <c r="Y20" i="2"/>
  <c r="Z19" i="2"/>
  <c r="Z18" i="2"/>
  <c r="Y18" i="2"/>
  <c r="Y13" i="2"/>
  <c r="Y10" i="2"/>
  <c r="Y6" i="2"/>
  <c r="Y8" i="2" s="1"/>
  <c r="Y5" i="2"/>
  <c r="Z13" i="2"/>
  <c r="Z10" i="2"/>
  <c r="Z6" i="2"/>
  <c r="Z8" i="2" s="1"/>
  <c r="Z5" i="2"/>
  <c r="AA20" i="2"/>
  <c r="AA19" i="2"/>
  <c r="AA18" i="2"/>
  <c r="AB20" i="2"/>
  <c r="AB19" i="2"/>
  <c r="AB18" i="2"/>
  <c r="AA11" i="2"/>
  <c r="AA10" i="2"/>
  <c r="AA6" i="2"/>
  <c r="AA8" i="2"/>
  <c r="AA5" i="2"/>
  <c r="AB15" i="2"/>
  <c r="AB13" i="2"/>
  <c r="AB11" i="2"/>
  <c r="AB10" i="2"/>
  <c r="AB9" i="2"/>
  <c r="AB8" i="2"/>
  <c r="AB6" i="2"/>
  <c r="AB5" i="2"/>
  <c r="P29" i="2"/>
  <c r="P44" i="2"/>
  <c r="P51" i="2"/>
  <c r="P42" i="2"/>
  <c r="P46" i="2"/>
  <c r="P40" i="2"/>
  <c r="P35" i="2"/>
  <c r="P38" i="2"/>
  <c r="P31" i="2"/>
  <c r="P30" i="2"/>
  <c r="L20" i="2"/>
  <c r="P20" i="2"/>
  <c r="P26" i="2"/>
  <c r="P25" i="2"/>
  <c r="L19" i="2"/>
  <c r="P19" i="2"/>
  <c r="P24" i="2"/>
  <c r="L18" i="2"/>
  <c r="P18" i="2"/>
  <c r="L10" i="2"/>
  <c r="L6" i="2"/>
  <c r="L8" i="2"/>
  <c r="L5" i="2"/>
  <c r="P10" i="2"/>
  <c r="P6" i="2"/>
  <c r="P8" i="2" s="1"/>
  <c r="P5" i="2"/>
  <c r="P9" i="2" s="1"/>
  <c r="P11" i="2" s="1"/>
  <c r="P13" i="2" s="1"/>
  <c r="P15" i="2" s="1"/>
  <c r="Y9" i="2" l="1"/>
  <c r="Y11" i="2" s="1"/>
  <c r="Y15" i="2" s="1"/>
  <c r="Z9" i="2"/>
  <c r="Z11" i="2" s="1"/>
  <c r="Z15" i="2" s="1"/>
  <c r="AA9" i="2"/>
  <c r="AA13" i="2" s="1"/>
  <c r="AA15" i="2" s="1"/>
  <c r="L9" i="2"/>
  <c r="L11" i="2" s="1"/>
  <c r="L13" i="2" s="1"/>
  <c r="L15" i="2" s="1"/>
  <c r="P7" i="1" l="1"/>
  <c r="AA2" i="2"/>
  <c r="AB2" i="2" s="1"/>
  <c r="AC2" i="2" s="1"/>
  <c r="AD2" i="2" s="1"/>
  <c r="AE2" i="2" s="1"/>
  <c r="AF2" i="2" s="1"/>
  <c r="AG2" i="2" s="1"/>
  <c r="AH2" i="2" s="1"/>
  <c r="Z2" i="2"/>
  <c r="O9" i="1"/>
  <c r="P9" i="1"/>
  <c r="O10" i="1"/>
  <c r="P10" i="1" s="1"/>
  <c r="O11" i="1"/>
  <c r="P11" i="1" s="1"/>
  <c r="O12" i="1"/>
  <c r="P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Case</author>
  </authors>
  <commentList>
    <comment ref="B35" authorId="0" shapeId="0" xr:uid="{E158078C-989A-442C-93C7-8FB16784BE9A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Non-current assets classfied as held for sale.
Non-current financials assets @ fair value through profit &amp; loss
Non-currnet financial assets @ fair value through other comprehensive income
Other Non-current Assets
</t>
        </r>
      </text>
    </comment>
    <comment ref="B38" authorId="0" shapeId="0" xr:uid="{07DBD81C-AC5C-48EA-B1FF-80DF8DEDD114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Right-of-use Assets &amp; Intangibles
</t>
        </r>
      </text>
    </comment>
  </commentList>
</comments>
</file>

<file path=xl/sharedStrings.xml><?xml version="1.0" encoding="utf-8"?>
<sst xmlns="http://schemas.openxmlformats.org/spreadsheetml/2006/main" count="71" uniqueCount="63">
  <si>
    <t>Price</t>
  </si>
  <si>
    <t>Shares</t>
  </si>
  <si>
    <t>MC</t>
  </si>
  <si>
    <t>Cash</t>
  </si>
  <si>
    <t>Debt</t>
  </si>
  <si>
    <t>EV</t>
  </si>
  <si>
    <t>TWD/USD</t>
  </si>
  <si>
    <t>Q221</t>
  </si>
  <si>
    <t>Q118</t>
  </si>
  <si>
    <t>Q219</t>
  </si>
  <si>
    <t>Q319</t>
  </si>
  <si>
    <t>Q218</t>
  </si>
  <si>
    <t>Q318</t>
  </si>
  <si>
    <t>Q419</t>
  </si>
  <si>
    <t>Q418</t>
  </si>
  <si>
    <t>Q119</t>
  </si>
  <si>
    <t>Q120</t>
  </si>
  <si>
    <t>Q220</t>
  </si>
  <si>
    <t>Q320</t>
  </si>
  <si>
    <t>Q420</t>
  </si>
  <si>
    <t>Q121</t>
  </si>
  <si>
    <t>Q321</t>
  </si>
  <si>
    <t>Q421</t>
  </si>
  <si>
    <t>Q122</t>
  </si>
  <si>
    <t>Q222</t>
  </si>
  <si>
    <t>Q322</t>
  </si>
  <si>
    <t>Q422</t>
  </si>
  <si>
    <t>Revenue</t>
  </si>
  <si>
    <t>COGS</t>
  </si>
  <si>
    <t>Gross Profit</t>
  </si>
  <si>
    <t>sG&amp;A</t>
  </si>
  <si>
    <t>R&amp;D</t>
  </si>
  <si>
    <t>Operating Expenses</t>
  </si>
  <si>
    <t>Operating Income</t>
  </si>
  <si>
    <t>Other Income</t>
  </si>
  <si>
    <t>Pretax Income</t>
  </si>
  <si>
    <t>Taxes</t>
  </si>
  <si>
    <t>Net Income</t>
  </si>
  <si>
    <t>EPS</t>
  </si>
  <si>
    <t>Revenue Growth Y/Y</t>
  </si>
  <si>
    <t>Gross Margin %</t>
  </si>
  <si>
    <t>Operating Margin %</t>
  </si>
  <si>
    <t>sG&amp;A Spending Y/Y</t>
  </si>
  <si>
    <t>R&amp;D Spending Y/Y</t>
  </si>
  <si>
    <t>Tax Rate %</t>
  </si>
  <si>
    <t>A/R</t>
  </si>
  <si>
    <t>O/R</t>
  </si>
  <si>
    <t>Current Tax Asset</t>
  </si>
  <si>
    <t>Inventory</t>
  </si>
  <si>
    <t>OCA</t>
  </si>
  <si>
    <t>Non-Currents</t>
  </si>
  <si>
    <t>PP&amp;E</t>
  </si>
  <si>
    <t>Intangibles</t>
  </si>
  <si>
    <t>D/T</t>
  </si>
  <si>
    <t>Total Assets</t>
  </si>
  <si>
    <t>Contract Liabilties</t>
  </si>
  <si>
    <t>A/P</t>
  </si>
  <si>
    <t>Other Payables</t>
  </si>
  <si>
    <t>Lease</t>
  </si>
  <si>
    <t>Refund?</t>
  </si>
  <si>
    <t>OCL</t>
  </si>
  <si>
    <t>Total Liabilties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</si>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</sst>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CD235-527E-46AF-9B56-C41224F9C675}">
  <dimension ref="C5:Q20"/>
  <sheetViews>
    <sheetView tabSelected="1" topLeftCell="B1" zoomScale="115" zoomScaleNormal="115" workbookViewId="0">
      <selection activeCell="I17" sqref="I17"/>
    </sheetView>
  </sheetViews>
  <sheetFormatPr defaultRowHeight="15" x14ac:dyDescent="0.25"/>
  <cols>
    <col min="14" max="14" width="9.7109375" bestFit="1" customWidth="1"/>
    <col min="15" max="15" width="10" bestFit="1" customWidth="1"/>
    <col min="17" max="17" width="9.140625" style="2"/>
  </cols>
  <sheetData>
    <row r="5" spans="14:17" x14ac:dyDescent="0.25">
      <c r="N5" t="s">
        <v>6</v>
      </c>
      <c r="O5">
        <v>1</v>
      </c>
      <c r="P5">
        <v>3.5999999999999997E-2</v>
      </c>
    </row>
    <row r="7" spans="14:17" x14ac:dyDescent="0.25">
      <c r="N7" t="s">
        <v>0</v>
      </c>
      <c r="O7">
        <v>29</v>
      </c>
      <c r="P7">
        <f>+O7*$P5</f>
        <v>1.0439999999999998</v>
      </c>
    </row>
    <row r="8" spans="14:17" x14ac:dyDescent="0.25">
      <c r="N8" t="s">
        <v>1</v>
      </c>
      <c r="O8" s="1">
        <v>2840</v>
      </c>
      <c r="Q8" s="2" t="s">
        <v>7</v>
      </c>
    </row>
    <row r="9" spans="14:17" x14ac:dyDescent="0.25">
      <c r="N9" t="s">
        <v>2</v>
      </c>
      <c r="O9" s="1">
        <f>+O7*O8</f>
        <v>82360</v>
      </c>
      <c r="P9" s="1">
        <f>+O9*$P5</f>
        <v>2964.9599999999996</v>
      </c>
    </row>
    <row r="10" spans="14:17" x14ac:dyDescent="0.25">
      <c r="N10" t="s">
        <v>3</v>
      </c>
      <c r="O10" s="1">
        <f>51908.584+11503+72.471</f>
        <v>63484.055</v>
      </c>
      <c r="P10" s="1">
        <f>+O10*$P5</f>
        <v>2285.42598</v>
      </c>
      <c r="Q10" s="2" t="s">
        <v>7</v>
      </c>
    </row>
    <row r="11" spans="14:17" x14ac:dyDescent="0.25">
      <c r="N11" t="s">
        <v>4</v>
      </c>
      <c r="O11" s="1">
        <f>107980.077+45965+1226.28+26473.634</f>
        <v>181644.99099999998</v>
      </c>
      <c r="P11" s="1">
        <f>+O11*$P5</f>
        <v>6539.2196759999988</v>
      </c>
      <c r="Q11" s="2" t="s">
        <v>7</v>
      </c>
    </row>
    <row r="12" spans="14:17" x14ac:dyDescent="0.25">
      <c r="N12" t="s">
        <v>5</v>
      </c>
      <c r="O12" s="1">
        <f>+O9-O10+O11</f>
        <v>200520.93599999999</v>
      </c>
      <c r="P12" s="1">
        <f>+O12*$P5</f>
        <v>7218.7536959999989</v>
      </c>
    </row>
    <row r="19" spans="3:12" x14ac:dyDescent="0.25">
      <c r="C19" s="9"/>
      <c r="H19" s="1"/>
      <c r="I19" s="1"/>
      <c r="L19" s="10"/>
    </row>
    <row r="20" spans="3:12" x14ac:dyDescent="0.25">
      <c r="H20" s="1"/>
      <c r="I20" s="1"/>
      <c r="L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AAD6-FDA4-406C-B602-43C84D00FB58}">
  <dimension ref="B2:AH51"/>
  <sheetViews>
    <sheetView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W11" sqref="W11"/>
    </sheetView>
  </sheetViews>
  <sheetFormatPr defaultRowHeight="14.25" x14ac:dyDescent="0.2"/>
  <cols>
    <col min="1" max="1" width="9.140625" style="3"/>
    <col min="2" max="2" width="20.5703125" style="3" bestFit="1" customWidth="1"/>
    <col min="3" max="15" width="9.140625" style="3"/>
    <col min="16" max="16" width="9.42578125" style="3" bestFit="1" customWidth="1"/>
    <col min="17" max="19" width="9.140625" style="3"/>
    <col min="20" max="20" width="9.5703125" style="3" bestFit="1" customWidth="1"/>
    <col min="21" max="16384" width="9.140625" style="3"/>
  </cols>
  <sheetData>
    <row r="2" spans="2:34" x14ac:dyDescent="0.2">
      <c r="C2" s="3" t="s">
        <v>8</v>
      </c>
      <c r="D2" s="3" t="s">
        <v>11</v>
      </c>
      <c r="E2" s="3" t="s">
        <v>12</v>
      </c>
      <c r="F2" s="3" t="s">
        <v>14</v>
      </c>
      <c r="G2" s="3" t="s">
        <v>15</v>
      </c>
      <c r="H2" s="3" t="s">
        <v>9</v>
      </c>
      <c r="I2" s="3" t="s">
        <v>10</v>
      </c>
      <c r="J2" s="3" t="s">
        <v>13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7</v>
      </c>
      <c r="Q2" s="3" t="s">
        <v>21</v>
      </c>
      <c r="R2" s="3" t="s">
        <v>22</v>
      </c>
      <c r="S2" s="3" t="s">
        <v>23</v>
      </c>
      <c r="T2" s="3" t="s">
        <v>24</v>
      </c>
      <c r="U2" s="3" t="s">
        <v>25</v>
      </c>
      <c r="V2" s="3" t="s">
        <v>26</v>
      </c>
      <c r="Y2" s="3">
        <v>2017</v>
      </c>
      <c r="Z2" s="3">
        <f>+Y2+1</f>
        <v>2018</v>
      </c>
      <c r="AA2" s="3">
        <f t="shared" ref="AA2:AH2" si="0">+Z2+1</f>
        <v>2019</v>
      </c>
      <c r="AB2" s="3">
        <f t="shared" si="0"/>
        <v>2020</v>
      </c>
      <c r="AC2" s="3">
        <f t="shared" si="0"/>
        <v>2021</v>
      </c>
      <c r="AD2" s="3">
        <f t="shared" si="0"/>
        <v>2022</v>
      </c>
      <c r="AE2" s="3">
        <f t="shared" si="0"/>
        <v>2023</v>
      </c>
      <c r="AF2" s="3">
        <f t="shared" si="0"/>
        <v>2024</v>
      </c>
      <c r="AG2" s="3">
        <f t="shared" si="0"/>
        <v>2025</v>
      </c>
      <c r="AH2" s="3">
        <f t="shared" si="0"/>
        <v>2026</v>
      </c>
    </row>
    <row r="3" spans="2:34" s="5" customFormat="1" ht="15" x14ac:dyDescent="0.25">
      <c r="B3" s="5" t="s">
        <v>27</v>
      </c>
      <c r="L3" s="6">
        <v>221107.46599999999</v>
      </c>
      <c r="P3" s="6">
        <v>200878.56599999999</v>
      </c>
      <c r="T3" s="6"/>
      <c r="Y3" s="6">
        <v>836081.02300000004</v>
      </c>
      <c r="Z3" s="6">
        <v>889536.34699999995</v>
      </c>
      <c r="AA3" s="6">
        <v>878255.07799999998</v>
      </c>
      <c r="AB3" s="6">
        <v>845011.84400000004</v>
      </c>
    </row>
    <row r="4" spans="2:34" x14ac:dyDescent="0.2">
      <c r="B4" s="3" t="s">
        <v>28</v>
      </c>
      <c r="L4" s="4">
        <v>208451.62299999999</v>
      </c>
      <c r="P4" s="4">
        <v>188766.486</v>
      </c>
      <c r="T4" s="4"/>
      <c r="Y4" s="4">
        <v>804441.62</v>
      </c>
      <c r="Z4" s="4">
        <v>851977.09100000001</v>
      </c>
      <c r="AA4" s="4">
        <v>836096.52800000005</v>
      </c>
      <c r="AB4" s="4">
        <v>798958.66399999999</v>
      </c>
    </row>
    <row r="5" spans="2:34" x14ac:dyDescent="0.2">
      <c r="B5" s="3" t="s">
        <v>29</v>
      </c>
      <c r="L5" s="4">
        <f>+L3-L4</f>
        <v>12655.842999999993</v>
      </c>
      <c r="P5" s="4">
        <f>+P3-P4</f>
        <v>12112.079999999987</v>
      </c>
      <c r="T5" s="4"/>
      <c r="Y5" s="4">
        <f>+Y3-Y4</f>
        <v>31639.403000000049</v>
      </c>
      <c r="Z5" s="4">
        <f>+Z3-Z4</f>
        <v>37559.255999999936</v>
      </c>
      <c r="AA5" s="4">
        <f>+AA3-AA4</f>
        <v>42158.54999999993</v>
      </c>
      <c r="AB5" s="4">
        <f>+AB3-AB4</f>
        <v>46053.180000000051</v>
      </c>
    </row>
    <row r="6" spans="2:34" x14ac:dyDescent="0.2">
      <c r="B6" s="3" t="s">
        <v>30</v>
      </c>
      <c r="L6" s="4">
        <f>2382.268+863.26</f>
        <v>3245.5280000000002</v>
      </c>
      <c r="P6" s="4">
        <f>2286.497+1164.43</f>
        <v>3450.9269999999997</v>
      </c>
      <c r="T6" s="4"/>
      <c r="Y6" s="4">
        <f>8181.473+2843.082</f>
        <v>11024.555</v>
      </c>
      <c r="Z6" s="4">
        <f>9226.027+3163.616</f>
        <v>12389.643</v>
      </c>
      <c r="AA6" s="4">
        <f>9243.449+3417.109</f>
        <v>12660.558000000001</v>
      </c>
      <c r="AB6" s="4">
        <f>8866.295+3666.552</f>
        <v>12532.847</v>
      </c>
    </row>
    <row r="7" spans="2:34" x14ac:dyDescent="0.2">
      <c r="B7" s="3" t="s">
        <v>31</v>
      </c>
      <c r="L7" s="4">
        <v>4768.3209999999999</v>
      </c>
      <c r="P7" s="4">
        <v>5320.0029999999997</v>
      </c>
      <c r="T7" s="4"/>
      <c r="Y7" s="4">
        <v>14701.0373</v>
      </c>
      <c r="Z7" s="4">
        <v>14403.597</v>
      </c>
      <c r="AA7" s="4">
        <v>16198.147000000001</v>
      </c>
      <c r="AB7" s="4">
        <v>19049.271000000001</v>
      </c>
    </row>
    <row r="8" spans="2:34" x14ac:dyDescent="0.2">
      <c r="B8" s="3" t="s">
        <v>32</v>
      </c>
      <c r="L8" s="4">
        <f>+SUM(L6:L7)</f>
        <v>8013.8490000000002</v>
      </c>
      <c r="P8" s="4">
        <f>+SUM(P6:P7)</f>
        <v>8770.93</v>
      </c>
      <c r="T8" s="4"/>
      <c r="Y8" s="4">
        <f>+SUM(Y6:Y7)</f>
        <v>25725.5923</v>
      </c>
      <c r="Z8" s="4">
        <f>+SUM(Z6:Z7)</f>
        <v>26793.239999999998</v>
      </c>
      <c r="AA8" s="4">
        <f>+SUM(AA6:AA7)</f>
        <v>28858.705000000002</v>
      </c>
      <c r="AB8" s="4">
        <f>+SUM(AB6:AB7)</f>
        <v>31582.118000000002</v>
      </c>
    </row>
    <row r="9" spans="2:34" x14ac:dyDescent="0.2">
      <c r="B9" s="3" t="s">
        <v>33</v>
      </c>
      <c r="L9" s="4">
        <f>+L5-L8</f>
        <v>4641.9939999999933</v>
      </c>
      <c r="P9" s="4">
        <f>+P5-P8</f>
        <v>3341.1499999999869</v>
      </c>
      <c r="T9" s="4"/>
      <c r="Y9" s="4">
        <f>+Y5-Y8</f>
        <v>5913.8107000000491</v>
      </c>
      <c r="Z9" s="4">
        <f>+Z5-Z8</f>
        <v>10766.015999999938</v>
      </c>
      <c r="AA9" s="4">
        <f>+AA5-AA8</f>
        <v>13299.844999999928</v>
      </c>
      <c r="AB9" s="4">
        <f>+AB5-AB8</f>
        <v>14471.062000000049</v>
      </c>
    </row>
    <row r="10" spans="2:34" x14ac:dyDescent="0.2">
      <c r="B10" s="3" t="s">
        <v>34</v>
      </c>
      <c r="L10" s="4">
        <f>622.602+15.68+214.74+-549.013+149.715</f>
        <v>453.72399999999993</v>
      </c>
      <c r="P10" s="4">
        <f>420.622+79.216+3551.512+-458.969+-54.996</f>
        <v>3537.3850000000002</v>
      </c>
      <c r="T10" s="4"/>
      <c r="Y10" s="4">
        <f>1314.145+1378.642+-2756.041+307.854</f>
        <v>244.60000000000008</v>
      </c>
      <c r="Z10" s="4">
        <f>1342.857+1888.282+-4747.543+409.226</f>
        <v>-1107.1779999999994</v>
      </c>
      <c r="AA10" s="4">
        <f>2009.432+579.3+1358.737+-4810.821+339.573</f>
        <v>-523.77899999999988</v>
      </c>
      <c r="AB10" s="4">
        <f>1888.042+210.312+2177.004+-2348.171+447.126</f>
        <v>2374.3130000000001</v>
      </c>
    </row>
    <row r="11" spans="2:34" x14ac:dyDescent="0.2">
      <c r="B11" s="3" t="s">
        <v>35</v>
      </c>
      <c r="L11" s="4">
        <f>+SUM(L9:L10)</f>
        <v>5095.7179999999935</v>
      </c>
      <c r="P11" s="4">
        <f>+SUM(P9:P10)</f>
        <v>6878.5349999999871</v>
      </c>
      <c r="T11" s="4"/>
      <c r="Y11" s="4">
        <f>+SUM(Y9:Y10)</f>
        <v>6158.4107000000495</v>
      </c>
      <c r="Z11" s="4">
        <f>+SUM(Z9:Z10)</f>
        <v>9658.8379999999379</v>
      </c>
      <c r="AA11" s="4">
        <f>+SUM(AA9:AA10)</f>
        <v>12776.065999999928</v>
      </c>
      <c r="AB11" s="4">
        <f>+SUM(AB9:AB10)</f>
        <v>16845.375000000051</v>
      </c>
    </row>
    <row r="12" spans="2:34" x14ac:dyDescent="0.2">
      <c r="B12" s="3" t="s">
        <v>36</v>
      </c>
      <c r="L12" s="4">
        <v>1188.3430000000001</v>
      </c>
      <c r="P12" s="4">
        <v>1597.5530000000001</v>
      </c>
      <c r="T12" s="4"/>
      <c r="Y12" s="4">
        <v>1796.92</v>
      </c>
      <c r="Z12" s="4">
        <v>2373.6489999999999</v>
      </c>
      <c r="AA12" s="4">
        <v>3049.8229999999999</v>
      </c>
      <c r="AB12" s="4">
        <v>3937.4789999999998</v>
      </c>
    </row>
    <row r="13" spans="2:34" s="5" customFormat="1" ht="15" x14ac:dyDescent="0.25">
      <c r="B13" s="5" t="s">
        <v>37</v>
      </c>
      <c r="L13" s="6">
        <f>+L11-L12</f>
        <v>3907.3749999999936</v>
      </c>
      <c r="P13" s="6">
        <f>+P11-P12</f>
        <v>5280.9819999999872</v>
      </c>
      <c r="T13" s="6"/>
      <c r="Y13" s="6">
        <f>+Y11-Y12</f>
        <v>4361.4907000000494</v>
      </c>
      <c r="Z13" s="6">
        <f>+Z11-Z12</f>
        <v>7285.1889999999385</v>
      </c>
      <c r="AA13" s="6">
        <f>+AA11-AA12</f>
        <v>9726.2429999999276</v>
      </c>
      <c r="AB13" s="6">
        <f>+AB11-AB12</f>
        <v>12907.896000000052</v>
      </c>
    </row>
    <row r="14" spans="2:34" x14ac:dyDescent="0.2">
      <c r="B14" s="3" t="s">
        <v>38</v>
      </c>
      <c r="L14" s="7">
        <v>1.01</v>
      </c>
      <c r="P14" s="7">
        <v>1.48</v>
      </c>
      <c r="T14" s="7"/>
      <c r="Y14" s="3">
        <v>1.41</v>
      </c>
      <c r="Z14" s="3">
        <v>1.73</v>
      </c>
      <c r="AA14" s="3">
        <v>2.36</v>
      </c>
      <c r="AB14" s="3">
        <v>3.03</v>
      </c>
    </row>
    <row r="15" spans="2:34" x14ac:dyDescent="0.2">
      <c r="B15" s="3" t="s">
        <v>1</v>
      </c>
      <c r="L15" s="4">
        <f>+L13*L14</f>
        <v>3946.4487499999937</v>
      </c>
      <c r="P15" s="4">
        <f>+P13*P14</f>
        <v>7815.853359999981</v>
      </c>
      <c r="T15" s="4"/>
      <c r="Y15" s="4">
        <f>+Y13*Y14</f>
        <v>6149.7018870000693</v>
      </c>
      <c r="Z15" s="4">
        <f>+Z13*Z14</f>
        <v>12603.376969999894</v>
      </c>
      <c r="AA15" s="4">
        <f>+AA13*AA14</f>
        <v>22953.933479999829</v>
      </c>
      <c r="AB15" s="4">
        <f>+AB13*AB14</f>
        <v>39110.924880000151</v>
      </c>
    </row>
    <row r="18" spans="2:28" x14ac:dyDescent="0.2">
      <c r="B18" s="3" t="s">
        <v>40</v>
      </c>
      <c r="L18" s="8">
        <f>+L5/L3</f>
        <v>5.7238424504399116E-2</v>
      </c>
      <c r="P18" s="8">
        <f>+P5/P3</f>
        <v>6.0295531978259882E-2</v>
      </c>
      <c r="Y18" s="8">
        <f t="shared" ref="Y18:Z18" si="1">+Y5/Y3</f>
        <v>3.7842508237386517E-2</v>
      </c>
      <c r="Z18" s="8">
        <f t="shared" si="1"/>
        <v>4.2223407876103278E-2</v>
      </c>
      <c r="AA18" s="8">
        <f>+AA5/AA3</f>
        <v>4.8002625952365895E-2</v>
      </c>
      <c r="AB18" s="8">
        <f>+AB5/AB3</f>
        <v>5.4500040830196987E-2</v>
      </c>
    </row>
    <row r="19" spans="2:28" x14ac:dyDescent="0.2">
      <c r="B19" s="3" t="s">
        <v>41</v>
      </c>
      <c r="L19" s="8">
        <f>+L9/L3</f>
        <v>2.099428881338631E-2</v>
      </c>
      <c r="P19" s="8">
        <f>+P9/P3</f>
        <v>1.6632685440416708E-2</v>
      </c>
      <c r="Y19" s="8">
        <f>+Y9/Y3</f>
        <v>7.0732507224961242E-3</v>
      </c>
      <c r="Z19" s="8">
        <f t="shared" ref="Y19:Z19" si="2">+Z9/Z3</f>
        <v>1.2102952326016577E-2</v>
      </c>
      <c r="AA19" s="8">
        <f>+AA9/AA3</f>
        <v>1.5143487732842837E-2</v>
      </c>
      <c r="AB19" s="8">
        <f>+AB9/AB3</f>
        <v>1.7125277122151259E-2</v>
      </c>
    </row>
    <row r="20" spans="2:28" x14ac:dyDescent="0.2">
      <c r="B20" s="3" t="s">
        <v>44</v>
      </c>
      <c r="L20" s="8">
        <f>+L12/L11</f>
        <v>0.23320423147434799</v>
      </c>
      <c r="P20" s="8">
        <f>+P12/P11</f>
        <v>0.23225192573709419</v>
      </c>
      <c r="Y20" s="8">
        <f t="shared" ref="Y20:Z20" si="3">+Y12/Y11</f>
        <v>0.29178307318802005</v>
      </c>
      <c r="Z20" s="8">
        <f t="shared" si="3"/>
        <v>0.2457489192799398</v>
      </c>
      <c r="AA20" s="8">
        <f>+AA12/AA11</f>
        <v>0.23871377934334537</v>
      </c>
      <c r="AB20" s="8">
        <f>+AB12/AB11</f>
        <v>0.23374243672224501</v>
      </c>
    </row>
    <row r="24" spans="2:28" x14ac:dyDescent="0.2">
      <c r="B24" s="3" t="s">
        <v>39</v>
      </c>
      <c r="P24" s="8">
        <f>+P3/L3-1</f>
        <v>-9.1488995672357798E-2</v>
      </c>
      <c r="Y24" s="8"/>
      <c r="Z24" s="8">
        <f t="shared" ref="Y24:AB24" si="4">+Z3/Y3-1</f>
        <v>6.3935578645468061E-2</v>
      </c>
      <c r="AA24" s="8">
        <f t="shared" si="4"/>
        <v>-1.2682190039841057E-2</v>
      </c>
      <c r="AB24" s="8">
        <f>+AB3/AA3-1</f>
        <v>-3.7851456635699554E-2</v>
      </c>
    </row>
    <row r="25" spans="2:28" x14ac:dyDescent="0.2">
      <c r="B25" s="3" t="s">
        <v>42</v>
      </c>
      <c r="P25" s="8">
        <f>+P6/L6-1</f>
        <v>6.3286774909968146E-2</v>
      </c>
      <c r="Z25" s="8">
        <f t="shared" ref="Z25:AB26" si="5">+Z6/Y6-1</f>
        <v>0.12382250349333823</v>
      </c>
      <c r="AA25" s="8">
        <f t="shared" si="5"/>
        <v>2.1866247477833056E-2</v>
      </c>
      <c r="AB25" s="8">
        <f>+AB6/AA6-1</f>
        <v>-1.008731210741276E-2</v>
      </c>
    </row>
    <row r="26" spans="2:28" x14ac:dyDescent="0.2">
      <c r="B26" s="3" t="s">
        <v>43</v>
      </c>
      <c r="P26" s="8">
        <f>+P7/L7-1</f>
        <v>0.11569732826292523</v>
      </c>
      <c r="Z26" s="8">
        <f>+Z7/Y7-1</f>
        <v>-2.0232606307311385E-2</v>
      </c>
      <c r="AA26" s="8">
        <f>+AA7/Z7-1</f>
        <v>0.12459040613257932</v>
      </c>
      <c r="AB26" s="8">
        <f>+AB7/AA7-1</f>
        <v>0.17601544176627115</v>
      </c>
    </row>
    <row r="29" spans="2:28" s="5" customFormat="1" ht="15" x14ac:dyDescent="0.25">
      <c r="B29" s="5" t="s">
        <v>62</v>
      </c>
      <c r="P29" s="6">
        <f>+P30-P42</f>
        <v>-65232.26400000001</v>
      </c>
    </row>
    <row r="30" spans="2:28" x14ac:dyDescent="0.2">
      <c r="B30" s="3" t="s">
        <v>3</v>
      </c>
      <c r="P30" s="4">
        <f>51908.584+11503.223+7081.885</f>
        <v>70493.691999999995</v>
      </c>
    </row>
    <row r="31" spans="2:28" x14ac:dyDescent="0.2">
      <c r="B31" s="3" t="s">
        <v>45</v>
      </c>
      <c r="P31" s="4">
        <f>140284.618+239.779</f>
        <v>140524.397</v>
      </c>
    </row>
    <row r="32" spans="2:28" x14ac:dyDescent="0.2">
      <c r="B32" s="3" t="s">
        <v>46</v>
      </c>
      <c r="P32" s="4">
        <v>14.388999999999999</v>
      </c>
    </row>
    <row r="33" spans="2:16" x14ac:dyDescent="0.2">
      <c r="B33" s="3" t="s">
        <v>47</v>
      </c>
      <c r="P33" s="4">
        <v>609.67999999999995</v>
      </c>
    </row>
    <row r="34" spans="2:16" x14ac:dyDescent="0.2">
      <c r="B34" s="3" t="s">
        <v>48</v>
      </c>
      <c r="P34" s="4">
        <v>114555.51700000001</v>
      </c>
    </row>
    <row r="35" spans="2:16" x14ac:dyDescent="0.2">
      <c r="B35" s="3" t="s">
        <v>50</v>
      </c>
      <c r="P35" s="4">
        <f>72.741+5922.576+5965.093</f>
        <v>11960.41</v>
      </c>
    </row>
    <row r="36" spans="2:16" x14ac:dyDescent="0.2">
      <c r="B36" s="3" t="s">
        <v>49</v>
      </c>
      <c r="P36" s="4">
        <v>14073.364</v>
      </c>
    </row>
    <row r="37" spans="2:16" x14ac:dyDescent="0.2">
      <c r="B37" s="3" t="s">
        <v>51</v>
      </c>
      <c r="P37" s="4">
        <v>38283.637000000002</v>
      </c>
    </row>
    <row r="38" spans="2:16" x14ac:dyDescent="0.2">
      <c r="B38" s="3" t="s">
        <v>52</v>
      </c>
      <c r="P38" s="4">
        <f>5724+1149.145</f>
        <v>6873.1450000000004</v>
      </c>
    </row>
    <row r="39" spans="2:16" x14ac:dyDescent="0.2">
      <c r="B39" s="3" t="s">
        <v>53</v>
      </c>
      <c r="P39" s="4">
        <v>6113.3</v>
      </c>
    </row>
    <row r="40" spans="2:16" x14ac:dyDescent="0.2">
      <c r="B40" s="3" t="s">
        <v>54</v>
      </c>
      <c r="P40" s="4">
        <f>+SUM(P30:P39)</f>
        <v>403501.53099999996</v>
      </c>
    </row>
    <row r="42" spans="2:16" x14ac:dyDescent="0.2">
      <c r="B42" s="3" t="s">
        <v>4</v>
      </c>
      <c r="P42" s="4">
        <f>107980.077+45.965+1226.28+26473.634</f>
        <v>135725.95600000001</v>
      </c>
    </row>
    <row r="43" spans="2:16" x14ac:dyDescent="0.2">
      <c r="B43" s="3" t="s">
        <v>55</v>
      </c>
      <c r="P43" s="4">
        <v>4754.357</v>
      </c>
    </row>
    <row r="44" spans="2:16" x14ac:dyDescent="0.2">
      <c r="B44" s="3" t="s">
        <v>56</v>
      </c>
      <c r="P44" s="4">
        <f>116737.149+793.293+4992.633</f>
        <v>122523.07500000001</v>
      </c>
    </row>
    <row r="45" spans="2:16" x14ac:dyDescent="0.2">
      <c r="B45" s="3" t="s">
        <v>57</v>
      </c>
      <c r="P45" s="4">
        <v>31.692</v>
      </c>
    </row>
    <row r="46" spans="2:16" x14ac:dyDescent="0.2">
      <c r="B46" s="3" t="s">
        <v>50</v>
      </c>
      <c r="P46" s="4">
        <f>1151.153+1635.822</f>
        <v>2786.9749999999999</v>
      </c>
    </row>
    <row r="47" spans="2:16" x14ac:dyDescent="0.2">
      <c r="B47" s="3" t="s">
        <v>58</v>
      </c>
      <c r="P47" s="4">
        <v>1713.2439999999999</v>
      </c>
    </row>
    <row r="48" spans="2:16" x14ac:dyDescent="0.2">
      <c r="B48" s="3" t="s">
        <v>59</v>
      </c>
      <c r="P48" s="4">
        <v>10506.857</v>
      </c>
    </row>
    <row r="49" spans="2:16" x14ac:dyDescent="0.2">
      <c r="B49" s="3" t="s">
        <v>60</v>
      </c>
      <c r="P49" s="4">
        <v>42678.779000000002</v>
      </c>
    </row>
    <row r="50" spans="2:16" x14ac:dyDescent="0.2">
      <c r="B50" s="3" t="s">
        <v>53</v>
      </c>
      <c r="P50" s="4">
        <v>2956.7750000000001</v>
      </c>
    </row>
    <row r="51" spans="2:16" x14ac:dyDescent="0.2">
      <c r="B51" s="3" t="s">
        <v>61</v>
      </c>
      <c r="P51" s="4">
        <f>+SUM(P42:P50)</f>
        <v>323677.71000000002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2021-12-23T03:43:41Z</dcterms:created>
  <dcterms:modified xsi:type="dcterms:W3CDTF">2021-12-23T09:24:40Z</dcterms:modified>
</cp:coreProperties>
</file>