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xl\"/>
    </mc:Choice>
  </mc:AlternateContent>
  <xr:revisionPtr revIDLastSave="0" documentId="13_ncr:1_{DEDC2A24-8177-440A-9D11-821EA54C4654}" xr6:coauthVersionLast="47" xr6:coauthVersionMax="47" xr10:uidLastSave="{00000000-0000-0000-0000-000000000000}"/>
  <bookViews>
    <workbookView xWindow="4980" yWindow="2055" windowWidth="18615" windowHeight="13905" activeTab="1" xr2:uid="{01ABCCED-9A50-4C2F-9BE2-E571010B58F3}"/>
  </bookViews>
  <sheets>
    <sheet name="Main" sheetId="1" r:id="rId1"/>
    <sheet name="Model" sheetId="2" r:id="rId2"/>
    <sheet name="Not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74" i="2" l="1"/>
  <c r="N24" i="2"/>
  <c r="L24" i="2"/>
  <c r="M24" i="2"/>
  <c r="K24" i="2"/>
  <c r="J24" i="2"/>
  <c r="X22" i="2"/>
  <c r="X21" i="2"/>
  <c r="X20" i="2"/>
  <c r="X26" i="2"/>
  <c r="X25" i="2"/>
  <c r="X24" i="2"/>
  <c r="X17" i="2"/>
  <c r="X16" i="2"/>
  <c r="X15" i="2"/>
  <c r="X14" i="2"/>
  <c r="X13" i="2"/>
  <c r="X12" i="2"/>
  <c r="X11" i="2"/>
  <c r="X10" i="2"/>
  <c r="X9" i="2"/>
  <c r="X8" i="2"/>
  <c r="X7" i="2"/>
  <c r="X6" i="2"/>
  <c r="X5" i="2"/>
  <c r="X4" i="2"/>
  <c r="X3" i="2"/>
  <c r="N68" i="2"/>
  <c r="N50" i="2"/>
  <c r="N81" i="2"/>
  <c r="N73" i="2"/>
  <c r="N28" i="2"/>
  <c r="N41" i="2"/>
  <c r="N29" i="2"/>
  <c r="N39" i="2" s="1"/>
  <c r="N48" i="2"/>
  <c r="N26" i="2"/>
  <c r="N25" i="2"/>
  <c r="N11" i="2"/>
  <c r="N9" i="2"/>
  <c r="N5" i="2"/>
  <c r="N20" i="2" s="1"/>
  <c r="G24" i="2"/>
  <c r="M25" i="2"/>
  <c r="N82" i="2" l="1"/>
  <c r="N10" i="2"/>
  <c r="J26" i="2"/>
  <c r="L25" i="2"/>
  <c r="L26" i="2"/>
  <c r="K26" i="2"/>
  <c r="I26" i="2"/>
  <c r="I24" i="2"/>
  <c r="H26" i="2"/>
  <c r="G26" i="2"/>
  <c r="J25" i="2"/>
  <c r="I25" i="2"/>
  <c r="H25" i="2"/>
  <c r="G25" i="2"/>
  <c r="H24" i="2"/>
  <c r="C11" i="2"/>
  <c r="C9" i="2"/>
  <c r="C5" i="2"/>
  <c r="D11" i="2"/>
  <c r="V4" i="2"/>
  <c r="W17" i="2"/>
  <c r="V17" i="2"/>
  <c r="V14" i="2"/>
  <c r="V13" i="2"/>
  <c r="V8" i="2"/>
  <c r="V7" i="2"/>
  <c r="V6" i="2"/>
  <c r="V3" i="2"/>
  <c r="D9" i="2"/>
  <c r="D5" i="2"/>
  <c r="D20" i="2" s="1"/>
  <c r="E11" i="2"/>
  <c r="E9" i="2"/>
  <c r="E5" i="2"/>
  <c r="E20" i="2" s="1"/>
  <c r="F11" i="2"/>
  <c r="F9" i="2"/>
  <c r="F5" i="2"/>
  <c r="F20" i="2" s="1"/>
  <c r="K25" i="2"/>
  <c r="M26" i="2"/>
  <c r="W14" i="2"/>
  <c r="W13" i="2"/>
  <c r="W8" i="2"/>
  <c r="W7" i="2"/>
  <c r="W6" i="2"/>
  <c r="W25" i="2" s="1"/>
  <c r="W4" i="2"/>
  <c r="W3" i="2"/>
  <c r="I29" i="2"/>
  <c r="I39" i="2" s="1"/>
  <c r="M29" i="2"/>
  <c r="I48" i="2"/>
  <c r="J48" i="2"/>
  <c r="J29" i="2"/>
  <c r="J39" i="2" s="1"/>
  <c r="K29" i="2"/>
  <c r="K28" i="2" s="1"/>
  <c r="K48" i="2"/>
  <c r="L48" i="2"/>
  <c r="L29" i="2"/>
  <c r="L28" i="2" s="1"/>
  <c r="C10" i="2" l="1"/>
  <c r="C12" i="2" s="1"/>
  <c r="C15" i="2" s="1"/>
  <c r="C16" i="2" s="1"/>
  <c r="N12" i="2"/>
  <c r="N21" i="2"/>
  <c r="W24" i="2"/>
  <c r="V9" i="2"/>
  <c r="W26" i="2"/>
  <c r="V11" i="2"/>
  <c r="C21" i="2"/>
  <c r="C22" i="2"/>
  <c r="F10" i="2"/>
  <c r="C20" i="2"/>
  <c r="D10" i="2"/>
  <c r="V5" i="2"/>
  <c r="V20" i="2" s="1"/>
  <c r="E10" i="2"/>
  <c r="J28" i="2"/>
  <c r="I28" i="2"/>
  <c r="K39" i="2"/>
  <c r="L39" i="2"/>
  <c r="N15" i="2" l="1"/>
  <c r="N16" i="2" s="1"/>
  <c r="N22" i="2"/>
  <c r="E12" i="2"/>
  <c r="E21" i="2"/>
  <c r="F12" i="2"/>
  <c r="F21" i="2"/>
  <c r="V10" i="2"/>
  <c r="V21" i="2" s="1"/>
  <c r="D12" i="2"/>
  <c r="D21" i="2"/>
  <c r="D15" i="2" l="1"/>
  <c r="D22" i="2"/>
  <c r="F15" i="2"/>
  <c r="F16" i="2" s="1"/>
  <c r="F22" i="2"/>
  <c r="V12" i="2"/>
  <c r="V22" i="2" s="1"/>
  <c r="E15" i="2"/>
  <c r="E16" i="2" s="1"/>
  <c r="E22" i="2"/>
  <c r="M81" i="2"/>
  <c r="M73" i="2"/>
  <c r="M68" i="2"/>
  <c r="M41" i="2"/>
  <c r="M48" i="2" s="1"/>
  <c r="M39" i="2"/>
  <c r="J11" i="2"/>
  <c r="J5" i="2"/>
  <c r="J20" i="2" s="1"/>
  <c r="J9" i="2"/>
  <c r="G11" i="2"/>
  <c r="G9" i="2"/>
  <c r="G5" i="2"/>
  <c r="K11" i="2"/>
  <c r="K9" i="2"/>
  <c r="K5" i="2"/>
  <c r="H11" i="2"/>
  <c r="H9" i="2"/>
  <c r="H5" i="2"/>
  <c r="H20" i="2" s="1"/>
  <c r="L11" i="2"/>
  <c r="L9" i="2"/>
  <c r="L5" i="2"/>
  <c r="L20" i="2" s="1"/>
  <c r="I11" i="2"/>
  <c r="I9" i="2"/>
  <c r="M11" i="2"/>
  <c r="M9" i="2"/>
  <c r="I5" i="2"/>
  <c r="I20" i="2" s="1"/>
  <c r="M5" i="2"/>
  <c r="M20" i="2" s="1"/>
  <c r="W2" i="2"/>
  <c r="L7" i="1"/>
  <c r="L6" i="1"/>
  <c r="L5" i="1"/>
  <c r="L8" i="1" s="1"/>
  <c r="M82" i="2" l="1"/>
  <c r="W9" i="2"/>
  <c r="D16" i="2"/>
  <c r="V15" i="2"/>
  <c r="V16" i="2" s="1"/>
  <c r="W11" i="2"/>
  <c r="G20" i="2"/>
  <c r="W5" i="2"/>
  <c r="W20" i="2" s="1"/>
  <c r="K20" i="2"/>
  <c r="M74" i="2"/>
  <c r="M28" i="2"/>
  <c r="J10" i="2"/>
  <c r="J21" i="2" s="1"/>
  <c r="G10" i="2"/>
  <c r="K10" i="2"/>
  <c r="H10" i="2"/>
  <c r="L10" i="2"/>
  <c r="M10" i="2"/>
  <c r="I10" i="2"/>
  <c r="W10" i="2" l="1"/>
  <c r="W21" i="2" s="1"/>
  <c r="J12" i="2"/>
  <c r="J22" i="2" s="1"/>
  <c r="L12" i="2"/>
  <c r="L21" i="2"/>
  <c r="H21" i="2"/>
  <c r="K12" i="2"/>
  <c r="K21" i="2"/>
  <c r="G12" i="2"/>
  <c r="G21" i="2"/>
  <c r="H12" i="2"/>
  <c r="H22" i="2" s="1"/>
  <c r="I12" i="2"/>
  <c r="I21" i="2"/>
  <c r="M12" i="2"/>
  <c r="M21" i="2"/>
  <c r="J15" i="2" l="1"/>
  <c r="W12" i="2"/>
  <c r="W22" i="2" s="1"/>
  <c r="J16" i="2"/>
  <c r="L15" i="2"/>
  <c r="L22" i="2"/>
  <c r="G15" i="2"/>
  <c r="G22" i="2"/>
  <c r="M15" i="2"/>
  <c r="M22" i="2"/>
  <c r="K15" i="2"/>
  <c r="K22" i="2"/>
  <c r="I15" i="2"/>
  <c r="I16" i="2" s="1"/>
  <c r="I22" i="2"/>
  <c r="H15" i="2"/>
  <c r="H16" i="2" s="1"/>
  <c r="G16" i="2" l="1"/>
  <c r="W15" i="2"/>
  <c r="W16" i="2" s="1"/>
  <c r="L16" i="2"/>
  <c r="K16" i="2"/>
  <c r="M16" i="2"/>
  <c r="M50" i="2"/>
</calcChain>
</file>

<file path=xl/sharedStrings.xml><?xml version="1.0" encoding="utf-8"?>
<sst xmlns="http://schemas.openxmlformats.org/spreadsheetml/2006/main" count="101" uniqueCount="85">
  <si>
    <t>Price</t>
  </si>
  <si>
    <t>Shares</t>
  </si>
  <si>
    <t>MC</t>
  </si>
  <si>
    <t>Cash</t>
  </si>
  <si>
    <t>Debt</t>
  </si>
  <si>
    <t>EV</t>
  </si>
  <si>
    <t>Q321</t>
  </si>
  <si>
    <t>Main</t>
  </si>
  <si>
    <t>Q120</t>
  </si>
  <si>
    <t>Q220</t>
  </si>
  <si>
    <t>Q320</t>
  </si>
  <si>
    <t>Q420</t>
  </si>
  <si>
    <t>Q121</t>
  </si>
  <si>
    <t>Q221</t>
  </si>
  <si>
    <t>Q421</t>
  </si>
  <si>
    <t>Q122</t>
  </si>
  <si>
    <t>Q222</t>
  </si>
  <si>
    <t>Q322</t>
  </si>
  <si>
    <t>Q422</t>
  </si>
  <si>
    <t>Revenue</t>
  </si>
  <si>
    <t>COGS</t>
  </si>
  <si>
    <t>Gross Profit</t>
  </si>
  <si>
    <t>R&amp;D</t>
  </si>
  <si>
    <t>sG&amp;A</t>
  </si>
  <si>
    <t>Licensing</t>
  </si>
  <si>
    <t>Operating Expenses</t>
  </si>
  <si>
    <t>Operating Income</t>
  </si>
  <si>
    <t>Pretax Income</t>
  </si>
  <si>
    <t>Gross Margin %</t>
  </si>
  <si>
    <t>Taxes</t>
  </si>
  <si>
    <t>Net Income</t>
  </si>
  <si>
    <t>Investment</t>
  </si>
  <si>
    <t>EPS</t>
  </si>
  <si>
    <t>Revenue Growth Y/Y</t>
  </si>
  <si>
    <t>Operating Margin %</t>
  </si>
  <si>
    <t>Tax Rate %</t>
  </si>
  <si>
    <t>Other Income</t>
  </si>
  <si>
    <t>A/R</t>
  </si>
  <si>
    <t>Inventory</t>
  </si>
  <si>
    <t>Prepaids</t>
  </si>
  <si>
    <t>Other receivables</t>
  </si>
  <si>
    <t>PP&amp;E</t>
  </si>
  <si>
    <t>Lease</t>
  </si>
  <si>
    <t>Intangibles</t>
  </si>
  <si>
    <t>D/T</t>
  </si>
  <si>
    <t>ONCA</t>
  </si>
  <si>
    <t>Total Assets</t>
  </si>
  <si>
    <t>A/P</t>
  </si>
  <si>
    <t>Other Payables</t>
  </si>
  <si>
    <t>Accured Liablities</t>
  </si>
  <si>
    <t>OCL</t>
  </si>
  <si>
    <t>OLTL</t>
  </si>
  <si>
    <t>Total Liabilties</t>
  </si>
  <si>
    <t>Net Cash</t>
  </si>
  <si>
    <t>Model NI</t>
  </si>
  <si>
    <t>Reported NI</t>
  </si>
  <si>
    <t>D/A</t>
  </si>
  <si>
    <t>SBC</t>
  </si>
  <si>
    <t>Amortization of Lease</t>
  </si>
  <si>
    <t>Amortization of Debt</t>
  </si>
  <si>
    <t>Debt Conversion</t>
  </si>
  <si>
    <t>Sale of PP&amp;E</t>
  </si>
  <si>
    <t>Investments</t>
  </si>
  <si>
    <t>Other</t>
  </si>
  <si>
    <t>A/L</t>
  </si>
  <si>
    <t>CFFO</t>
  </si>
  <si>
    <t xml:space="preserve">Other Receivables </t>
  </si>
  <si>
    <t>Purchase of ST Investment</t>
  </si>
  <si>
    <t>Maturity of ST Investment</t>
  </si>
  <si>
    <t>CFFI</t>
  </si>
  <si>
    <t>CapEx</t>
  </si>
  <si>
    <t>FCF</t>
  </si>
  <si>
    <t>ST Debt Borrowing</t>
  </si>
  <si>
    <t>ST Debt Repayment</t>
  </si>
  <si>
    <t>Employee Stock</t>
  </si>
  <si>
    <t>Stock Repurhcasing</t>
  </si>
  <si>
    <t>Tax Withholdings</t>
  </si>
  <si>
    <t>CFFF</t>
  </si>
  <si>
    <t>FC</t>
  </si>
  <si>
    <t>R&amp;D Spending Y/Y</t>
  </si>
  <si>
    <t>sG&amp;A Spending Y/Y</t>
  </si>
  <si>
    <t>Q119</t>
  </si>
  <si>
    <t>Q219</t>
  </si>
  <si>
    <t>Q319</t>
  </si>
  <si>
    <t>Q419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</si>
</sst>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0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4" fillId="0" borderId="0" xfId="1" applyFont="1"/>
    <xf numFmtId="0" fontId="5" fillId="0" borderId="0" xfId="0" applyFont="1"/>
    <xf numFmtId="0" fontId="6" fillId="0" borderId="0" xfId="0" applyFont="1"/>
    <xf numFmtId="3" fontId="6" fillId="0" borderId="0" xfId="0" applyNumberFormat="1" applyFont="1"/>
    <xf numFmtId="3" fontId="5" fillId="0" borderId="0" xfId="0" applyNumberFormat="1" applyFont="1"/>
    <xf numFmtId="4" fontId="5" fillId="0" borderId="0" xfId="0" applyNumberFormat="1" applyFont="1"/>
    <xf numFmtId="9" fontId="5" fillId="0" borderId="0" xfId="0" applyNumberFormat="1" applyFont="1"/>
    <xf numFmtId="9" fontId="6" fillId="0" borderId="0" xfId="0" applyNumberFormat="1" applyFont="1"/>
    <xf numFmtId="8" fontId="5" fillId="0" borderId="0" xfId="0" applyNumberFormat="1" applyFont="1"/>
    <xf numFmtId="0" fontId="2" fillId="0" borderId="0" xfId="0" applyFont="1"/>
    <xf numFmtId="3" fontId="1" fillId="0" borderId="0" xfId="0" applyNumberFormat="1" applyFont="1"/>
    <xf numFmtId="0" fontId="1" fillId="0" borderId="0" xfId="0" applyFont="1"/>
    <xf numFmtId="0" fontId="1" fillId="0" borderId="0" xfId="0" applyFon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22412</xdr:colOff>
      <xdr:row>0</xdr:row>
      <xdr:rowOff>11206</xdr:rowOff>
    </xdr:from>
    <xdr:to>
      <xdr:col>14</xdr:col>
      <xdr:colOff>22412</xdr:colOff>
      <xdr:row>53</xdr:row>
      <xdr:rowOff>56029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1923189C-97B0-48F1-83E6-28CEE3DB24D8}"/>
            </a:ext>
          </a:extLst>
        </xdr:cNvPr>
        <xdr:cNvCxnSpPr/>
      </xdr:nvCxnSpPr>
      <xdr:spPr>
        <a:xfrm>
          <a:off x="9222441" y="11206"/>
          <a:ext cx="0" cy="960344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33617</xdr:colOff>
      <xdr:row>0</xdr:row>
      <xdr:rowOff>22412</xdr:rowOff>
    </xdr:from>
    <xdr:to>
      <xdr:col>24</xdr:col>
      <xdr:colOff>33617</xdr:colOff>
      <xdr:row>53</xdr:row>
      <xdr:rowOff>44823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C3EA583E-80BC-493E-AC56-92615E69786C}"/>
            </a:ext>
          </a:extLst>
        </xdr:cNvPr>
        <xdr:cNvCxnSpPr/>
      </xdr:nvCxnSpPr>
      <xdr:spPr>
        <a:xfrm>
          <a:off x="15587382" y="22412"/>
          <a:ext cx="0" cy="958102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FE2EE-808C-4881-8368-9A49E6F82704}">
  <dimension ref="K3:M8"/>
  <sheetViews>
    <sheetView workbookViewId="0">
      <selection activeCell="G24" sqref="G24"/>
    </sheetView>
  </sheetViews>
  <sheetFormatPr defaultRowHeight="14.25" x14ac:dyDescent="0.2"/>
  <cols>
    <col min="1" max="12" width="9.140625" style="12"/>
    <col min="13" max="13" width="9.140625" style="13"/>
    <col min="14" max="16384" width="9.140625" style="12"/>
  </cols>
  <sheetData>
    <row r="3" spans="11:13" x14ac:dyDescent="0.2">
      <c r="K3" s="12" t="s">
        <v>0</v>
      </c>
      <c r="L3" s="12">
        <v>154.36000000000001</v>
      </c>
    </row>
    <row r="4" spans="11:13" x14ac:dyDescent="0.2">
      <c r="K4" s="12" t="s">
        <v>1</v>
      </c>
      <c r="L4" s="11">
        <v>1207.6099999999999</v>
      </c>
      <c r="M4" s="13" t="s">
        <v>6</v>
      </c>
    </row>
    <row r="5" spans="11:13" x14ac:dyDescent="0.2">
      <c r="K5" s="12" t="s">
        <v>2</v>
      </c>
      <c r="L5" s="11">
        <f>+L3*L4</f>
        <v>186406.6796</v>
      </c>
    </row>
    <row r="6" spans="11:13" x14ac:dyDescent="0.2">
      <c r="K6" s="12" t="s">
        <v>3</v>
      </c>
      <c r="L6" s="11">
        <f>2440+1168+69</f>
        <v>3677</v>
      </c>
      <c r="M6" s="13" t="s">
        <v>6</v>
      </c>
    </row>
    <row r="7" spans="11:13" x14ac:dyDescent="0.2">
      <c r="K7" s="12" t="s">
        <v>4</v>
      </c>
      <c r="L7" s="11">
        <f>1+312</f>
        <v>313</v>
      </c>
      <c r="M7" s="13" t="s">
        <v>6</v>
      </c>
    </row>
    <row r="8" spans="11:13" x14ac:dyDescent="0.2">
      <c r="K8" s="12" t="s">
        <v>5</v>
      </c>
      <c r="L8" s="11">
        <f>+L5-L6+L7</f>
        <v>183042.6796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B3780-03C5-499E-A185-54FA36F96B66}">
  <dimension ref="A1:X83"/>
  <sheetViews>
    <sheetView tabSelected="1" zoomScaleNormal="100" workbookViewId="0">
      <pane xSplit="2" ySplit="2" topLeftCell="C51" activePane="bottomRight" state="frozen"/>
      <selection pane="topRight" activeCell="C1" sqref="C1"/>
      <selection pane="bottomLeft" activeCell="A3" sqref="A3"/>
      <selection pane="bottomRight" activeCell="J69" sqref="J69"/>
    </sheetView>
  </sheetViews>
  <sheetFormatPr defaultRowHeight="14.25" x14ac:dyDescent="0.2"/>
  <cols>
    <col min="1" max="1" width="5" style="2" customWidth="1"/>
    <col min="2" max="2" width="26.85546875" style="2" bestFit="1" customWidth="1"/>
    <col min="3" max="3" width="8.28515625" style="2" customWidth="1"/>
    <col min="4" max="4" width="7.5703125" style="2" customWidth="1"/>
    <col min="5" max="5" width="8.42578125" style="2" customWidth="1"/>
    <col min="6" max="6" width="9.5703125" style="2" customWidth="1"/>
    <col min="7" max="7" width="8.7109375" style="2" customWidth="1"/>
    <col min="8" max="20" width="9.140625" style="2"/>
    <col min="21" max="21" width="13.5703125" style="2" bestFit="1" customWidth="1"/>
    <col min="22" max="16384" width="9.140625" style="2"/>
  </cols>
  <sheetData>
    <row r="1" spans="1:24" x14ac:dyDescent="0.2">
      <c r="A1" s="1" t="s">
        <v>7</v>
      </c>
    </row>
    <row r="2" spans="1:24" x14ac:dyDescent="0.2">
      <c r="C2" s="2" t="s">
        <v>81</v>
      </c>
      <c r="D2" s="2" t="s">
        <v>82</v>
      </c>
      <c r="E2" s="2" t="s">
        <v>83</v>
      </c>
      <c r="F2" s="2" t="s">
        <v>84</v>
      </c>
      <c r="G2" s="2" t="s">
        <v>8</v>
      </c>
      <c r="H2" s="2" t="s">
        <v>9</v>
      </c>
      <c r="I2" s="2" t="s">
        <v>10</v>
      </c>
      <c r="J2" s="2" t="s">
        <v>11</v>
      </c>
      <c r="K2" s="2" t="s">
        <v>12</v>
      </c>
      <c r="L2" s="2" t="s">
        <v>13</v>
      </c>
      <c r="M2" s="2" t="s">
        <v>6</v>
      </c>
      <c r="N2" s="2" t="s">
        <v>14</v>
      </c>
      <c r="O2" s="2" t="s">
        <v>15</v>
      </c>
      <c r="P2" s="2" t="s">
        <v>16</v>
      </c>
      <c r="Q2" s="2" t="s">
        <v>17</v>
      </c>
      <c r="R2" s="2" t="s">
        <v>18</v>
      </c>
      <c r="V2" s="2">
        <v>2019</v>
      </c>
      <c r="W2" s="2">
        <f>+V2+1</f>
        <v>2020</v>
      </c>
      <c r="X2" s="2">
        <v>2021</v>
      </c>
    </row>
    <row r="3" spans="1:24" s="3" customFormat="1" ht="15" x14ac:dyDescent="0.25">
      <c r="B3" s="3" t="s">
        <v>19</v>
      </c>
      <c r="C3" s="4">
        <v>1272</v>
      </c>
      <c r="D3" s="4">
        <v>1531</v>
      </c>
      <c r="E3" s="4">
        <v>1801</v>
      </c>
      <c r="F3" s="4">
        <v>1419</v>
      </c>
      <c r="G3" s="4">
        <v>1786</v>
      </c>
      <c r="H3" s="4">
        <v>1932</v>
      </c>
      <c r="I3" s="4">
        <v>2801</v>
      </c>
      <c r="J3" s="4">
        <v>3244</v>
      </c>
      <c r="K3" s="4">
        <v>3445</v>
      </c>
      <c r="L3" s="4">
        <v>3850</v>
      </c>
      <c r="M3" s="4">
        <v>4313</v>
      </c>
      <c r="N3" s="4">
        <v>4826</v>
      </c>
      <c r="O3" s="4"/>
      <c r="P3" s="4"/>
      <c r="Q3" s="4"/>
      <c r="R3" s="4"/>
      <c r="V3" s="4">
        <f>+SUM(C3:F3)</f>
        <v>6023</v>
      </c>
      <c r="W3" s="4">
        <f>+SUM(G3:J3)</f>
        <v>9763</v>
      </c>
      <c r="X3" s="4">
        <f>+SUM(K3:N3)</f>
        <v>16434</v>
      </c>
    </row>
    <row r="4" spans="1:24" x14ac:dyDescent="0.2">
      <c r="B4" s="2" t="s">
        <v>20</v>
      </c>
      <c r="C4" s="5">
        <v>751</v>
      </c>
      <c r="D4" s="5">
        <v>910</v>
      </c>
      <c r="E4" s="5">
        <v>1024</v>
      </c>
      <c r="F4" s="5">
        <v>882</v>
      </c>
      <c r="G4" s="5">
        <v>968</v>
      </c>
      <c r="H4" s="5">
        <v>1084</v>
      </c>
      <c r="I4" s="5">
        <v>1571</v>
      </c>
      <c r="J4" s="5">
        <v>1793</v>
      </c>
      <c r="K4" s="5">
        <v>1858</v>
      </c>
      <c r="L4" s="5">
        <v>2020</v>
      </c>
      <c r="M4" s="5">
        <v>2227</v>
      </c>
      <c r="N4" s="5">
        <v>2400</v>
      </c>
      <c r="O4" s="5"/>
      <c r="P4" s="5"/>
      <c r="Q4" s="5"/>
      <c r="R4" s="5"/>
      <c r="V4" s="5">
        <f>+SUM(C4:F4)</f>
        <v>3567</v>
      </c>
      <c r="W4" s="5">
        <f t="shared" ref="W4:W15" si="0">+SUM(G4:J4)</f>
        <v>5416</v>
      </c>
      <c r="X4" s="11">
        <f t="shared" ref="X4:X15" si="1">+SUM(K4:N4)</f>
        <v>8505</v>
      </c>
    </row>
    <row r="5" spans="1:24" x14ac:dyDescent="0.2">
      <c r="B5" s="2" t="s">
        <v>21</v>
      </c>
      <c r="C5" s="5">
        <f t="shared" ref="C5:M5" si="2">+C3-C4</f>
        <v>521</v>
      </c>
      <c r="D5" s="5">
        <f t="shared" si="2"/>
        <v>621</v>
      </c>
      <c r="E5" s="5">
        <f t="shared" si="2"/>
        <v>777</v>
      </c>
      <c r="F5" s="5">
        <f t="shared" si="2"/>
        <v>537</v>
      </c>
      <c r="G5" s="5">
        <f t="shared" si="2"/>
        <v>818</v>
      </c>
      <c r="H5" s="5">
        <f t="shared" si="2"/>
        <v>848</v>
      </c>
      <c r="I5" s="5">
        <f t="shared" si="2"/>
        <v>1230</v>
      </c>
      <c r="J5" s="5">
        <f t="shared" si="2"/>
        <v>1451</v>
      </c>
      <c r="K5" s="5">
        <f t="shared" si="2"/>
        <v>1587</v>
      </c>
      <c r="L5" s="5">
        <f t="shared" si="2"/>
        <v>1830</v>
      </c>
      <c r="M5" s="5">
        <f t="shared" si="2"/>
        <v>2086</v>
      </c>
      <c r="N5" s="5">
        <f t="shared" ref="N5" si="3">+N3-N4</f>
        <v>2426</v>
      </c>
      <c r="O5" s="5"/>
      <c r="P5" s="5"/>
      <c r="Q5" s="5"/>
      <c r="R5" s="5"/>
      <c r="V5" s="5">
        <f t="shared" ref="V5:V15" si="4">+SUM(C5:F5)</f>
        <v>2456</v>
      </c>
      <c r="W5" s="5">
        <f t="shared" si="0"/>
        <v>4347</v>
      </c>
      <c r="X5" s="11">
        <f t="shared" si="1"/>
        <v>7929</v>
      </c>
    </row>
    <row r="6" spans="1:24" x14ac:dyDescent="0.2">
      <c r="B6" s="2" t="s">
        <v>22</v>
      </c>
      <c r="C6" s="2">
        <v>373</v>
      </c>
      <c r="D6" s="2">
        <v>373</v>
      </c>
      <c r="E6" s="2">
        <v>406</v>
      </c>
      <c r="F6" s="2">
        <v>371</v>
      </c>
      <c r="G6" s="2">
        <v>442</v>
      </c>
      <c r="H6" s="2">
        <v>460</v>
      </c>
      <c r="I6" s="2">
        <v>508</v>
      </c>
      <c r="J6" s="2">
        <v>573</v>
      </c>
      <c r="K6" s="2">
        <v>610</v>
      </c>
      <c r="L6" s="2">
        <v>659</v>
      </c>
      <c r="M6" s="2">
        <v>765</v>
      </c>
      <c r="N6" s="2">
        <v>811</v>
      </c>
      <c r="O6" s="5"/>
      <c r="P6" s="5"/>
      <c r="Q6" s="5"/>
      <c r="R6" s="5"/>
      <c r="V6" s="5">
        <f t="shared" si="4"/>
        <v>1523</v>
      </c>
      <c r="W6" s="5">
        <f t="shared" si="0"/>
        <v>1983</v>
      </c>
      <c r="X6" s="11">
        <f t="shared" si="1"/>
        <v>2845</v>
      </c>
    </row>
    <row r="7" spans="1:24" x14ac:dyDescent="0.2">
      <c r="B7" s="2" t="s">
        <v>23</v>
      </c>
      <c r="C7" s="5">
        <v>170</v>
      </c>
      <c r="D7" s="5">
        <v>189</v>
      </c>
      <c r="E7" s="5">
        <v>185</v>
      </c>
      <c r="F7" s="5">
        <v>138</v>
      </c>
      <c r="G7" s="5">
        <v>199</v>
      </c>
      <c r="H7" s="5">
        <v>215</v>
      </c>
      <c r="I7" s="5">
        <v>273</v>
      </c>
      <c r="J7" s="5">
        <v>308</v>
      </c>
      <c r="K7" s="5">
        <v>319</v>
      </c>
      <c r="L7" s="5">
        <v>341</v>
      </c>
      <c r="M7" s="5">
        <v>376</v>
      </c>
      <c r="N7" s="5">
        <v>412</v>
      </c>
      <c r="O7" s="5"/>
      <c r="P7" s="5"/>
      <c r="Q7" s="5"/>
      <c r="R7" s="5"/>
      <c r="V7" s="5">
        <f t="shared" si="4"/>
        <v>682</v>
      </c>
      <c r="W7" s="5">
        <f t="shared" si="0"/>
        <v>995</v>
      </c>
      <c r="X7" s="11">
        <f t="shared" si="1"/>
        <v>1448</v>
      </c>
    </row>
    <row r="8" spans="1:24" x14ac:dyDescent="0.2">
      <c r="B8" s="2" t="s">
        <v>24</v>
      </c>
      <c r="C8" s="5">
        <v>-60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-4</v>
      </c>
      <c r="L8" s="5">
        <v>-1</v>
      </c>
      <c r="M8" s="5">
        <v>-3</v>
      </c>
      <c r="N8" s="5">
        <v>-4</v>
      </c>
      <c r="V8" s="5">
        <f t="shared" si="4"/>
        <v>-60</v>
      </c>
      <c r="W8" s="5">
        <f t="shared" si="0"/>
        <v>0</v>
      </c>
      <c r="X8" s="11">
        <f t="shared" si="1"/>
        <v>-12</v>
      </c>
    </row>
    <row r="9" spans="1:24" x14ac:dyDescent="0.2">
      <c r="B9" s="2" t="s">
        <v>25</v>
      </c>
      <c r="C9" s="2">
        <f t="shared" ref="C9:M9" si="5">+SUM(C6:C8)</f>
        <v>483</v>
      </c>
      <c r="D9" s="2">
        <f t="shared" si="5"/>
        <v>562</v>
      </c>
      <c r="E9" s="2">
        <f t="shared" si="5"/>
        <v>591</v>
      </c>
      <c r="F9" s="2">
        <f t="shared" si="5"/>
        <v>509</v>
      </c>
      <c r="G9" s="2">
        <f t="shared" si="5"/>
        <v>641</v>
      </c>
      <c r="H9" s="2">
        <f t="shared" si="5"/>
        <v>675</v>
      </c>
      <c r="I9" s="2">
        <f t="shared" si="5"/>
        <v>781</v>
      </c>
      <c r="J9" s="2">
        <f t="shared" si="5"/>
        <v>881</v>
      </c>
      <c r="K9" s="2">
        <f t="shared" si="5"/>
        <v>925</v>
      </c>
      <c r="L9" s="2">
        <f t="shared" si="5"/>
        <v>999</v>
      </c>
      <c r="M9" s="2">
        <f t="shared" si="5"/>
        <v>1138</v>
      </c>
      <c r="N9" s="2">
        <f t="shared" ref="N9" si="6">+SUM(N6:N8)</f>
        <v>1219</v>
      </c>
      <c r="O9" s="5"/>
      <c r="P9" s="5"/>
      <c r="Q9" s="5"/>
      <c r="R9" s="5"/>
      <c r="V9" s="5">
        <f t="shared" si="4"/>
        <v>2145</v>
      </c>
      <c r="W9" s="5">
        <f t="shared" si="0"/>
        <v>2978</v>
      </c>
      <c r="X9" s="11">
        <f t="shared" si="1"/>
        <v>4281</v>
      </c>
    </row>
    <row r="10" spans="1:24" x14ac:dyDescent="0.2">
      <c r="B10" s="2" t="s">
        <v>26</v>
      </c>
      <c r="C10" s="5">
        <f t="shared" ref="C10:M10" si="7">+C5-C9</f>
        <v>38</v>
      </c>
      <c r="D10" s="5">
        <f t="shared" si="7"/>
        <v>59</v>
      </c>
      <c r="E10" s="5">
        <f t="shared" si="7"/>
        <v>186</v>
      </c>
      <c r="F10" s="5">
        <f t="shared" si="7"/>
        <v>28</v>
      </c>
      <c r="G10" s="5">
        <f t="shared" si="7"/>
        <v>177</v>
      </c>
      <c r="H10" s="5">
        <f t="shared" si="7"/>
        <v>173</v>
      </c>
      <c r="I10" s="5">
        <f t="shared" si="7"/>
        <v>449</v>
      </c>
      <c r="J10" s="5">
        <f t="shared" si="7"/>
        <v>570</v>
      </c>
      <c r="K10" s="5">
        <f t="shared" si="7"/>
        <v>662</v>
      </c>
      <c r="L10" s="5">
        <f t="shared" si="7"/>
        <v>831</v>
      </c>
      <c r="M10" s="5">
        <f t="shared" si="7"/>
        <v>948</v>
      </c>
      <c r="N10" s="5">
        <f t="shared" ref="N10" si="8">+N5-N9</f>
        <v>1207</v>
      </c>
      <c r="O10" s="5"/>
      <c r="P10" s="5"/>
      <c r="Q10" s="5"/>
      <c r="R10" s="5"/>
      <c r="V10" s="5">
        <f t="shared" si="4"/>
        <v>311</v>
      </c>
      <c r="W10" s="5">
        <f t="shared" si="0"/>
        <v>1369</v>
      </c>
      <c r="X10" s="11">
        <f t="shared" si="1"/>
        <v>3648</v>
      </c>
    </row>
    <row r="11" spans="1:24" x14ac:dyDescent="0.2">
      <c r="B11" s="2" t="s">
        <v>36</v>
      </c>
      <c r="C11" s="2">
        <f>+-27+-7</f>
        <v>-34</v>
      </c>
      <c r="D11" s="2">
        <f>+-25+3</f>
        <v>-22</v>
      </c>
      <c r="E11" s="2">
        <f>+-24+-36</f>
        <v>-60</v>
      </c>
      <c r="F11" s="2">
        <f>+-29+4</f>
        <v>-25</v>
      </c>
      <c r="G11" s="2">
        <f>+-13+4</f>
        <v>-9</v>
      </c>
      <c r="H11" s="2">
        <f>+-14+1</f>
        <v>-13</v>
      </c>
      <c r="I11" s="2">
        <f>+-11+-37</f>
        <v>-48</v>
      </c>
      <c r="J11" s="2">
        <f>+-9+-15</f>
        <v>-24</v>
      </c>
      <c r="K11" s="2">
        <f>+-9+-11</f>
        <v>-20</v>
      </c>
      <c r="L11" s="2">
        <f>+-10</f>
        <v>-10</v>
      </c>
      <c r="M11" s="2">
        <f>+-7+62</f>
        <v>55</v>
      </c>
      <c r="N11" s="2">
        <f>+-8+4</f>
        <v>-4</v>
      </c>
      <c r="O11" s="5"/>
      <c r="P11" s="5"/>
      <c r="Q11" s="5"/>
      <c r="R11" s="5"/>
      <c r="V11" s="5">
        <f t="shared" si="4"/>
        <v>-141</v>
      </c>
      <c r="W11" s="5">
        <f t="shared" si="0"/>
        <v>-94</v>
      </c>
      <c r="X11" s="11">
        <f t="shared" si="1"/>
        <v>21</v>
      </c>
    </row>
    <row r="12" spans="1:24" x14ac:dyDescent="0.2">
      <c r="B12" s="2" t="s">
        <v>27</v>
      </c>
      <c r="C12" s="5">
        <f t="shared" ref="C12:M12" si="9">+C10+C11</f>
        <v>4</v>
      </c>
      <c r="D12" s="5">
        <f t="shared" si="9"/>
        <v>37</v>
      </c>
      <c r="E12" s="5">
        <f t="shared" si="9"/>
        <v>126</v>
      </c>
      <c r="F12" s="5">
        <f t="shared" si="9"/>
        <v>3</v>
      </c>
      <c r="G12" s="5">
        <f t="shared" si="9"/>
        <v>168</v>
      </c>
      <c r="H12" s="5">
        <f t="shared" si="9"/>
        <v>160</v>
      </c>
      <c r="I12" s="5">
        <f t="shared" si="9"/>
        <v>401</v>
      </c>
      <c r="J12" s="5">
        <f t="shared" si="9"/>
        <v>546</v>
      </c>
      <c r="K12" s="5">
        <f t="shared" si="9"/>
        <v>642</v>
      </c>
      <c r="L12" s="5">
        <f t="shared" si="9"/>
        <v>821</v>
      </c>
      <c r="M12" s="5">
        <f t="shared" si="9"/>
        <v>1003</v>
      </c>
      <c r="N12" s="5">
        <f t="shared" ref="N12" si="10">+N10+N11</f>
        <v>1203</v>
      </c>
      <c r="O12" s="5"/>
      <c r="P12" s="5"/>
      <c r="Q12" s="5"/>
      <c r="R12" s="5"/>
      <c r="V12" s="5">
        <f t="shared" si="4"/>
        <v>170</v>
      </c>
      <c r="W12" s="5">
        <f t="shared" si="0"/>
        <v>1275</v>
      </c>
      <c r="X12" s="11">
        <f t="shared" si="1"/>
        <v>3669</v>
      </c>
    </row>
    <row r="13" spans="1:24" x14ac:dyDescent="0.2">
      <c r="B13" s="2" t="s">
        <v>29</v>
      </c>
      <c r="C13" s="5">
        <v>-13</v>
      </c>
      <c r="D13" s="5">
        <v>2</v>
      </c>
      <c r="E13" s="5">
        <v>7</v>
      </c>
      <c r="F13" s="5">
        <v>-35</v>
      </c>
      <c r="G13" s="5">
        <v>6</v>
      </c>
      <c r="H13" s="5">
        <v>4</v>
      </c>
      <c r="I13" s="5">
        <v>12</v>
      </c>
      <c r="J13" s="5">
        <v>-1232</v>
      </c>
      <c r="K13" s="5">
        <v>89</v>
      </c>
      <c r="L13" s="5">
        <v>113</v>
      </c>
      <c r="M13" s="5">
        <v>82</v>
      </c>
      <c r="N13" s="5">
        <v>229</v>
      </c>
      <c r="O13" s="5"/>
      <c r="P13" s="5"/>
      <c r="Q13" s="5"/>
      <c r="R13" s="5"/>
      <c r="V13" s="5">
        <f t="shared" si="4"/>
        <v>-39</v>
      </c>
      <c r="W13" s="5">
        <f t="shared" si="0"/>
        <v>-1210</v>
      </c>
      <c r="X13" s="11">
        <f t="shared" si="1"/>
        <v>513</v>
      </c>
    </row>
    <row r="14" spans="1:24" x14ac:dyDescent="0.2">
      <c r="B14" s="2" t="s">
        <v>31</v>
      </c>
      <c r="C14" s="5">
        <v>-1</v>
      </c>
      <c r="D14" s="5">
        <v>0</v>
      </c>
      <c r="E14" s="5">
        <v>1</v>
      </c>
      <c r="F14" s="5">
        <v>0</v>
      </c>
      <c r="G14" s="5">
        <v>0</v>
      </c>
      <c r="H14" s="5">
        <v>1</v>
      </c>
      <c r="I14" s="5">
        <v>1</v>
      </c>
      <c r="J14" s="5">
        <v>3</v>
      </c>
      <c r="K14" s="5">
        <v>2</v>
      </c>
      <c r="L14" s="5">
        <v>2</v>
      </c>
      <c r="M14" s="5">
        <v>2</v>
      </c>
      <c r="N14" s="5">
        <v>0</v>
      </c>
      <c r="V14" s="5">
        <f t="shared" si="4"/>
        <v>0</v>
      </c>
      <c r="W14" s="5">
        <f t="shared" si="0"/>
        <v>5</v>
      </c>
      <c r="X14" s="11">
        <f t="shared" si="1"/>
        <v>6</v>
      </c>
    </row>
    <row r="15" spans="1:24" s="3" customFormat="1" ht="15" x14ac:dyDescent="0.25">
      <c r="B15" s="3" t="s">
        <v>30</v>
      </c>
      <c r="C15" s="4">
        <f t="shared" ref="C15:M15" si="11">+C12-C13+C14</f>
        <v>16</v>
      </c>
      <c r="D15" s="4">
        <f t="shared" si="11"/>
        <v>35</v>
      </c>
      <c r="E15" s="4">
        <f t="shared" si="11"/>
        <v>120</v>
      </c>
      <c r="F15" s="4">
        <f t="shared" si="11"/>
        <v>38</v>
      </c>
      <c r="G15" s="4">
        <f t="shared" si="11"/>
        <v>162</v>
      </c>
      <c r="H15" s="4">
        <f t="shared" si="11"/>
        <v>157</v>
      </c>
      <c r="I15" s="4">
        <f t="shared" si="11"/>
        <v>390</v>
      </c>
      <c r="J15" s="4">
        <f t="shared" si="11"/>
        <v>1781</v>
      </c>
      <c r="K15" s="4">
        <f t="shared" si="11"/>
        <v>555</v>
      </c>
      <c r="L15" s="4">
        <f t="shared" si="11"/>
        <v>710</v>
      </c>
      <c r="M15" s="4">
        <f t="shared" si="11"/>
        <v>923</v>
      </c>
      <c r="N15" s="4">
        <f t="shared" ref="N15" si="12">+N12-N13+N14</f>
        <v>974</v>
      </c>
      <c r="O15" s="4"/>
      <c r="P15" s="4"/>
      <c r="Q15" s="4"/>
      <c r="R15" s="4"/>
      <c r="V15" s="4">
        <f t="shared" si="4"/>
        <v>209</v>
      </c>
      <c r="W15" s="4">
        <f t="shared" si="0"/>
        <v>2490</v>
      </c>
      <c r="X15" s="4">
        <f t="shared" si="1"/>
        <v>3162</v>
      </c>
    </row>
    <row r="16" spans="1:24" x14ac:dyDescent="0.2">
      <c r="B16" s="2" t="s">
        <v>32</v>
      </c>
      <c r="C16" s="6">
        <f t="shared" ref="C16:M16" si="13">+C15/C17</f>
        <v>1.4625228519195612E-2</v>
      </c>
      <c r="D16" s="6">
        <f t="shared" si="13"/>
        <v>3.1559963931469794E-2</v>
      </c>
      <c r="E16" s="6">
        <f t="shared" si="13"/>
        <v>0.10743061772605192</v>
      </c>
      <c r="F16" s="6">
        <f t="shared" si="13"/>
        <v>3.5217794253938832E-2</v>
      </c>
      <c r="G16" s="6">
        <f t="shared" si="13"/>
        <v>0.13235294117647059</v>
      </c>
      <c r="H16" s="6">
        <f t="shared" si="13"/>
        <v>0.12795436022819887</v>
      </c>
      <c r="I16" s="6">
        <f t="shared" si="13"/>
        <v>0.31707317073170732</v>
      </c>
      <c r="J16" s="6">
        <f t="shared" si="13"/>
        <v>1.4526916802610115</v>
      </c>
      <c r="K16" s="6">
        <f t="shared" si="13"/>
        <v>0.45085296506904954</v>
      </c>
      <c r="L16" s="6">
        <f t="shared" si="13"/>
        <v>0.57629870129870131</v>
      </c>
      <c r="M16" s="6">
        <f t="shared" si="13"/>
        <v>0.75967078189300408</v>
      </c>
      <c r="N16" s="6">
        <f t="shared" ref="N16" si="14">+N15/N17</f>
        <v>0.79705400981996721</v>
      </c>
      <c r="V16" s="6">
        <f>+V15/V17</f>
        <v>0.19004319163446237</v>
      </c>
      <c r="W16" s="6">
        <f>+W15/W17</f>
        <v>2.0297534134909312</v>
      </c>
      <c r="X16" s="6">
        <f>+AVERAGE(K16:N16)</f>
        <v>0.64596911452018058</v>
      </c>
    </row>
    <row r="17" spans="2:24" x14ac:dyDescent="0.2">
      <c r="B17" s="2" t="s">
        <v>1</v>
      </c>
      <c r="C17" s="5">
        <v>1094</v>
      </c>
      <c r="D17" s="5">
        <v>1109</v>
      </c>
      <c r="E17" s="5">
        <v>1117</v>
      </c>
      <c r="F17" s="5">
        <v>1079</v>
      </c>
      <c r="G17" s="5">
        <v>1224</v>
      </c>
      <c r="H17" s="5">
        <v>1227</v>
      </c>
      <c r="I17" s="5">
        <v>1230</v>
      </c>
      <c r="J17" s="5">
        <v>1226</v>
      </c>
      <c r="K17" s="5">
        <v>1231</v>
      </c>
      <c r="L17" s="5">
        <v>1232</v>
      </c>
      <c r="M17" s="5">
        <v>1215</v>
      </c>
      <c r="N17" s="5">
        <v>1222</v>
      </c>
      <c r="O17" s="5"/>
      <c r="P17" s="5"/>
      <c r="Q17" s="5"/>
      <c r="R17" s="5"/>
      <c r="V17" s="5">
        <f>+AVERAGE(C17:F17)</f>
        <v>1099.75</v>
      </c>
      <c r="W17" s="5">
        <f>+AVERAGE(G17:J17)</f>
        <v>1226.75</v>
      </c>
      <c r="X17" s="5">
        <f>+AVERAGE(K17:N17)</f>
        <v>1225</v>
      </c>
    </row>
    <row r="20" spans="2:24" x14ac:dyDescent="0.2">
      <c r="B20" s="2" t="s">
        <v>28</v>
      </c>
      <c r="C20" s="7">
        <f t="shared" ref="C20:I20" si="15">+C5/C3</f>
        <v>0.40959119496855345</v>
      </c>
      <c r="D20" s="7">
        <f t="shared" si="15"/>
        <v>0.40561724363161333</v>
      </c>
      <c r="E20" s="7">
        <f t="shared" si="15"/>
        <v>0.43142698500832871</v>
      </c>
      <c r="F20" s="7">
        <f t="shared" si="15"/>
        <v>0.3784355179704017</v>
      </c>
      <c r="G20" s="7">
        <f t="shared" si="15"/>
        <v>0.45800671892497202</v>
      </c>
      <c r="H20" s="7">
        <f t="shared" si="15"/>
        <v>0.43892339544513459</v>
      </c>
      <c r="I20" s="7">
        <f t="shared" si="15"/>
        <v>0.43912888254194932</v>
      </c>
      <c r="J20" s="7">
        <f t="shared" ref="J20" si="16">+J5/J3</f>
        <v>0.44728729963008629</v>
      </c>
      <c r="K20" s="7">
        <f t="shared" ref="K20:L20" si="17">+K5/K3</f>
        <v>0.46066763425253993</v>
      </c>
      <c r="L20" s="7">
        <f t="shared" si="17"/>
        <v>0.47532467532467532</v>
      </c>
      <c r="M20" s="7">
        <f>+M5/M3</f>
        <v>0.48365406909343844</v>
      </c>
      <c r="N20" s="7">
        <f>+N5/N3</f>
        <v>0.50269374222958974</v>
      </c>
      <c r="O20" s="7"/>
      <c r="P20" s="7"/>
      <c r="Q20" s="7"/>
      <c r="R20" s="7"/>
      <c r="V20" s="7">
        <f>+V5/V3</f>
        <v>0.40777021417898057</v>
      </c>
      <c r="W20" s="7">
        <f>+W5/W3</f>
        <v>0.44525248386766364</v>
      </c>
      <c r="X20" s="7">
        <f>+X5/X3</f>
        <v>0.48247535596933189</v>
      </c>
    </row>
    <row r="21" spans="2:24" x14ac:dyDescent="0.2">
      <c r="B21" s="2" t="s">
        <v>34</v>
      </c>
      <c r="C21" s="7">
        <f t="shared" ref="C21:I21" si="18">+C10/C3</f>
        <v>2.9874213836477988E-2</v>
      </c>
      <c r="D21" s="7">
        <f t="shared" si="18"/>
        <v>3.8536903984323974E-2</v>
      </c>
      <c r="E21" s="7">
        <f t="shared" si="18"/>
        <v>0.10327595780122155</v>
      </c>
      <c r="F21" s="7">
        <f t="shared" si="18"/>
        <v>1.9732205778717406E-2</v>
      </c>
      <c r="G21" s="7">
        <f t="shared" si="18"/>
        <v>9.9104143337066075E-2</v>
      </c>
      <c r="H21" s="7">
        <f t="shared" si="18"/>
        <v>8.9544513457556929E-2</v>
      </c>
      <c r="I21" s="7">
        <f t="shared" si="18"/>
        <v>0.16029989289539451</v>
      </c>
      <c r="J21" s="7">
        <f t="shared" ref="J21" si="19">+J10/J3</f>
        <v>0.17570900123304561</v>
      </c>
      <c r="K21" s="7">
        <f t="shared" ref="K21:L21" si="20">+K10/K3</f>
        <v>0.19216255442670538</v>
      </c>
      <c r="L21" s="7">
        <f t="shared" si="20"/>
        <v>0.21584415584415584</v>
      </c>
      <c r="M21" s="7">
        <f>+M10/M3</f>
        <v>0.21980060282865754</v>
      </c>
      <c r="N21" s="7">
        <f>+N10/N3</f>
        <v>0.25010360547036886</v>
      </c>
      <c r="O21" s="7"/>
      <c r="P21" s="7"/>
      <c r="Q21" s="7"/>
      <c r="R21" s="7"/>
      <c r="V21" s="7">
        <f>+V10/V3</f>
        <v>5.1635397642370913E-2</v>
      </c>
      <c r="W21" s="7">
        <f>+W10/W3</f>
        <v>0.14022329202089523</v>
      </c>
      <c r="X21" s="7">
        <f>+X10/X3</f>
        <v>0.22197882438846295</v>
      </c>
    </row>
    <row r="22" spans="2:24" x14ac:dyDescent="0.2">
      <c r="B22" s="2" t="s">
        <v>35</v>
      </c>
      <c r="C22" s="7">
        <f t="shared" ref="C22:I22" si="21">+C13/C12</f>
        <v>-3.25</v>
      </c>
      <c r="D22" s="7">
        <f t="shared" si="21"/>
        <v>5.4054054054054057E-2</v>
      </c>
      <c r="E22" s="7">
        <f t="shared" si="21"/>
        <v>5.5555555555555552E-2</v>
      </c>
      <c r="F22" s="7">
        <f t="shared" si="21"/>
        <v>-11.666666666666666</v>
      </c>
      <c r="G22" s="7">
        <f t="shared" si="21"/>
        <v>3.5714285714285712E-2</v>
      </c>
      <c r="H22" s="7">
        <f t="shared" si="21"/>
        <v>2.5000000000000001E-2</v>
      </c>
      <c r="I22" s="7">
        <f t="shared" si="21"/>
        <v>2.9925187032418952E-2</v>
      </c>
      <c r="J22" s="7">
        <f t="shared" ref="J22" si="22">+J13/J12</f>
        <v>-2.2564102564102564</v>
      </c>
      <c r="K22" s="7">
        <f t="shared" ref="K22:L22" si="23">+K13/K12</f>
        <v>0.13862928348909656</v>
      </c>
      <c r="L22" s="7">
        <f t="shared" si="23"/>
        <v>0.13763702801461633</v>
      </c>
      <c r="M22" s="7">
        <f>+M13/M12</f>
        <v>8.175473579262213E-2</v>
      </c>
      <c r="N22" s="7">
        <f>+N13/N12</f>
        <v>0.19035743973399832</v>
      </c>
      <c r="O22" s="7"/>
      <c r="P22" s="7"/>
      <c r="Q22" s="7"/>
      <c r="R22" s="7"/>
      <c r="V22" s="7">
        <f>+V13/V12</f>
        <v>-0.22941176470588234</v>
      </c>
      <c r="W22" s="7">
        <f>+W13/W12</f>
        <v>-0.94901960784313721</v>
      </c>
      <c r="X22" s="7">
        <f>+X13/X12</f>
        <v>0.13982011447260834</v>
      </c>
    </row>
    <row r="23" spans="2:24" x14ac:dyDescent="0.2">
      <c r="I23" s="7"/>
      <c r="M23" s="7"/>
      <c r="N23" s="7"/>
    </row>
    <row r="24" spans="2:24" x14ac:dyDescent="0.2">
      <c r="B24" s="2" t="s">
        <v>33</v>
      </c>
      <c r="G24" s="7">
        <f>+G3/C3-1</f>
        <v>0.40408805031446549</v>
      </c>
      <c r="H24" s="7">
        <f t="shared" ref="H24" si="24">+H3/D3-1</f>
        <v>0.26192031352057477</v>
      </c>
      <c r="I24" s="7">
        <f t="shared" ref="I24" si="25">+I3/E3-1</f>
        <v>0.55524708495280395</v>
      </c>
      <c r="J24" s="7">
        <f>+J3/F3-1</f>
        <v>1.2861169837914024</v>
      </c>
      <c r="K24" s="7">
        <f>+K3/G3-1</f>
        <v>0.92889137737961924</v>
      </c>
      <c r="L24" s="7">
        <f>+L3/H3-1</f>
        <v>0.99275362318840576</v>
      </c>
      <c r="M24" s="7">
        <f>+M3/I3-1</f>
        <v>0.5398072117101036</v>
      </c>
      <c r="N24" s="7">
        <f>+N3/J3-1</f>
        <v>0.48766954377311955</v>
      </c>
      <c r="O24" s="7"/>
      <c r="P24" s="7"/>
      <c r="Q24" s="7"/>
      <c r="R24" s="7"/>
      <c r="W24" s="7">
        <f>+W3/V3-1</f>
        <v>0.62095301344844755</v>
      </c>
      <c r="X24" s="7">
        <f>+X3/W3-1</f>
        <v>0.68329406944586712</v>
      </c>
    </row>
    <row r="25" spans="2:24" x14ac:dyDescent="0.2">
      <c r="B25" s="2" t="s">
        <v>79</v>
      </c>
      <c r="G25" s="7">
        <f t="shared" ref="G25:J26" si="26">+G6/C6-1</f>
        <v>0.18498659517426264</v>
      </c>
      <c r="H25" s="7">
        <f t="shared" si="26"/>
        <v>0.23324396782841816</v>
      </c>
      <c r="I25" s="7">
        <f t="shared" si="26"/>
        <v>0.25123152709359609</v>
      </c>
      <c r="J25" s="7">
        <f t="shared" si="26"/>
        <v>0.54447439353099725</v>
      </c>
      <c r="K25" s="7">
        <f>+K6/G6-1</f>
        <v>0.38009049773755654</v>
      </c>
      <c r="L25" s="7">
        <f t="shared" ref="L25" si="27">+L6/H6-1</f>
        <v>0.43260869565217397</v>
      </c>
      <c r="M25" s="7">
        <f>+M6/I6-1</f>
        <v>0.50590551181102361</v>
      </c>
      <c r="N25" s="7">
        <f>+N6/J6-1</f>
        <v>0.41535776614310649</v>
      </c>
      <c r="O25" s="7"/>
      <c r="P25" s="7"/>
      <c r="Q25" s="7"/>
      <c r="R25" s="7"/>
      <c r="W25" s="7">
        <f>+W6/V6-1</f>
        <v>0.30203545633617868</v>
      </c>
      <c r="X25" s="7">
        <f>+X6/W6-1</f>
        <v>0.43469490670700961</v>
      </c>
    </row>
    <row r="26" spans="2:24" x14ac:dyDescent="0.2">
      <c r="B26" s="2" t="s">
        <v>80</v>
      </c>
      <c r="G26" s="7">
        <f t="shared" si="26"/>
        <v>0.17058823529411771</v>
      </c>
      <c r="H26" s="7">
        <f t="shared" si="26"/>
        <v>0.13756613756613767</v>
      </c>
      <c r="I26" s="7">
        <f t="shared" ref="I26" si="28">+I7/E7-1</f>
        <v>0.4756756756756757</v>
      </c>
      <c r="J26" s="7">
        <f>+J7/F7-1</f>
        <v>1.2318840579710146</v>
      </c>
      <c r="K26" s="7">
        <f t="shared" ref="K26" si="29">+K7/G7-1</f>
        <v>0.60301507537688437</v>
      </c>
      <c r="L26" s="7">
        <f t="shared" ref="L26" si="30">+L7/H7-1</f>
        <v>0.586046511627907</v>
      </c>
      <c r="M26" s="7">
        <f t="shared" ref="M26:N26" si="31">+M7/I7-1</f>
        <v>0.37728937728937728</v>
      </c>
      <c r="N26" s="7">
        <f t="shared" si="31"/>
        <v>0.33766233766233755</v>
      </c>
      <c r="O26" s="7"/>
      <c r="P26" s="7"/>
      <c r="Q26" s="7"/>
      <c r="R26" s="7"/>
      <c r="W26" s="7">
        <f>+W7/V7-1</f>
        <v>0.45894428152492672</v>
      </c>
      <c r="X26" s="7">
        <f>+X7/W7-1</f>
        <v>0.45527638190954778</v>
      </c>
    </row>
    <row r="27" spans="2:24" x14ac:dyDescent="0.2">
      <c r="J27" s="5"/>
      <c r="K27" s="5"/>
      <c r="L27" s="5"/>
      <c r="M27" s="5"/>
    </row>
    <row r="28" spans="2:24" s="3" customFormat="1" ht="15" x14ac:dyDescent="0.25">
      <c r="B28" s="3" t="s">
        <v>53</v>
      </c>
      <c r="I28" s="4">
        <f t="shared" ref="I28:N28" si="32">+I29-I41</f>
        <v>1458</v>
      </c>
      <c r="J28" s="4">
        <f t="shared" si="32"/>
        <v>2023</v>
      </c>
      <c r="K28" s="4">
        <f t="shared" si="32"/>
        <v>2868</v>
      </c>
      <c r="L28" s="4">
        <f t="shared" si="32"/>
        <v>3547</v>
      </c>
      <c r="M28" s="4">
        <f t="shared" si="32"/>
        <v>3364</v>
      </c>
      <c r="N28" s="4">
        <f t="shared" si="32"/>
        <v>3364</v>
      </c>
      <c r="O28" s="4"/>
      <c r="P28" s="4"/>
      <c r="Q28" s="4"/>
      <c r="R28" s="4"/>
    </row>
    <row r="29" spans="2:24" s="3" customFormat="1" ht="15" x14ac:dyDescent="0.25">
      <c r="B29" s="3" t="s">
        <v>3</v>
      </c>
      <c r="I29" s="4">
        <f>1296+475+60</f>
        <v>1831</v>
      </c>
      <c r="J29" s="4">
        <f>1595+695+63</f>
        <v>2353</v>
      </c>
      <c r="K29" s="4">
        <f>1763+1353+65</f>
        <v>3181</v>
      </c>
      <c r="L29" s="4">
        <f>2623+1170+67</f>
        <v>3860</v>
      </c>
      <c r="M29" s="4">
        <f>2440+1168+69</f>
        <v>3677</v>
      </c>
      <c r="N29" s="4">
        <f>2535+1073+69</f>
        <v>3677</v>
      </c>
      <c r="T29" s="2"/>
      <c r="U29" s="8"/>
    </row>
    <row r="30" spans="2:24" x14ac:dyDescent="0.2">
      <c r="B30" s="2" t="s">
        <v>37</v>
      </c>
      <c r="I30" s="5">
        <v>2134</v>
      </c>
      <c r="J30" s="5">
        <v>2066</v>
      </c>
      <c r="K30" s="5">
        <v>2178</v>
      </c>
      <c r="L30" s="5">
        <v>2020</v>
      </c>
      <c r="M30" s="5">
        <v>2224</v>
      </c>
      <c r="N30" s="5">
        <v>2706</v>
      </c>
      <c r="U30" s="7"/>
    </row>
    <row r="31" spans="2:24" x14ac:dyDescent="0.2">
      <c r="B31" s="2" t="s">
        <v>38</v>
      </c>
      <c r="I31" s="5">
        <v>1292</v>
      </c>
      <c r="J31" s="5">
        <v>1399</v>
      </c>
      <c r="K31" s="5">
        <v>1653</v>
      </c>
      <c r="L31" s="5">
        <v>1765</v>
      </c>
      <c r="M31" s="5">
        <v>1902</v>
      </c>
      <c r="N31" s="5">
        <v>1955</v>
      </c>
      <c r="U31" s="7"/>
    </row>
    <row r="32" spans="2:24" x14ac:dyDescent="0.2">
      <c r="B32" s="2" t="s">
        <v>40</v>
      </c>
      <c r="I32" s="5">
        <v>4</v>
      </c>
      <c r="J32" s="5">
        <v>10</v>
      </c>
      <c r="K32" s="5">
        <v>7</v>
      </c>
      <c r="L32" s="5">
        <v>6</v>
      </c>
      <c r="M32" s="5">
        <v>5</v>
      </c>
      <c r="N32" s="5">
        <v>2</v>
      </c>
      <c r="U32" s="9"/>
    </row>
    <row r="33" spans="2:21" x14ac:dyDescent="0.2">
      <c r="B33" s="2" t="s">
        <v>39</v>
      </c>
      <c r="I33" s="5">
        <v>299</v>
      </c>
      <c r="J33" s="5">
        <v>378</v>
      </c>
      <c r="K33" s="5">
        <v>243</v>
      </c>
      <c r="L33" s="5">
        <v>234</v>
      </c>
      <c r="M33" s="5">
        <v>249</v>
      </c>
      <c r="N33" s="5">
        <v>312</v>
      </c>
      <c r="U33" s="5"/>
    </row>
    <row r="34" spans="2:21" x14ac:dyDescent="0.2">
      <c r="B34" s="2" t="s">
        <v>41</v>
      </c>
      <c r="I34" s="5">
        <v>595</v>
      </c>
      <c r="J34" s="5">
        <v>641</v>
      </c>
      <c r="K34" s="5">
        <v>681</v>
      </c>
      <c r="L34" s="5">
        <v>671</v>
      </c>
      <c r="M34" s="5">
        <v>717</v>
      </c>
      <c r="N34" s="11">
        <v>702</v>
      </c>
      <c r="U34" s="6"/>
    </row>
    <row r="35" spans="2:21" x14ac:dyDescent="0.2">
      <c r="B35" s="2" t="s">
        <v>42</v>
      </c>
      <c r="I35" s="5">
        <v>215</v>
      </c>
      <c r="J35" s="5">
        <v>208</v>
      </c>
      <c r="K35" s="5">
        <v>241</v>
      </c>
      <c r="L35" s="5">
        <v>247</v>
      </c>
      <c r="M35" s="5">
        <v>284</v>
      </c>
      <c r="N35" s="5">
        <v>367</v>
      </c>
    </row>
    <row r="36" spans="2:21" x14ac:dyDescent="0.2">
      <c r="B36" s="2" t="s">
        <v>43</v>
      </c>
      <c r="I36" s="5">
        <v>289</v>
      </c>
      <c r="J36" s="5">
        <v>289</v>
      </c>
      <c r="K36" s="5">
        <v>289</v>
      </c>
      <c r="L36" s="5">
        <v>289</v>
      </c>
      <c r="M36" s="5">
        <v>289</v>
      </c>
      <c r="N36" s="5">
        <v>289</v>
      </c>
      <c r="U36" s="7"/>
    </row>
    <row r="37" spans="2:21" x14ac:dyDescent="0.2">
      <c r="B37" s="2" t="s">
        <v>44</v>
      </c>
      <c r="I37" s="5">
        <v>0</v>
      </c>
      <c r="J37" s="5">
        <v>1245</v>
      </c>
      <c r="K37" s="5">
        <v>1162</v>
      </c>
      <c r="L37" s="5">
        <v>1090</v>
      </c>
      <c r="M37" s="5">
        <v>1036</v>
      </c>
      <c r="N37" s="5">
        <v>931</v>
      </c>
    </row>
    <row r="38" spans="2:21" x14ac:dyDescent="0.2">
      <c r="B38" s="2" t="s">
        <v>45</v>
      </c>
      <c r="I38" s="5">
        <v>364</v>
      </c>
      <c r="J38" s="5">
        <v>373</v>
      </c>
      <c r="K38" s="5">
        <v>412</v>
      </c>
      <c r="L38" s="5">
        <v>509</v>
      </c>
      <c r="M38" s="5">
        <v>770</v>
      </c>
      <c r="N38" s="5">
        <v>1478</v>
      </c>
    </row>
    <row r="39" spans="2:21" x14ac:dyDescent="0.2">
      <c r="B39" s="2" t="s">
        <v>46</v>
      </c>
      <c r="I39" s="5">
        <f t="shared" ref="I39:N39" si="33">+SUM(I29:I38)</f>
        <v>7023</v>
      </c>
      <c r="J39" s="5">
        <f t="shared" si="33"/>
        <v>8962</v>
      </c>
      <c r="K39" s="5">
        <f t="shared" si="33"/>
        <v>10047</v>
      </c>
      <c r="L39" s="5">
        <f t="shared" si="33"/>
        <v>10691</v>
      </c>
      <c r="M39" s="5">
        <f t="shared" si="33"/>
        <v>11153</v>
      </c>
      <c r="N39" s="5">
        <f t="shared" si="33"/>
        <v>12419</v>
      </c>
    </row>
    <row r="41" spans="2:21" s="3" customFormat="1" ht="15" x14ac:dyDescent="0.25">
      <c r="B41" s="3" t="s">
        <v>4</v>
      </c>
      <c r="I41" s="4">
        <v>373</v>
      </c>
      <c r="J41" s="4">
        <v>330</v>
      </c>
      <c r="K41" s="4">
        <v>313</v>
      </c>
      <c r="L41" s="4">
        <v>313</v>
      </c>
      <c r="M41" s="4">
        <f>312+1</f>
        <v>313</v>
      </c>
      <c r="N41" s="4">
        <f>312+1</f>
        <v>313</v>
      </c>
    </row>
    <row r="42" spans="2:21" x14ac:dyDescent="0.2">
      <c r="B42" s="2" t="s">
        <v>47</v>
      </c>
      <c r="I42" s="5">
        <v>752</v>
      </c>
      <c r="J42" s="5">
        <v>468</v>
      </c>
      <c r="K42" s="5">
        <v>949</v>
      </c>
      <c r="L42" s="5">
        <v>836</v>
      </c>
      <c r="M42" s="5">
        <v>1048</v>
      </c>
      <c r="N42" s="5">
        <v>1321</v>
      </c>
    </row>
    <row r="43" spans="2:21" x14ac:dyDescent="0.2">
      <c r="B43" s="2" t="s">
        <v>48</v>
      </c>
      <c r="I43" s="5">
        <v>115</v>
      </c>
      <c r="J43" s="5">
        <v>78</v>
      </c>
      <c r="K43" s="5">
        <v>40</v>
      </c>
      <c r="L43" s="5">
        <v>36</v>
      </c>
      <c r="M43" s="5">
        <v>36</v>
      </c>
      <c r="N43" s="5">
        <v>85</v>
      </c>
    </row>
    <row r="44" spans="2:21" x14ac:dyDescent="0.2">
      <c r="B44" s="2" t="s">
        <v>49</v>
      </c>
      <c r="I44" s="5">
        <v>1478</v>
      </c>
      <c r="J44" s="5">
        <v>1796</v>
      </c>
      <c r="K44" s="5">
        <v>1779</v>
      </c>
      <c r="L44" s="5">
        <v>1911</v>
      </c>
      <c r="M44" s="5">
        <v>2048</v>
      </c>
      <c r="N44" s="5">
        <v>2424</v>
      </c>
    </row>
    <row r="45" spans="2:21" x14ac:dyDescent="0.2">
      <c r="B45" s="2" t="s">
        <v>50</v>
      </c>
      <c r="I45" s="5">
        <v>72</v>
      </c>
      <c r="J45" s="5">
        <v>75</v>
      </c>
      <c r="K45" s="5">
        <v>96</v>
      </c>
      <c r="L45" s="5">
        <v>109</v>
      </c>
      <c r="M45" s="5">
        <v>120</v>
      </c>
      <c r="N45" s="5">
        <v>98</v>
      </c>
    </row>
    <row r="46" spans="2:21" x14ac:dyDescent="0.2">
      <c r="B46" s="2" t="s">
        <v>42</v>
      </c>
      <c r="I46" s="5">
        <v>205</v>
      </c>
      <c r="J46" s="5">
        <v>201</v>
      </c>
      <c r="K46" s="5">
        <v>238</v>
      </c>
      <c r="L46" s="5">
        <v>240</v>
      </c>
      <c r="M46" s="5">
        <v>269</v>
      </c>
      <c r="N46" s="5">
        <v>348</v>
      </c>
    </row>
    <row r="47" spans="2:21" x14ac:dyDescent="0.2">
      <c r="B47" s="2" t="s">
        <v>51</v>
      </c>
      <c r="I47" s="5">
        <v>161</v>
      </c>
      <c r="J47" s="5">
        <v>177</v>
      </c>
      <c r="K47" s="5">
        <v>155</v>
      </c>
      <c r="L47" s="5">
        <v>181</v>
      </c>
      <c r="M47" s="5">
        <v>183</v>
      </c>
      <c r="N47" s="5">
        <v>333</v>
      </c>
    </row>
    <row r="48" spans="2:21" x14ac:dyDescent="0.2">
      <c r="B48" s="2" t="s">
        <v>52</v>
      </c>
      <c r="I48" s="5">
        <f t="shared" ref="I48:N48" si="34">+SUM(I41:I47)</f>
        <v>3156</v>
      </c>
      <c r="J48" s="5">
        <f t="shared" si="34"/>
        <v>3125</v>
      </c>
      <c r="K48" s="5">
        <f t="shared" si="34"/>
        <v>3570</v>
      </c>
      <c r="L48" s="5">
        <f t="shared" si="34"/>
        <v>3626</v>
      </c>
      <c r="M48" s="5">
        <f t="shared" si="34"/>
        <v>4017</v>
      </c>
      <c r="N48" s="5">
        <f t="shared" si="34"/>
        <v>4922</v>
      </c>
    </row>
    <row r="49" spans="2:14" x14ac:dyDescent="0.2">
      <c r="L49" s="5"/>
    </row>
    <row r="50" spans="2:14" x14ac:dyDescent="0.2">
      <c r="B50" s="2" t="s">
        <v>54</v>
      </c>
      <c r="M50" s="5">
        <f>+M15</f>
        <v>923</v>
      </c>
      <c r="N50" s="5">
        <f>+N15</f>
        <v>974</v>
      </c>
    </row>
    <row r="51" spans="2:14" x14ac:dyDescent="0.2">
      <c r="B51" s="2" t="s">
        <v>55</v>
      </c>
      <c r="M51" s="5">
        <v>2188</v>
      </c>
      <c r="N51" s="5">
        <v>3162</v>
      </c>
    </row>
    <row r="52" spans="2:14" x14ac:dyDescent="0.2">
      <c r="B52" s="2" t="s">
        <v>56</v>
      </c>
      <c r="M52" s="5">
        <v>289</v>
      </c>
      <c r="N52" s="5">
        <v>407</v>
      </c>
    </row>
    <row r="53" spans="2:14" x14ac:dyDescent="0.2">
      <c r="B53" s="2" t="s">
        <v>57</v>
      </c>
      <c r="M53" s="5">
        <v>267</v>
      </c>
      <c r="N53" s="11">
        <v>379</v>
      </c>
    </row>
    <row r="54" spans="2:14" x14ac:dyDescent="0.2">
      <c r="B54" s="2" t="s">
        <v>59</v>
      </c>
      <c r="M54" s="5">
        <v>4</v>
      </c>
      <c r="N54" s="5">
        <v>5</v>
      </c>
    </row>
    <row r="55" spans="2:14" x14ac:dyDescent="0.2">
      <c r="B55" s="2" t="s">
        <v>58</v>
      </c>
      <c r="M55" s="5">
        <v>40</v>
      </c>
      <c r="N55" s="5">
        <v>56</v>
      </c>
    </row>
    <row r="56" spans="2:14" x14ac:dyDescent="0.2">
      <c r="B56" s="2" t="s">
        <v>60</v>
      </c>
      <c r="M56" s="5">
        <v>7</v>
      </c>
      <c r="N56" s="5">
        <v>7</v>
      </c>
    </row>
    <row r="57" spans="2:14" x14ac:dyDescent="0.2">
      <c r="B57" s="2" t="s">
        <v>61</v>
      </c>
      <c r="M57" s="5">
        <v>19</v>
      </c>
      <c r="N57" s="5">
        <v>34</v>
      </c>
    </row>
    <row r="58" spans="2:14" x14ac:dyDescent="0.2">
      <c r="B58" s="2" t="s">
        <v>44</v>
      </c>
      <c r="M58" s="5">
        <v>201</v>
      </c>
      <c r="N58" s="5">
        <v>308</v>
      </c>
    </row>
    <row r="59" spans="2:14" x14ac:dyDescent="0.2">
      <c r="B59" s="2" t="s">
        <v>62</v>
      </c>
      <c r="M59" s="5">
        <v>-52</v>
      </c>
      <c r="N59" s="5">
        <v>-56</v>
      </c>
    </row>
    <row r="60" spans="2:14" x14ac:dyDescent="0.2">
      <c r="B60" s="2" t="s">
        <v>63</v>
      </c>
      <c r="M60" s="5">
        <v>-6</v>
      </c>
      <c r="N60" s="5">
        <v>-7</v>
      </c>
    </row>
    <row r="61" spans="2:14" x14ac:dyDescent="0.2">
      <c r="B61" s="2" t="s">
        <v>37</v>
      </c>
      <c r="M61" s="5">
        <v>-158</v>
      </c>
      <c r="N61" s="5">
        <v>-640</v>
      </c>
    </row>
    <row r="62" spans="2:14" x14ac:dyDescent="0.2">
      <c r="B62" s="2" t="s">
        <v>38</v>
      </c>
      <c r="M62" s="5">
        <v>-504</v>
      </c>
      <c r="N62" s="5">
        <v>-556</v>
      </c>
    </row>
    <row r="63" spans="2:14" x14ac:dyDescent="0.2">
      <c r="B63" s="2" t="s">
        <v>66</v>
      </c>
      <c r="M63" s="5">
        <v>5</v>
      </c>
      <c r="N63" s="5">
        <v>8</v>
      </c>
    </row>
    <row r="64" spans="2:14" x14ac:dyDescent="0.2">
      <c r="B64" s="2" t="s">
        <v>39</v>
      </c>
      <c r="M64" s="5">
        <v>-284</v>
      </c>
      <c r="N64" s="5">
        <v>-920</v>
      </c>
    </row>
    <row r="65" spans="2:14" x14ac:dyDescent="0.2">
      <c r="B65" s="2" t="s">
        <v>48</v>
      </c>
      <c r="M65" s="5">
        <v>-42</v>
      </c>
      <c r="N65" s="5">
        <v>7</v>
      </c>
    </row>
    <row r="66" spans="2:14" x14ac:dyDescent="0.2">
      <c r="B66" s="2" t="s">
        <v>47</v>
      </c>
      <c r="M66" s="5">
        <v>526</v>
      </c>
      <c r="N66" s="5">
        <v>801</v>
      </c>
    </row>
    <row r="67" spans="2:14" x14ac:dyDescent="0.2">
      <c r="B67" s="2" t="s">
        <v>64</v>
      </c>
      <c r="M67" s="5">
        <v>199</v>
      </c>
      <c r="N67" s="5">
        <v>526</v>
      </c>
    </row>
    <row r="68" spans="2:14" s="3" customFormat="1" ht="15" x14ac:dyDescent="0.25">
      <c r="B68" s="3" t="s">
        <v>65</v>
      </c>
      <c r="M68" s="4">
        <f>+SUM(M51:M67)</f>
        <v>2699</v>
      </c>
      <c r="N68" s="4">
        <f>+SUM(N51:N67)</f>
        <v>3521</v>
      </c>
    </row>
    <row r="69" spans="2:14" x14ac:dyDescent="0.2">
      <c r="B69" s="2" t="s">
        <v>70</v>
      </c>
      <c r="M69" s="5">
        <v>-215</v>
      </c>
      <c r="N69" s="5">
        <v>-301</v>
      </c>
    </row>
    <row r="70" spans="2:14" x14ac:dyDescent="0.2">
      <c r="B70" s="2" t="s">
        <v>67</v>
      </c>
      <c r="M70" s="5">
        <v>-1901</v>
      </c>
      <c r="N70" s="5">
        <v>-2056</v>
      </c>
    </row>
    <row r="71" spans="2:14" x14ac:dyDescent="0.2">
      <c r="B71" s="2" t="s">
        <v>68</v>
      </c>
      <c r="M71" s="5">
        <v>1428</v>
      </c>
      <c r="N71" s="11">
        <v>1678</v>
      </c>
    </row>
    <row r="72" spans="2:14" x14ac:dyDescent="0.2">
      <c r="B72" s="2" t="s">
        <v>63</v>
      </c>
      <c r="M72" s="5">
        <v>2</v>
      </c>
      <c r="N72" s="5">
        <v>-7</v>
      </c>
    </row>
    <row r="73" spans="2:14" s="3" customFormat="1" ht="15" x14ac:dyDescent="0.25">
      <c r="B73" s="3" t="s">
        <v>69</v>
      </c>
      <c r="M73" s="4">
        <f>+SUM(M69:M72)</f>
        <v>-686</v>
      </c>
      <c r="N73" s="4">
        <f>+SUM(N69:N72)</f>
        <v>-686</v>
      </c>
    </row>
    <row r="74" spans="2:14" s="3" customFormat="1" ht="15" x14ac:dyDescent="0.25">
      <c r="B74" s="3" t="s">
        <v>71</v>
      </c>
      <c r="M74" s="4">
        <f>+M68+M69</f>
        <v>2484</v>
      </c>
      <c r="N74" s="4">
        <f>+N68+N69</f>
        <v>3220</v>
      </c>
    </row>
    <row r="75" spans="2:14" x14ac:dyDescent="0.2">
      <c r="B75" s="2" t="s">
        <v>72</v>
      </c>
      <c r="M75" s="5">
        <v>0</v>
      </c>
      <c r="N75" s="5">
        <v>0</v>
      </c>
    </row>
    <row r="76" spans="2:14" x14ac:dyDescent="0.2">
      <c r="B76" s="2" t="s">
        <v>73</v>
      </c>
      <c r="M76" s="5">
        <v>0</v>
      </c>
      <c r="N76" s="5">
        <v>0</v>
      </c>
    </row>
    <row r="77" spans="2:14" x14ac:dyDescent="0.2">
      <c r="B77" s="2" t="s">
        <v>74</v>
      </c>
      <c r="M77" s="5">
        <v>55</v>
      </c>
      <c r="N77" s="5">
        <v>104</v>
      </c>
    </row>
    <row r="78" spans="2:14" x14ac:dyDescent="0.2">
      <c r="B78" s="2" t="s">
        <v>75</v>
      </c>
      <c r="M78" s="5">
        <v>-1004</v>
      </c>
      <c r="N78" s="5">
        <v>-1762</v>
      </c>
    </row>
    <row r="79" spans="2:14" x14ac:dyDescent="0.2">
      <c r="B79" s="2" t="s">
        <v>76</v>
      </c>
      <c r="M79" s="5">
        <v>-219</v>
      </c>
      <c r="N79" s="5">
        <v>-237</v>
      </c>
    </row>
    <row r="80" spans="2:14" x14ac:dyDescent="0.2">
      <c r="B80" s="2" t="s">
        <v>63</v>
      </c>
      <c r="M80" s="5">
        <v>0</v>
      </c>
      <c r="N80" s="5">
        <v>0</v>
      </c>
    </row>
    <row r="81" spans="2:14" s="3" customFormat="1" ht="15" x14ac:dyDescent="0.25">
      <c r="B81" s="3" t="s">
        <v>77</v>
      </c>
      <c r="M81" s="4">
        <f>+SUM(M75:M80)</f>
        <v>-1168</v>
      </c>
      <c r="N81" s="4">
        <f>+SUM(N75:N80)</f>
        <v>-1895</v>
      </c>
    </row>
    <row r="82" spans="2:14" s="3" customFormat="1" ht="15" x14ac:dyDescent="0.25">
      <c r="B82" s="3" t="s">
        <v>78</v>
      </c>
      <c r="M82" s="4">
        <f>+M68+M73+M81</f>
        <v>845</v>
      </c>
      <c r="N82" s="4">
        <f>+N68+N73+N81</f>
        <v>940</v>
      </c>
    </row>
    <row r="83" spans="2:14" x14ac:dyDescent="0.2">
      <c r="M83" s="10"/>
    </row>
  </sheetData>
  <hyperlinks>
    <hyperlink ref="A1" location="Main!A1" display="Main" xr:uid="{78E34EE7-9750-4E62-9992-4D83A30137D5}"/>
  </hyperlink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7525C-9519-4710-B82A-1C41C04E72D0}">
  <dimension ref="B2"/>
  <sheetViews>
    <sheetView workbookViewId="0">
      <selection activeCell="B4" sqref="B4"/>
    </sheetView>
  </sheetViews>
  <sheetFormatPr defaultRowHeight="15" x14ac:dyDescent="0.25"/>
  <sheetData>
    <row r="2" spans="2:2" x14ac:dyDescent="0.25">
      <c r="B2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Model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Case</dc:creator>
  <cp:lastModifiedBy>Josh Case</cp:lastModifiedBy>
  <dcterms:created xsi:type="dcterms:W3CDTF">2021-12-28T13:24:15Z</dcterms:created>
  <dcterms:modified xsi:type="dcterms:W3CDTF">2022-05-09T22:37:29Z</dcterms:modified>
</cp:coreProperties>
</file>