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BFDE0DB7-9A78-4274-A849-47D879D70EF8}" xr6:coauthVersionLast="47" xr6:coauthVersionMax="47" xr10:uidLastSave="{00000000-0000-0000-0000-000000000000}"/>
  <bookViews>
    <workbookView xWindow="-120" yWindow="-120" windowWidth="29040" windowHeight="15840" activeTab="1" xr2:uid="{C785118A-6AB4-4402-AB58-2372D46100A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0" i="2" l="1"/>
  <c r="I72" i="2"/>
  <c r="J72" i="2" s="1"/>
  <c r="I73" i="2"/>
  <c r="J73" i="2" s="1"/>
  <c r="J62" i="2"/>
  <c r="J61" i="2"/>
  <c r="V61" i="2"/>
  <c r="I58" i="2"/>
  <c r="J76" i="2"/>
  <c r="J96" i="2"/>
  <c r="V96" i="2"/>
  <c r="I96" i="2"/>
  <c r="I80" i="2"/>
  <c r="J65" i="2"/>
  <c r="J64" i="2"/>
  <c r="J63" i="2"/>
  <c r="I61" i="2"/>
  <c r="I56" i="2"/>
  <c r="I59" i="2"/>
  <c r="I57" i="2"/>
  <c r="I36" i="2"/>
  <c r="I32" i="2"/>
  <c r="I42" i="2"/>
  <c r="I41" i="2"/>
  <c r="I31" i="2"/>
  <c r="E12" i="2"/>
  <c r="E8" i="2"/>
  <c r="E5" i="2"/>
  <c r="I12" i="2"/>
  <c r="I8" i="2"/>
  <c r="I5" i="2"/>
  <c r="J95" i="2"/>
  <c r="J94" i="2"/>
  <c r="J93" i="2"/>
  <c r="J91" i="2"/>
  <c r="J90" i="2"/>
  <c r="J88" i="2"/>
  <c r="J87" i="2"/>
  <c r="J86" i="2"/>
  <c r="J85" i="2"/>
  <c r="J84" i="2"/>
  <c r="J83" i="2"/>
  <c r="J82" i="2"/>
  <c r="J79" i="2"/>
  <c r="J78" i="2"/>
  <c r="J77" i="2"/>
  <c r="J75" i="2"/>
  <c r="J71" i="2"/>
  <c r="J70" i="2"/>
  <c r="J69" i="2"/>
  <c r="J68" i="2"/>
  <c r="J67" i="2"/>
  <c r="J66" i="2"/>
  <c r="U96" i="2"/>
  <c r="U80" i="2"/>
  <c r="U72" i="2"/>
  <c r="U73" i="2" s="1"/>
  <c r="V80" i="2"/>
  <c r="V73" i="2"/>
  <c r="V72" i="2"/>
  <c r="F12" i="2"/>
  <c r="F8" i="2"/>
  <c r="F5" i="2"/>
  <c r="J12" i="2"/>
  <c r="J8" i="2"/>
  <c r="J5" i="2"/>
  <c r="T12" i="2"/>
  <c r="T8" i="2"/>
  <c r="T5" i="2"/>
  <c r="U12" i="2"/>
  <c r="U8" i="2"/>
  <c r="U5" i="2"/>
  <c r="U27" i="2" s="1"/>
  <c r="V12" i="2"/>
  <c r="V8" i="2"/>
  <c r="V5" i="2"/>
  <c r="H73" i="2"/>
  <c r="G96" i="2"/>
  <c r="G80" i="2"/>
  <c r="G72" i="2"/>
  <c r="G73" i="2" s="1"/>
  <c r="K96" i="2"/>
  <c r="K80" i="2"/>
  <c r="K72" i="2"/>
  <c r="K73" i="2" s="1"/>
  <c r="G12" i="2"/>
  <c r="K12" i="2"/>
  <c r="H12" i="2"/>
  <c r="L12" i="2"/>
  <c r="G8" i="2"/>
  <c r="G5" i="2"/>
  <c r="K8" i="2"/>
  <c r="K5" i="2"/>
  <c r="K36" i="2"/>
  <c r="K32" i="2"/>
  <c r="K31" i="2" s="1"/>
  <c r="K57" i="2"/>
  <c r="K59" i="2" s="1"/>
  <c r="K56" i="2"/>
  <c r="H96" i="2"/>
  <c r="L96" i="2"/>
  <c r="H80" i="2"/>
  <c r="L80" i="2"/>
  <c r="H72" i="2"/>
  <c r="L72" i="2"/>
  <c r="L73" i="2" s="1"/>
  <c r="J56" i="2"/>
  <c r="J57" i="2"/>
  <c r="J59" i="2" s="1"/>
  <c r="L57" i="2"/>
  <c r="L59" i="2" s="1"/>
  <c r="L56" i="2"/>
  <c r="J36" i="2"/>
  <c r="J32" i="2"/>
  <c r="J31" i="2" s="1"/>
  <c r="L36" i="2"/>
  <c r="L32" i="2"/>
  <c r="L41" i="2" s="1"/>
  <c r="H8" i="2"/>
  <c r="L8" i="2"/>
  <c r="H5" i="2"/>
  <c r="L5" i="2"/>
  <c r="U2" i="2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F7" i="1"/>
  <c r="F8" i="1"/>
  <c r="F6" i="1"/>
  <c r="F9" i="1" s="1"/>
  <c r="V97" i="2" l="1"/>
  <c r="I97" i="2"/>
  <c r="J97" i="2" s="1"/>
  <c r="E9" i="2"/>
  <c r="E23" i="2" s="1"/>
  <c r="E13" i="2"/>
  <c r="I27" i="2"/>
  <c r="I9" i="2"/>
  <c r="U97" i="2"/>
  <c r="F9" i="2"/>
  <c r="F13" i="2" s="1"/>
  <c r="J27" i="2"/>
  <c r="F23" i="2"/>
  <c r="J9" i="2"/>
  <c r="J23" i="2" s="1"/>
  <c r="L31" i="2"/>
  <c r="V27" i="2"/>
  <c r="T9" i="2"/>
  <c r="T23" i="2" s="1"/>
  <c r="U9" i="2"/>
  <c r="V9" i="2"/>
  <c r="V13" i="2" s="1"/>
  <c r="V23" i="2"/>
  <c r="G97" i="2"/>
  <c r="K97" i="2"/>
  <c r="J42" i="2"/>
  <c r="L42" i="2"/>
  <c r="L97" i="2"/>
  <c r="L27" i="2"/>
  <c r="H97" i="2"/>
  <c r="K27" i="2"/>
  <c r="G9" i="2"/>
  <c r="K9" i="2"/>
  <c r="K13" i="2" s="1"/>
  <c r="K42" i="2"/>
  <c r="K41" i="2"/>
  <c r="J41" i="2"/>
  <c r="L9" i="2"/>
  <c r="L13" i="2" s="1"/>
  <c r="L15" i="2" s="1"/>
  <c r="L25" i="2" s="1"/>
  <c r="H9" i="2"/>
  <c r="E24" i="2" l="1"/>
  <c r="E15" i="2"/>
  <c r="I13" i="2"/>
  <c r="I23" i="2"/>
  <c r="F24" i="2"/>
  <c r="F15" i="2"/>
  <c r="J13" i="2"/>
  <c r="J24" i="2" s="1"/>
  <c r="U13" i="2"/>
  <c r="U23" i="2"/>
  <c r="T13" i="2"/>
  <c r="T24" i="2" s="1"/>
  <c r="V15" i="2"/>
  <c r="V24" i="2"/>
  <c r="H23" i="2"/>
  <c r="H13" i="2"/>
  <c r="G23" i="2"/>
  <c r="G13" i="2"/>
  <c r="G15" i="2" s="1"/>
  <c r="K23" i="2"/>
  <c r="L23" i="2"/>
  <c r="E25" i="2" l="1"/>
  <c r="E18" i="2"/>
  <c r="E20" i="2" s="1"/>
  <c r="I24" i="2"/>
  <c r="I15" i="2"/>
  <c r="F25" i="2"/>
  <c r="F18" i="2"/>
  <c r="F20" i="2" s="1"/>
  <c r="J15" i="2"/>
  <c r="J25" i="2" s="1"/>
  <c r="U15" i="2"/>
  <c r="U24" i="2"/>
  <c r="T15" i="2"/>
  <c r="T18" i="2" s="1"/>
  <c r="T20" i="2" s="1"/>
  <c r="V18" i="2"/>
  <c r="V25" i="2"/>
  <c r="G24" i="2"/>
  <c r="G25" i="2"/>
  <c r="G18" i="2"/>
  <c r="K24" i="2"/>
  <c r="K15" i="2"/>
  <c r="H15" i="2"/>
  <c r="H24" i="2"/>
  <c r="L24" i="2"/>
  <c r="I25" i="2" l="1"/>
  <c r="I18" i="2"/>
  <c r="I20" i="2" s="1"/>
  <c r="V20" i="2"/>
  <c r="J18" i="2"/>
  <c r="U18" i="2"/>
  <c r="U25" i="2"/>
  <c r="T25" i="2"/>
  <c r="G20" i="2"/>
  <c r="G61" i="2"/>
  <c r="K18" i="2"/>
  <c r="K25" i="2"/>
  <c r="L18" i="2"/>
  <c r="H18" i="2"/>
  <c r="H25" i="2"/>
  <c r="J20" i="2" l="1"/>
  <c r="U20" i="2"/>
  <c r="U61" i="2"/>
  <c r="K20" i="2"/>
  <c r="K61" i="2"/>
  <c r="L20" i="2"/>
  <c r="L61" i="2"/>
  <c r="H20" i="2"/>
  <c r="H6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Case</author>
  </authors>
  <commentList>
    <comment ref="I58" authorId="0" shapeId="0" xr:uid="{4E55F37D-206D-4510-BBBC-F09CB4BC2ACE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Weird how L + S/E != A, Weird….</t>
        </r>
      </text>
    </comment>
    <comment ref="L88" authorId="0" shapeId="0" xr:uid="{4AA96589-F97A-4553-AD08-8CB295D2412C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Considered "distrubtion", purposely switch from Q2 and back</t>
        </r>
      </text>
    </comment>
  </commentList>
</comments>
</file>

<file path=xl/sharedStrings.xml><?xml version="1.0" encoding="utf-8"?>
<sst xmlns="http://schemas.openxmlformats.org/spreadsheetml/2006/main" count="113" uniqueCount="103">
  <si>
    <t>Price</t>
  </si>
  <si>
    <t>Shares</t>
  </si>
  <si>
    <t>MC</t>
  </si>
  <si>
    <t>Cash</t>
  </si>
  <si>
    <t>Debt</t>
  </si>
  <si>
    <t>EV</t>
  </si>
  <si>
    <t>Q222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</si>
  <si>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</si>
  <si>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</si>
  <si>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</si>
  <si>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</si>
  <si>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</si>
  <si>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</si>
  <si>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</si>
  <si>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</si>
  <si>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</si>
  <si>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</si>
  <si>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</si>
  <si>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Q123</t>
  </si>
  <si>
    <t>Q223</t>
  </si>
  <si>
    <t>Q323</t>
  </si>
  <si>
    <t>Q423</t>
  </si>
  <si>
    <t>Main</t>
  </si>
  <si>
    <t>Property</t>
  </si>
  <si>
    <t>Services</t>
  </si>
  <si>
    <t>Revenue</t>
  </si>
  <si>
    <t>Revenue Growth Y/Y</t>
  </si>
  <si>
    <t>Cost of Property</t>
  </si>
  <si>
    <t>Cost of Services</t>
  </si>
  <si>
    <t>COGS</t>
  </si>
  <si>
    <t>Gross Profit</t>
  </si>
  <si>
    <t>Gross Margin %</t>
  </si>
  <si>
    <t>sG&amp;A</t>
  </si>
  <si>
    <t>Operating Income</t>
  </si>
  <si>
    <t>Other Income</t>
  </si>
  <si>
    <t>Pretax Income</t>
  </si>
  <si>
    <t>Taxes</t>
  </si>
  <si>
    <t>NI</t>
  </si>
  <si>
    <t>Net Income</t>
  </si>
  <si>
    <t>EPS</t>
  </si>
  <si>
    <t>Operating Margin %</t>
  </si>
  <si>
    <t>Tax rate %</t>
  </si>
  <si>
    <t>A/R</t>
  </si>
  <si>
    <t>Prepaids</t>
  </si>
  <si>
    <t>PP&amp;E</t>
  </si>
  <si>
    <t>Intangibles</t>
  </si>
  <si>
    <t>D/T</t>
  </si>
  <si>
    <t>Deferred Rent</t>
  </si>
  <si>
    <t>ROU Assets</t>
  </si>
  <si>
    <t>ONCA</t>
  </si>
  <si>
    <t>Total Assets</t>
  </si>
  <si>
    <t>Total Current Assets</t>
  </si>
  <si>
    <t>Net Cash</t>
  </si>
  <si>
    <t>A/P</t>
  </si>
  <si>
    <t>A/Expenses</t>
  </si>
  <si>
    <t>Distribution Payable</t>
  </si>
  <si>
    <t>A/Interest</t>
  </si>
  <si>
    <t>Operating Lease</t>
  </si>
  <si>
    <t>Unearned Revenue</t>
  </si>
  <si>
    <t>LT Operating Lease</t>
  </si>
  <si>
    <t>Retirement Obligation</t>
  </si>
  <si>
    <t>ONCL</t>
  </si>
  <si>
    <t>LT Debt</t>
  </si>
  <si>
    <t>Total Current Liabilties</t>
  </si>
  <si>
    <t>Total Liabilties</t>
  </si>
  <si>
    <t>Equity</t>
  </si>
  <si>
    <t>L + S/E</t>
  </si>
  <si>
    <t>Model NI</t>
  </si>
  <si>
    <t>Reported NI</t>
  </si>
  <si>
    <t>D/A</t>
  </si>
  <si>
    <t>SBC</t>
  </si>
  <si>
    <t>Early Retirement Loss</t>
  </si>
  <si>
    <t>NC Items</t>
  </si>
  <si>
    <t>Rent Balance Increase</t>
  </si>
  <si>
    <t>Asset Increase</t>
  </si>
  <si>
    <t>Liabiltiy Decrease</t>
  </si>
  <si>
    <t>CFFO</t>
  </si>
  <si>
    <t>Capex</t>
  </si>
  <si>
    <t>Acquistions</t>
  </si>
  <si>
    <t>ST Investment Sale</t>
  </si>
  <si>
    <t>Equity Security Payment</t>
  </si>
  <si>
    <t>Deposits</t>
  </si>
  <si>
    <t>CFFI</t>
  </si>
  <si>
    <t>Borrowings</t>
  </si>
  <si>
    <t>Senior Note Issuance</t>
  </si>
  <si>
    <t>Loan Proceeds</t>
  </si>
  <si>
    <t>Debt Repayments</t>
  </si>
  <si>
    <t>NI Contributions</t>
  </si>
  <si>
    <t>Employee Stock Plan</t>
  </si>
  <si>
    <t>Common Stock Distrubtions</t>
  </si>
  <si>
    <t>Common Stock Issuance</t>
  </si>
  <si>
    <t>Early Retirement Payment</t>
  </si>
  <si>
    <t>D/Financing</t>
  </si>
  <si>
    <t>NI Purchases</t>
  </si>
  <si>
    <t>CFFF</t>
  </si>
  <si>
    <t>CF</t>
  </si>
  <si>
    <t>&gt;</t>
  </si>
  <si>
    <t>Other</t>
  </si>
  <si>
    <t>Operating Expenses</t>
  </si>
  <si>
    <t>Stock Option Proceeds</t>
  </si>
  <si>
    <t>Free Cashflow</t>
  </si>
  <si>
    <t>Common Stock Purchase</t>
  </si>
  <si>
    <t>NI Distrubtion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</si>
</sst>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2" fillId="0" borderId="0" xfId="1"/>
    <xf numFmtId="0" fontId="1" fillId="0" borderId="0" xfId="0" applyFont="1"/>
    <xf numFmtId="3" fontId="1" fillId="0" borderId="0" xfId="0" applyNumberFormat="1" applyFont="1"/>
    <xf numFmtId="4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3" fontId="0" fillId="2" borderId="0" xfId="0" applyNumberFormat="1" applyFill="1"/>
    <xf numFmtId="0" fontId="3" fillId="0" borderId="0" xfId="0" applyFont="1"/>
    <xf numFmtId="9" fontId="3" fillId="0" borderId="0" xfId="0" applyNumberFormat="1" applyFont="1"/>
    <xf numFmtId="3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0</xdr:row>
      <xdr:rowOff>19050</xdr:rowOff>
    </xdr:from>
    <xdr:to>
      <xdr:col>12</xdr:col>
      <xdr:colOff>28575</xdr:colOff>
      <xdr:row>39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99BEB9C-A972-C5C5-E061-08BE89C799F4}"/>
            </a:ext>
          </a:extLst>
        </xdr:cNvPr>
        <xdr:cNvCxnSpPr/>
      </xdr:nvCxnSpPr>
      <xdr:spPr>
        <a:xfrm>
          <a:off x="7924800" y="19050"/>
          <a:ext cx="0" cy="6696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9F16-B176-470C-A70F-8D021F79480A}">
  <dimension ref="E4:G9"/>
  <sheetViews>
    <sheetView workbookViewId="0">
      <selection activeCell="I17" sqref="I17"/>
    </sheetView>
  </sheetViews>
  <sheetFormatPr defaultRowHeight="14.25" x14ac:dyDescent="0.2"/>
  <cols>
    <col min="7" max="7" width="9" style="1"/>
  </cols>
  <sheetData>
    <row r="4" spans="5:7" x14ac:dyDescent="0.2">
      <c r="E4" t="s">
        <v>0</v>
      </c>
      <c r="F4">
        <v>183.79</v>
      </c>
    </row>
    <row r="5" spans="5:7" x14ac:dyDescent="0.2">
      <c r="E5" t="s">
        <v>1</v>
      </c>
      <c r="F5" s="2">
        <v>465.58690799999999</v>
      </c>
      <c r="G5" s="1" t="s">
        <v>6</v>
      </c>
    </row>
    <row r="6" spans="5:7" x14ac:dyDescent="0.2">
      <c r="E6" t="s">
        <v>2</v>
      </c>
      <c r="F6" s="2">
        <f>+F4*F5</f>
        <v>85570.217821319995</v>
      </c>
    </row>
    <row r="7" spans="5:7" x14ac:dyDescent="0.2">
      <c r="E7" t="s">
        <v>3</v>
      </c>
      <c r="F7" s="2">
        <f>2066.7+136.4</f>
        <v>2203.1</v>
      </c>
      <c r="G7" s="1" t="s">
        <v>6</v>
      </c>
    </row>
    <row r="8" spans="5:7" x14ac:dyDescent="0.2">
      <c r="E8" t="s">
        <v>4</v>
      </c>
      <c r="F8" s="2">
        <f>3603.9+37240.1</f>
        <v>40844</v>
      </c>
      <c r="G8" s="1" t="s">
        <v>6</v>
      </c>
    </row>
    <row r="9" spans="5:7" ht="12.75" customHeight="1" x14ac:dyDescent="0.2">
      <c r="E9" t="s">
        <v>5</v>
      </c>
      <c r="F9" s="2">
        <f>+F6-F7+F8</f>
        <v>124211.11782131999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5DE1-C205-46AB-9BF2-FB33C83EA582}">
  <dimension ref="A1:AS97"/>
  <sheetViews>
    <sheetView tabSelected="1" workbookViewId="0">
      <pane xSplit="2" ySplit="2" topLeftCell="C26" activePane="bottomRight" state="frozen"/>
      <selection pane="topRight" activeCell="C1" sqref="C1"/>
      <selection pane="bottomLeft" activeCell="A3" sqref="A3"/>
      <selection pane="bottomRight" activeCell="P39" sqref="P39"/>
    </sheetView>
  </sheetViews>
  <sheetFormatPr defaultRowHeight="14.25" x14ac:dyDescent="0.2"/>
  <cols>
    <col min="1" max="1" width="4.625" bestFit="1" customWidth="1"/>
    <col min="2" max="2" width="24.25" bestFit="1" customWidth="1"/>
  </cols>
  <sheetData>
    <row r="1" spans="1:45" x14ac:dyDescent="0.2">
      <c r="A1" s="3" t="s">
        <v>22</v>
      </c>
    </row>
    <row r="2" spans="1:45" x14ac:dyDescent="0.2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6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T2">
        <v>2019</v>
      </c>
      <c r="U2">
        <f>+T2+1</f>
        <v>2020</v>
      </c>
      <c r="V2">
        <f t="shared" ref="V2:AS2" si="0">+U2+1</f>
        <v>2021</v>
      </c>
      <c r="W2">
        <f t="shared" si="0"/>
        <v>2022</v>
      </c>
      <c r="X2">
        <f t="shared" si="0"/>
        <v>2023</v>
      </c>
      <c r="Y2">
        <f t="shared" si="0"/>
        <v>2024</v>
      </c>
      <c r="Z2">
        <f t="shared" si="0"/>
        <v>2025</v>
      </c>
      <c r="AA2">
        <f t="shared" si="0"/>
        <v>2026</v>
      </c>
      <c r="AB2">
        <f t="shared" si="0"/>
        <v>2027</v>
      </c>
      <c r="AC2">
        <f t="shared" si="0"/>
        <v>2028</v>
      </c>
      <c r="AD2">
        <f t="shared" si="0"/>
        <v>2029</v>
      </c>
      <c r="AE2">
        <f t="shared" si="0"/>
        <v>2030</v>
      </c>
      <c r="AF2">
        <f t="shared" si="0"/>
        <v>2031</v>
      </c>
      <c r="AG2">
        <f t="shared" si="0"/>
        <v>2032</v>
      </c>
      <c r="AH2">
        <f t="shared" si="0"/>
        <v>2033</v>
      </c>
      <c r="AI2">
        <f t="shared" si="0"/>
        <v>2034</v>
      </c>
      <c r="AJ2">
        <f t="shared" si="0"/>
        <v>2035</v>
      </c>
      <c r="AK2">
        <f t="shared" si="0"/>
        <v>2036</v>
      </c>
      <c r="AL2">
        <f t="shared" si="0"/>
        <v>2037</v>
      </c>
      <c r="AM2">
        <f t="shared" si="0"/>
        <v>2038</v>
      </c>
      <c r="AN2">
        <f t="shared" si="0"/>
        <v>2039</v>
      </c>
      <c r="AO2">
        <f t="shared" si="0"/>
        <v>2040</v>
      </c>
      <c r="AP2">
        <f t="shared" si="0"/>
        <v>2041</v>
      </c>
      <c r="AQ2">
        <f t="shared" si="0"/>
        <v>2042</v>
      </c>
      <c r="AR2">
        <f t="shared" si="0"/>
        <v>2043</v>
      </c>
      <c r="AS2">
        <f t="shared" si="0"/>
        <v>2044</v>
      </c>
    </row>
    <row r="3" spans="1:45" s="2" customFormat="1" x14ac:dyDescent="0.2">
      <c r="B3" s="2" t="s">
        <v>23</v>
      </c>
      <c r="E3" s="2">
        <v>1987.6</v>
      </c>
      <c r="F3" s="2">
        <v>2099.6</v>
      </c>
      <c r="G3" s="2">
        <v>2129.6999999999998</v>
      </c>
      <c r="H3" s="2">
        <v>2233</v>
      </c>
      <c r="I3" s="2">
        <v>2368.9</v>
      </c>
      <c r="J3" s="2">
        <v>2378</v>
      </c>
      <c r="K3" s="2">
        <v>2600.8000000000002</v>
      </c>
      <c r="L3" s="2">
        <v>2614.5</v>
      </c>
      <c r="T3" s="2">
        <v>7464.9</v>
      </c>
      <c r="U3" s="2">
        <v>7953.6</v>
      </c>
      <c r="V3" s="2">
        <v>9109.6</v>
      </c>
    </row>
    <row r="4" spans="1:45" s="2" customFormat="1" x14ac:dyDescent="0.2">
      <c r="B4" s="2" t="s">
        <v>24</v>
      </c>
      <c r="E4" s="2">
        <v>25.3</v>
      </c>
      <c r="F4" s="2">
        <v>22.9</v>
      </c>
      <c r="G4" s="2">
        <v>28.8</v>
      </c>
      <c r="H4" s="2">
        <v>65.900000000000006</v>
      </c>
      <c r="I4" s="2">
        <v>85.4</v>
      </c>
      <c r="J4" s="2">
        <v>67.2</v>
      </c>
      <c r="K4" s="2">
        <v>59.5</v>
      </c>
      <c r="L4" s="2">
        <v>59.8</v>
      </c>
      <c r="T4" s="2">
        <v>115.4</v>
      </c>
      <c r="U4" s="2">
        <v>87.9</v>
      </c>
      <c r="V4" s="2">
        <v>247.3</v>
      </c>
    </row>
    <row r="5" spans="1:45" s="5" customFormat="1" ht="15" x14ac:dyDescent="0.25">
      <c r="B5" s="5" t="s">
        <v>25</v>
      </c>
      <c r="E5" s="5">
        <f t="shared" ref="E5:L5" si="1">+SUM(E3:E4)</f>
        <v>2012.8999999999999</v>
      </c>
      <c r="F5" s="5">
        <f t="shared" si="1"/>
        <v>2122.5</v>
      </c>
      <c r="G5" s="5">
        <f t="shared" si="1"/>
        <v>2158.5</v>
      </c>
      <c r="H5" s="5">
        <f t="shared" si="1"/>
        <v>2298.9</v>
      </c>
      <c r="I5" s="5">
        <f t="shared" si="1"/>
        <v>2454.3000000000002</v>
      </c>
      <c r="J5" s="5">
        <f t="shared" si="1"/>
        <v>2445.1999999999998</v>
      </c>
      <c r="K5" s="5">
        <f t="shared" si="1"/>
        <v>2660.3</v>
      </c>
      <c r="L5" s="5">
        <f t="shared" si="1"/>
        <v>2674.3</v>
      </c>
      <c r="T5" s="5">
        <f>+SUM(T3:T4)</f>
        <v>7580.2999999999993</v>
      </c>
      <c r="U5" s="5">
        <f>+SUM(U3:U4)</f>
        <v>8041.5</v>
      </c>
      <c r="V5" s="5">
        <f>+SUM(V3:V4)</f>
        <v>9356.9</v>
      </c>
    </row>
    <row r="6" spans="1:45" s="2" customFormat="1" x14ac:dyDescent="0.2">
      <c r="B6" s="2" t="s">
        <v>27</v>
      </c>
      <c r="E6" s="2">
        <v>522.1</v>
      </c>
      <c r="F6" s="2">
        <v>563.1</v>
      </c>
      <c r="G6" s="2">
        <v>563.29999999999995</v>
      </c>
      <c r="H6" s="2">
        <v>623.29999999999995</v>
      </c>
      <c r="I6" s="2">
        <v>693.4</v>
      </c>
      <c r="J6" s="2">
        <v>705.3</v>
      </c>
      <c r="K6" s="2">
        <v>771.5</v>
      </c>
      <c r="L6" s="2">
        <v>794</v>
      </c>
      <c r="T6" s="2">
        <v>2173.6999999999998</v>
      </c>
      <c r="U6" s="2">
        <v>2189.6</v>
      </c>
      <c r="V6" s="2">
        <v>2585.3000000000002</v>
      </c>
    </row>
    <row r="7" spans="1:45" s="2" customFormat="1" x14ac:dyDescent="0.2">
      <c r="B7" s="2" t="s">
        <v>28</v>
      </c>
      <c r="E7" s="2">
        <v>10.5</v>
      </c>
      <c r="F7" s="2">
        <v>9.5</v>
      </c>
      <c r="G7" s="2">
        <v>11</v>
      </c>
      <c r="H7" s="2">
        <v>24.6</v>
      </c>
      <c r="I7" s="2">
        <v>30.9</v>
      </c>
      <c r="J7" s="2">
        <v>30.2</v>
      </c>
      <c r="K7" s="2">
        <v>27.9</v>
      </c>
      <c r="L7" s="2">
        <v>28.9</v>
      </c>
      <c r="T7" s="2">
        <v>43.1</v>
      </c>
      <c r="U7" s="2">
        <v>37.6</v>
      </c>
      <c r="V7" s="2">
        <v>96.7</v>
      </c>
    </row>
    <row r="8" spans="1:45" s="2" customFormat="1" x14ac:dyDescent="0.2">
      <c r="B8" s="2" t="s">
        <v>29</v>
      </c>
      <c r="E8" s="2">
        <f t="shared" ref="E8:L8" si="2">+SUM(E6:E7)</f>
        <v>532.6</v>
      </c>
      <c r="F8" s="2">
        <f t="shared" si="2"/>
        <v>572.6</v>
      </c>
      <c r="G8" s="2">
        <f t="shared" si="2"/>
        <v>574.29999999999995</v>
      </c>
      <c r="H8" s="2">
        <f t="shared" si="2"/>
        <v>647.9</v>
      </c>
      <c r="I8" s="2">
        <f t="shared" si="2"/>
        <v>724.3</v>
      </c>
      <c r="J8" s="2">
        <f t="shared" si="2"/>
        <v>735.5</v>
      </c>
      <c r="K8" s="2">
        <f t="shared" si="2"/>
        <v>799.4</v>
      </c>
      <c r="L8" s="2">
        <f t="shared" si="2"/>
        <v>822.9</v>
      </c>
      <c r="T8" s="2">
        <f>+SUM(T6:T7)</f>
        <v>2216.7999999999997</v>
      </c>
      <c r="U8" s="2">
        <f>+SUM(U6:U7)</f>
        <v>2227.1999999999998</v>
      </c>
      <c r="V8" s="2">
        <f>+SUM(V6:V7)</f>
        <v>2682</v>
      </c>
    </row>
    <row r="9" spans="1:45" s="2" customFormat="1" x14ac:dyDescent="0.2">
      <c r="B9" s="2" t="s">
        <v>30</v>
      </c>
      <c r="E9" s="2">
        <f t="shared" ref="E9:L9" si="3">+E5-E8</f>
        <v>1480.2999999999997</v>
      </c>
      <c r="F9" s="2">
        <f t="shared" si="3"/>
        <v>1549.9</v>
      </c>
      <c r="G9" s="2">
        <f t="shared" si="3"/>
        <v>1584.2</v>
      </c>
      <c r="H9" s="2">
        <f t="shared" si="3"/>
        <v>1651</v>
      </c>
      <c r="I9" s="2">
        <f t="shared" si="3"/>
        <v>1730.0000000000002</v>
      </c>
      <c r="J9" s="2">
        <f t="shared" si="3"/>
        <v>1709.6999999999998</v>
      </c>
      <c r="K9" s="2">
        <f t="shared" si="3"/>
        <v>1860.9</v>
      </c>
      <c r="L9" s="2">
        <f t="shared" si="3"/>
        <v>1851.4</v>
      </c>
      <c r="T9" s="2">
        <f>+T5-T8</f>
        <v>5363.5</v>
      </c>
      <c r="U9" s="2">
        <f>+U5-U8</f>
        <v>5814.3</v>
      </c>
      <c r="V9" s="2">
        <f>+V5-V8</f>
        <v>6674.9</v>
      </c>
    </row>
    <row r="10" spans="1:45" s="2" customFormat="1" x14ac:dyDescent="0.2">
      <c r="B10" s="2" t="s">
        <v>32</v>
      </c>
      <c r="E10" s="2">
        <v>176</v>
      </c>
      <c r="F10" s="2">
        <v>196.3</v>
      </c>
      <c r="G10" s="2">
        <v>182.6</v>
      </c>
      <c r="H10" s="2">
        <v>207.2</v>
      </c>
      <c r="I10" s="2">
        <v>205.9</v>
      </c>
      <c r="J10" s="2">
        <v>215.9</v>
      </c>
      <c r="K10" s="2">
        <v>293.89999999999998</v>
      </c>
      <c r="L10" s="2">
        <v>222.9</v>
      </c>
      <c r="T10" s="2">
        <v>730.4</v>
      </c>
      <c r="U10" s="2">
        <v>778.7</v>
      </c>
      <c r="V10" s="2">
        <v>811.6</v>
      </c>
    </row>
    <row r="11" spans="1:45" x14ac:dyDescent="0.2">
      <c r="B11" s="2" t="s">
        <v>97</v>
      </c>
      <c r="E11" s="2">
        <v>15.3</v>
      </c>
      <c r="F11" s="2">
        <v>198.1</v>
      </c>
      <c r="G11" s="2">
        <v>50.4</v>
      </c>
      <c r="H11" s="2">
        <v>39.799999999999997</v>
      </c>
      <c r="I11" s="2">
        <v>85.2</v>
      </c>
      <c r="J11" s="2">
        <v>223.3</v>
      </c>
      <c r="K11" s="2">
        <v>26.1</v>
      </c>
      <c r="L11" s="2">
        <v>19.7</v>
      </c>
      <c r="T11" s="2">
        <v>166.3</v>
      </c>
      <c r="U11" s="2">
        <v>265.8</v>
      </c>
      <c r="V11" s="2">
        <v>398.7</v>
      </c>
    </row>
    <row r="12" spans="1:45" x14ac:dyDescent="0.2">
      <c r="B12" s="2" t="s">
        <v>98</v>
      </c>
      <c r="E12" s="2">
        <f t="shared" ref="E12:L12" si="4">+SUM(E10:E11)</f>
        <v>191.3</v>
      </c>
      <c r="F12" s="2">
        <f t="shared" si="4"/>
        <v>394.4</v>
      </c>
      <c r="G12" s="2">
        <f t="shared" si="4"/>
        <v>233</v>
      </c>
      <c r="H12" s="2">
        <f t="shared" si="4"/>
        <v>247</v>
      </c>
      <c r="I12" s="2">
        <f t="shared" si="4"/>
        <v>291.10000000000002</v>
      </c>
      <c r="J12" s="2">
        <f t="shared" si="4"/>
        <v>439.20000000000005</v>
      </c>
      <c r="K12" s="2">
        <f t="shared" si="4"/>
        <v>320</v>
      </c>
      <c r="L12" s="2">
        <f t="shared" si="4"/>
        <v>242.6</v>
      </c>
      <c r="T12" s="2">
        <f>+SUM(T10:T11)</f>
        <v>896.7</v>
      </c>
      <c r="U12" s="2">
        <f>+SUM(U10:U11)</f>
        <v>1044.5</v>
      </c>
      <c r="V12" s="2">
        <f>+SUM(V10:V11)</f>
        <v>1210.3</v>
      </c>
    </row>
    <row r="13" spans="1:45" s="2" customFormat="1" x14ac:dyDescent="0.2">
      <c r="B13" s="2" t="s">
        <v>33</v>
      </c>
      <c r="E13" s="2">
        <f t="shared" ref="E13:L13" si="5">+E9-E12</f>
        <v>1288.9999999999998</v>
      </c>
      <c r="F13" s="2">
        <f t="shared" si="5"/>
        <v>1155.5</v>
      </c>
      <c r="G13" s="2">
        <f t="shared" si="5"/>
        <v>1351.2</v>
      </c>
      <c r="H13" s="2">
        <f t="shared" si="5"/>
        <v>1404</v>
      </c>
      <c r="I13" s="2">
        <f t="shared" si="5"/>
        <v>1438.9</v>
      </c>
      <c r="J13" s="2">
        <f t="shared" si="5"/>
        <v>1270.4999999999998</v>
      </c>
      <c r="K13" s="2">
        <f t="shared" si="5"/>
        <v>1540.9</v>
      </c>
      <c r="L13" s="2">
        <f t="shared" si="5"/>
        <v>1608.8000000000002</v>
      </c>
      <c r="T13" s="2">
        <f>+T9-T12</f>
        <v>4466.8</v>
      </c>
      <c r="U13" s="2">
        <f>+U9-U12</f>
        <v>4769.8</v>
      </c>
      <c r="V13" s="2">
        <f>+V9-V12</f>
        <v>5464.5999999999995</v>
      </c>
    </row>
    <row r="14" spans="1:45" s="2" customFormat="1" x14ac:dyDescent="0.2">
      <c r="B14" s="2" t="s">
        <v>34</v>
      </c>
      <c r="E14" s="2">
        <v>-282.89999999999998</v>
      </c>
      <c r="F14" s="2">
        <v>-254.6</v>
      </c>
      <c r="G14" s="2">
        <v>-126.1</v>
      </c>
      <c r="H14" s="2">
        <v>-28.5</v>
      </c>
      <c r="I14" s="2">
        <v>-49.9</v>
      </c>
      <c r="J14" s="2">
        <v>-98.1</v>
      </c>
      <c r="K14" s="2">
        <v>0.1</v>
      </c>
      <c r="L14" s="2">
        <v>116</v>
      </c>
      <c r="T14" s="2">
        <v>-772</v>
      </c>
      <c r="U14" s="2">
        <v>-1066.4000000000001</v>
      </c>
      <c r="V14" s="2">
        <v>-302.60000000000002</v>
      </c>
    </row>
    <row r="15" spans="1:45" s="2" customFormat="1" x14ac:dyDescent="0.2">
      <c r="B15" s="2" t="s">
        <v>35</v>
      </c>
      <c r="E15" s="2">
        <f t="shared" ref="E15:L15" si="6">+E13+E14</f>
        <v>1006.0999999999998</v>
      </c>
      <c r="F15" s="2">
        <f t="shared" si="6"/>
        <v>900.9</v>
      </c>
      <c r="G15" s="2">
        <f t="shared" si="6"/>
        <v>1225.1000000000001</v>
      </c>
      <c r="H15" s="2">
        <f t="shared" si="6"/>
        <v>1375.5</v>
      </c>
      <c r="I15" s="2">
        <f t="shared" si="6"/>
        <v>1389</v>
      </c>
      <c r="J15" s="2">
        <f t="shared" si="6"/>
        <v>1172.3999999999999</v>
      </c>
      <c r="K15" s="2">
        <f t="shared" si="6"/>
        <v>1541</v>
      </c>
      <c r="L15" s="2">
        <f t="shared" si="6"/>
        <v>1724.8000000000002</v>
      </c>
      <c r="T15" s="2">
        <f>+T13+T14</f>
        <v>3694.8</v>
      </c>
      <c r="U15" s="2">
        <f>+U13+U14</f>
        <v>3703.4</v>
      </c>
      <c r="V15" s="2">
        <f>+V13+V14</f>
        <v>5161.9999999999991</v>
      </c>
    </row>
    <row r="16" spans="1:45" s="2" customFormat="1" x14ac:dyDescent="0.2">
      <c r="B16" s="2" t="s">
        <v>36</v>
      </c>
      <c r="E16" s="2">
        <v>39.299999999999997</v>
      </c>
      <c r="F16" s="2">
        <v>58.1</v>
      </c>
      <c r="G16" s="2">
        <v>50.3</v>
      </c>
      <c r="H16" s="2">
        <v>72.8</v>
      </c>
      <c r="I16" s="2">
        <v>51.4</v>
      </c>
      <c r="J16" s="2">
        <v>87.3</v>
      </c>
      <c r="K16" s="2">
        <v>22.5</v>
      </c>
      <c r="L16" s="2">
        <v>7.4</v>
      </c>
      <c r="T16" s="2">
        <v>0.2</v>
      </c>
      <c r="U16" s="2">
        <v>129.6</v>
      </c>
      <c r="V16" s="2">
        <v>261.8</v>
      </c>
    </row>
    <row r="17" spans="2:22" s="2" customFormat="1" x14ac:dyDescent="0.2">
      <c r="B17" s="2" t="s">
        <v>37</v>
      </c>
      <c r="E17" s="2">
        <v>1.5</v>
      </c>
      <c r="F17" s="2">
        <v>3.5</v>
      </c>
      <c r="G17" s="2">
        <v>-7.3</v>
      </c>
      <c r="H17" s="2">
        <v>-1.6</v>
      </c>
      <c r="I17" s="2">
        <v>-3.2</v>
      </c>
      <c r="J17" s="2">
        <v>12.2</v>
      </c>
      <c r="K17" s="2">
        <v>9</v>
      </c>
      <c r="L17" s="2">
        <v>7.3</v>
      </c>
      <c r="T17" s="2">
        <v>-28.8</v>
      </c>
      <c r="U17" s="2">
        <v>-0.9</v>
      </c>
      <c r="V17" s="2">
        <v>0.1</v>
      </c>
    </row>
    <row r="18" spans="2:22" s="5" customFormat="1" ht="15" x14ac:dyDescent="0.25">
      <c r="B18" s="5" t="s">
        <v>38</v>
      </c>
      <c r="E18" s="5">
        <f t="shared" ref="E18:L18" si="7">+E15-E16+E17</f>
        <v>968.29999999999984</v>
      </c>
      <c r="F18" s="5">
        <f t="shared" si="7"/>
        <v>846.3</v>
      </c>
      <c r="G18" s="5">
        <f t="shared" si="7"/>
        <v>1167.5000000000002</v>
      </c>
      <c r="H18" s="5">
        <f t="shared" si="7"/>
        <v>1301.1000000000001</v>
      </c>
      <c r="I18" s="5">
        <f t="shared" si="7"/>
        <v>1334.3999999999999</v>
      </c>
      <c r="J18" s="5">
        <f t="shared" si="7"/>
        <v>1097.3</v>
      </c>
      <c r="K18" s="5">
        <f t="shared" si="7"/>
        <v>1527.5</v>
      </c>
      <c r="L18" s="5">
        <f t="shared" si="7"/>
        <v>1724.7</v>
      </c>
      <c r="T18" s="5">
        <f>+T15-T16+T17</f>
        <v>3665.8</v>
      </c>
      <c r="U18" s="5">
        <f>+U15-U16+U17</f>
        <v>3572.9</v>
      </c>
      <c r="V18" s="5">
        <f>+V15-V16+V17</f>
        <v>4900.2999999999993</v>
      </c>
    </row>
    <row r="19" spans="2:22" s="2" customFormat="1" x14ac:dyDescent="0.2">
      <c r="B19" s="2" t="s">
        <v>1</v>
      </c>
      <c r="E19" s="2">
        <v>446.15600000000001</v>
      </c>
      <c r="F19" s="2">
        <v>446.34699999999998</v>
      </c>
      <c r="G19" s="2">
        <v>446.29399999999998</v>
      </c>
      <c r="H19" s="2">
        <v>452.35399999999998</v>
      </c>
      <c r="I19" s="2">
        <v>456.97699999999998</v>
      </c>
      <c r="J19" s="2">
        <v>457.13099999999997</v>
      </c>
      <c r="K19" s="2">
        <v>457.21100000000001</v>
      </c>
      <c r="L19" s="2">
        <v>459.81900000000002</v>
      </c>
      <c r="T19" s="2">
        <v>445.52</v>
      </c>
      <c r="U19" s="2">
        <v>446.10399999999998</v>
      </c>
      <c r="V19" s="2">
        <v>453.29399999999998</v>
      </c>
    </row>
    <row r="20" spans="2:22" x14ac:dyDescent="0.2">
      <c r="B20" s="2" t="s">
        <v>39</v>
      </c>
      <c r="E20" s="6">
        <f t="shared" ref="E20:L20" si="8">+E18/E19</f>
        <v>2.1703171088139572</v>
      </c>
      <c r="F20" s="6">
        <f t="shared" si="8"/>
        <v>1.8960584477995819</v>
      </c>
      <c r="G20" s="6">
        <f t="shared" si="8"/>
        <v>2.6159885635926101</v>
      </c>
      <c r="H20" s="6">
        <f t="shared" si="8"/>
        <v>2.8762871556347465</v>
      </c>
      <c r="I20" s="6">
        <f t="shared" si="8"/>
        <v>2.9200594340634209</v>
      </c>
      <c r="J20" s="6">
        <f t="shared" si="8"/>
        <v>2.4004060105308982</v>
      </c>
      <c r="K20" s="6">
        <f t="shared" si="8"/>
        <v>3.3409082458646009</v>
      </c>
      <c r="L20" s="6">
        <f t="shared" si="8"/>
        <v>3.7508236936707706</v>
      </c>
      <c r="T20" s="6">
        <f>+T18/T19</f>
        <v>8.2281379062668343</v>
      </c>
      <c r="U20" s="6">
        <f>+U18/U19</f>
        <v>8.0091189498412927</v>
      </c>
      <c r="V20" s="6">
        <f>+V18/V19</f>
        <v>10.81042325731203</v>
      </c>
    </row>
    <row r="23" spans="2:22" s="10" customFormat="1" x14ac:dyDescent="0.2">
      <c r="B23" s="10" t="s">
        <v>31</v>
      </c>
      <c r="E23" s="11">
        <f t="shared" ref="E23:L23" si="9">+E9/E5</f>
        <v>0.73540662725421024</v>
      </c>
      <c r="F23" s="11">
        <f t="shared" si="9"/>
        <v>0.73022379269729099</v>
      </c>
      <c r="G23" s="11">
        <f t="shared" si="9"/>
        <v>0.73393560342830677</v>
      </c>
      <c r="H23" s="11">
        <f t="shared" si="9"/>
        <v>0.7181695593544738</v>
      </c>
      <c r="I23" s="11">
        <f t="shared" si="9"/>
        <v>0.70488530334514932</v>
      </c>
      <c r="J23" s="11">
        <f t="shared" si="9"/>
        <v>0.69920660886635033</v>
      </c>
      <c r="K23" s="11">
        <f t="shared" si="9"/>
        <v>0.69950757433372179</v>
      </c>
      <c r="L23" s="11">
        <f t="shared" si="9"/>
        <v>0.6922933103989829</v>
      </c>
      <c r="T23" s="11">
        <f>+T9/T5</f>
        <v>0.70755774837407492</v>
      </c>
      <c r="U23" s="11">
        <f>+U9/U5</f>
        <v>0.72303674687558295</v>
      </c>
      <c r="V23" s="11">
        <f>+V9/V5</f>
        <v>0.71336660646154171</v>
      </c>
    </row>
    <row r="24" spans="2:22" s="10" customFormat="1" x14ac:dyDescent="0.2">
      <c r="B24" s="10" t="s">
        <v>40</v>
      </c>
      <c r="E24" s="11">
        <f t="shared" ref="E24:L24" si="10">+E13/E5</f>
        <v>0.64036961597694864</v>
      </c>
      <c r="F24" s="11">
        <f t="shared" si="10"/>
        <v>0.54440518256772674</v>
      </c>
      <c r="G24" s="11">
        <f t="shared" si="10"/>
        <v>0.62599027102154281</v>
      </c>
      <c r="H24" s="11">
        <f t="shared" si="10"/>
        <v>0.61072686937230847</v>
      </c>
      <c r="I24" s="11">
        <f t="shared" si="10"/>
        <v>0.58627714623314187</v>
      </c>
      <c r="J24" s="11">
        <f t="shared" si="10"/>
        <v>0.51958939964011119</v>
      </c>
      <c r="K24" s="11">
        <f t="shared" si="10"/>
        <v>0.57922038867796866</v>
      </c>
      <c r="L24" s="11">
        <f t="shared" si="10"/>
        <v>0.601577983023595</v>
      </c>
      <c r="T24" s="11">
        <f>+T13/T5</f>
        <v>0.58926427713942731</v>
      </c>
      <c r="U24" s="11">
        <f>+U13/U5</f>
        <v>0.59314804451905745</v>
      </c>
      <c r="V24" s="11">
        <f>+V13/V5</f>
        <v>0.58401821115967889</v>
      </c>
    </row>
    <row r="25" spans="2:22" s="10" customFormat="1" x14ac:dyDescent="0.2">
      <c r="B25" s="10" t="s">
        <v>41</v>
      </c>
      <c r="E25" s="11">
        <f t="shared" ref="E25:L25" si="11">+E16/E15</f>
        <v>3.9061723486730947E-2</v>
      </c>
      <c r="F25" s="11">
        <f t="shared" si="11"/>
        <v>6.4491064491064495E-2</v>
      </c>
      <c r="G25" s="11">
        <f t="shared" si="11"/>
        <v>4.1057872826708017E-2</v>
      </c>
      <c r="H25" s="11">
        <f t="shared" si="11"/>
        <v>5.2926208651399492E-2</v>
      </c>
      <c r="I25" s="11">
        <f t="shared" si="11"/>
        <v>3.7005039596832254E-2</v>
      </c>
      <c r="J25" s="11">
        <f t="shared" si="11"/>
        <v>7.4462640736949859E-2</v>
      </c>
      <c r="K25" s="11">
        <f t="shared" si="11"/>
        <v>1.4600908500973394E-2</v>
      </c>
      <c r="L25" s="11">
        <f t="shared" si="11"/>
        <v>4.2903525046382182E-3</v>
      </c>
      <c r="T25" s="11">
        <f>+T16/T15</f>
        <v>5.4130128829706612E-5</v>
      </c>
      <c r="U25" s="11">
        <f>+U16/U15</f>
        <v>3.4994869579305497E-2</v>
      </c>
      <c r="V25" s="11">
        <f>+V16/V15</f>
        <v>5.0716776443239069E-2</v>
      </c>
    </row>
    <row r="27" spans="2:22" s="10" customFormat="1" x14ac:dyDescent="0.2">
      <c r="B27" s="10" t="s">
        <v>26</v>
      </c>
      <c r="F27" s="11"/>
      <c r="H27" s="11"/>
      <c r="I27" s="11">
        <f>+I5/E5-1</f>
        <v>0.2192856078294998</v>
      </c>
      <c r="J27" s="11">
        <f>+J5/F5-1</f>
        <v>0.15203769140164902</v>
      </c>
      <c r="K27" s="11">
        <f>+K5/G5-1</f>
        <v>0.23247625665971738</v>
      </c>
      <c r="L27" s="11">
        <f>+L5/H5-1</f>
        <v>0.16329548914698333</v>
      </c>
      <c r="U27" s="11">
        <f>+U5/T5-1</f>
        <v>6.0841919185256721E-2</v>
      </c>
      <c r="V27" s="11">
        <f>+V5/U5-1</f>
        <v>0.16357644718025233</v>
      </c>
    </row>
    <row r="31" spans="2:22" s="4" customFormat="1" ht="15" x14ac:dyDescent="0.25">
      <c r="B31" s="4" t="s">
        <v>52</v>
      </c>
      <c r="I31" s="5">
        <f>+I32-SUM(I49,I51)</f>
        <v>-29846.100000000002</v>
      </c>
      <c r="J31" s="5">
        <f>+J32-SUM(J49,J51)</f>
        <v>-40910.899999999994</v>
      </c>
      <c r="K31" s="5">
        <f>+K32-SUM(K49,K51)</f>
        <v>-41193</v>
      </c>
      <c r="L31" s="5">
        <f>+L32-SUM(L49,L51)</f>
        <v>-38640.9</v>
      </c>
    </row>
    <row r="32" spans="2:22" s="2" customFormat="1" x14ac:dyDescent="0.2">
      <c r="B32" s="2" t="s">
        <v>3</v>
      </c>
      <c r="I32" s="2">
        <f>3277.2+422.1</f>
        <v>3699.2999999999997</v>
      </c>
      <c r="J32" s="2">
        <f>1949.9+393.4</f>
        <v>2343.3000000000002</v>
      </c>
      <c r="K32" s="2">
        <f>1941.5+329.9</f>
        <v>2271.4</v>
      </c>
      <c r="L32" s="2">
        <f>2066.7+136.4</f>
        <v>2203.1</v>
      </c>
    </row>
    <row r="33" spans="1:12" s="2" customFormat="1" x14ac:dyDescent="0.2">
      <c r="B33" s="2" t="s">
        <v>42</v>
      </c>
      <c r="I33" s="2">
        <v>750.6</v>
      </c>
      <c r="J33" s="2">
        <v>728.9</v>
      </c>
      <c r="K33" s="2">
        <v>820.4</v>
      </c>
      <c r="L33" s="2">
        <v>792.7</v>
      </c>
    </row>
    <row r="34" spans="1:12" s="2" customFormat="1" x14ac:dyDescent="0.2">
      <c r="B34" s="2" t="s">
        <v>43</v>
      </c>
      <c r="I34" s="2">
        <v>592</v>
      </c>
      <c r="J34" s="2">
        <v>657.2</v>
      </c>
      <c r="K34" s="2">
        <v>700.1</v>
      </c>
      <c r="L34" s="2">
        <v>729.8</v>
      </c>
    </row>
    <row r="35" spans="1:12" s="2" customFormat="1" x14ac:dyDescent="0.2">
      <c r="A35" s="7" t="s">
        <v>96</v>
      </c>
      <c r="B35" s="2" t="s">
        <v>44</v>
      </c>
      <c r="I35" s="2">
        <v>14268.1</v>
      </c>
      <c r="J35" s="2">
        <v>19784</v>
      </c>
      <c r="K35" s="2">
        <v>19916.400000000001</v>
      </c>
      <c r="L35" s="2">
        <v>19716</v>
      </c>
    </row>
    <row r="36" spans="1:12" s="2" customFormat="1" x14ac:dyDescent="0.2">
      <c r="A36" s="7"/>
      <c r="B36" s="2" t="s">
        <v>45</v>
      </c>
      <c r="I36" s="2">
        <f>10480.8+18768.4</f>
        <v>29249.200000000001</v>
      </c>
      <c r="J36" s="2">
        <f>13350.1+20727.2</f>
        <v>34077.300000000003</v>
      </c>
      <c r="K36" s="2">
        <f>13306.6+20224.8</f>
        <v>33531.4</v>
      </c>
      <c r="L36" s="2">
        <f>12969.5+19225.6</f>
        <v>32195.1</v>
      </c>
    </row>
    <row r="37" spans="1:12" s="2" customFormat="1" x14ac:dyDescent="0.2">
      <c r="A37" s="7"/>
      <c r="B37" s="2" t="s">
        <v>46</v>
      </c>
      <c r="I37" s="2">
        <v>150.19999999999999</v>
      </c>
      <c r="J37" s="2">
        <v>131.6</v>
      </c>
      <c r="K37" s="2">
        <v>179.2</v>
      </c>
      <c r="L37" s="2">
        <v>132.6</v>
      </c>
    </row>
    <row r="38" spans="1:12" s="2" customFormat="1" x14ac:dyDescent="0.2">
      <c r="A38" s="7"/>
      <c r="B38" s="2" t="s">
        <v>47</v>
      </c>
      <c r="I38" s="2">
        <v>2403.3000000000002</v>
      </c>
      <c r="J38" s="2">
        <v>2539.6</v>
      </c>
      <c r="K38" s="2">
        <v>2653.7</v>
      </c>
      <c r="L38" s="2">
        <v>2760.9</v>
      </c>
    </row>
    <row r="39" spans="1:12" s="2" customFormat="1" x14ac:dyDescent="0.2">
      <c r="A39" s="7"/>
      <c r="B39" s="2" t="s">
        <v>48</v>
      </c>
      <c r="I39" s="2">
        <v>9021.9</v>
      </c>
      <c r="J39" s="2">
        <v>9225.1</v>
      </c>
      <c r="K39" s="2">
        <v>9267.1</v>
      </c>
      <c r="L39" s="2">
        <v>9159.2000000000007</v>
      </c>
    </row>
    <row r="40" spans="1:12" s="2" customFormat="1" x14ac:dyDescent="0.2">
      <c r="A40" s="7"/>
      <c r="B40" s="2" t="s">
        <v>49</v>
      </c>
      <c r="I40" s="2">
        <v>395.4</v>
      </c>
      <c r="J40" s="2">
        <v>400.9</v>
      </c>
      <c r="K40" s="2">
        <v>423.8</v>
      </c>
      <c r="L40" s="2">
        <v>427.4</v>
      </c>
    </row>
    <row r="41" spans="1:12" s="5" customFormat="1" ht="15" x14ac:dyDescent="0.25">
      <c r="A41" s="8"/>
      <c r="B41" s="5" t="s">
        <v>51</v>
      </c>
      <c r="I41" s="5">
        <f>+SUM(I32:I34)</f>
        <v>5041.8999999999996</v>
      </c>
      <c r="J41" s="5">
        <f>+SUM(J32:J34)</f>
        <v>3729.4000000000005</v>
      </c>
      <c r="K41" s="5">
        <f>+SUM(K32:K34)</f>
        <v>3791.9</v>
      </c>
      <c r="L41" s="5">
        <f>+SUM(L32:L34)</f>
        <v>3725.6000000000004</v>
      </c>
    </row>
    <row r="42" spans="1:12" s="5" customFormat="1" ht="15" x14ac:dyDescent="0.25">
      <c r="A42" s="8"/>
      <c r="B42" s="5" t="s">
        <v>50</v>
      </c>
      <c r="I42" s="5">
        <f>+SUM(I32:I40)</f>
        <v>60530</v>
      </c>
      <c r="J42" s="5">
        <f>+SUM(J32:J40)</f>
        <v>69887.899999999994</v>
      </c>
      <c r="K42" s="5">
        <f>+SUM(K32:K40)</f>
        <v>69763.5</v>
      </c>
      <c r="L42" s="5">
        <f>+SUM(L32:L40)</f>
        <v>68116.799999999988</v>
      </c>
    </row>
    <row r="43" spans="1:12" x14ac:dyDescent="0.2">
      <c r="A43" s="1"/>
    </row>
    <row r="44" spans="1:12" s="2" customFormat="1" x14ac:dyDescent="0.2">
      <c r="A44" s="7"/>
      <c r="B44" s="2" t="s">
        <v>53</v>
      </c>
      <c r="I44" s="2">
        <v>217.4</v>
      </c>
      <c r="J44" s="2">
        <v>272.39999999999998</v>
      </c>
      <c r="K44" s="2">
        <v>215.4</v>
      </c>
      <c r="L44" s="2">
        <v>194.5</v>
      </c>
    </row>
    <row r="45" spans="1:12" s="2" customFormat="1" x14ac:dyDescent="0.2">
      <c r="A45" s="7"/>
      <c r="B45" s="2" t="s">
        <v>54</v>
      </c>
      <c r="I45" s="2">
        <v>1165.4000000000001</v>
      </c>
      <c r="J45" s="2">
        <v>1412.8</v>
      </c>
      <c r="K45" s="2">
        <v>1187.5</v>
      </c>
      <c r="L45" s="2">
        <v>1262.2</v>
      </c>
    </row>
    <row r="46" spans="1:12" s="2" customFormat="1" x14ac:dyDescent="0.2">
      <c r="A46" s="7"/>
      <c r="B46" s="2" t="s">
        <v>55</v>
      </c>
      <c r="I46" s="2">
        <v>602.20000000000005</v>
      </c>
      <c r="J46" s="2">
        <v>642.1</v>
      </c>
      <c r="K46" s="2">
        <v>644.5</v>
      </c>
      <c r="L46" s="2">
        <v>672.5</v>
      </c>
    </row>
    <row r="47" spans="1:12" s="2" customFormat="1" x14ac:dyDescent="0.2">
      <c r="A47" s="7"/>
      <c r="B47" s="2" t="s">
        <v>56</v>
      </c>
      <c r="I47" s="2">
        <v>250.2</v>
      </c>
      <c r="J47" s="2">
        <v>254.7</v>
      </c>
      <c r="K47" s="2">
        <v>195.6</v>
      </c>
      <c r="L47" s="2">
        <v>236.6</v>
      </c>
    </row>
    <row r="48" spans="1:12" s="2" customFormat="1" x14ac:dyDescent="0.2">
      <c r="A48" s="7"/>
      <c r="B48" s="2" t="s">
        <v>57</v>
      </c>
      <c r="I48" s="2">
        <v>734.3</v>
      </c>
      <c r="J48" s="2">
        <v>712.6</v>
      </c>
      <c r="K48" s="2">
        <v>731.4</v>
      </c>
      <c r="L48" s="2">
        <v>762.6</v>
      </c>
    </row>
    <row r="49" spans="1:22" s="2" customFormat="1" x14ac:dyDescent="0.2">
      <c r="A49" s="7"/>
      <c r="B49" s="2" t="s">
        <v>4</v>
      </c>
      <c r="I49" s="2">
        <v>2106.4</v>
      </c>
      <c r="J49" s="2">
        <v>4568.7</v>
      </c>
      <c r="K49" s="2">
        <v>5309.9</v>
      </c>
      <c r="L49" s="2">
        <v>3603.9</v>
      </c>
    </row>
    <row r="50" spans="1:22" s="2" customFormat="1" x14ac:dyDescent="0.2">
      <c r="A50" s="7"/>
      <c r="B50" s="2" t="s">
        <v>58</v>
      </c>
      <c r="I50" s="2">
        <v>1448.2</v>
      </c>
      <c r="J50" s="2">
        <v>1204</v>
      </c>
      <c r="K50" s="2">
        <v>1015.7</v>
      </c>
      <c r="L50" s="2">
        <v>729.4</v>
      </c>
    </row>
    <row r="51" spans="1:22" s="2" customFormat="1" x14ac:dyDescent="0.2">
      <c r="A51" s="7" t="s">
        <v>96</v>
      </c>
      <c r="B51" s="2" t="s">
        <v>62</v>
      </c>
      <c r="I51" s="2">
        <v>31439</v>
      </c>
      <c r="J51" s="2">
        <v>38685.5</v>
      </c>
      <c r="K51" s="2">
        <v>38154.5</v>
      </c>
      <c r="L51" s="2">
        <v>37240.1</v>
      </c>
    </row>
    <row r="52" spans="1:22" s="2" customFormat="1" x14ac:dyDescent="0.2">
      <c r="B52" s="2" t="s">
        <v>59</v>
      </c>
      <c r="I52" s="2">
        <v>7863.2</v>
      </c>
      <c r="J52" s="2">
        <v>8041.8</v>
      </c>
      <c r="K52" s="2">
        <v>8027.1</v>
      </c>
      <c r="L52" s="2">
        <v>7862</v>
      </c>
    </row>
    <row r="53" spans="1:22" s="2" customFormat="1" x14ac:dyDescent="0.2">
      <c r="B53" s="2" t="s">
        <v>60</v>
      </c>
      <c r="I53" s="2">
        <v>1930.2</v>
      </c>
      <c r="J53" s="2">
        <v>2003</v>
      </c>
      <c r="K53" s="2">
        <v>2062.5</v>
      </c>
      <c r="L53" s="2">
        <v>2029.7</v>
      </c>
    </row>
    <row r="54" spans="1:22" s="2" customFormat="1" x14ac:dyDescent="0.2">
      <c r="B54" s="2" t="s">
        <v>46</v>
      </c>
      <c r="I54" s="2">
        <v>1927.5</v>
      </c>
      <c r="J54" s="2">
        <v>1830.9</v>
      </c>
      <c r="K54" s="2">
        <v>1785.4</v>
      </c>
      <c r="L54" s="2">
        <v>1604.9</v>
      </c>
    </row>
    <row r="55" spans="1:22" s="2" customFormat="1" x14ac:dyDescent="0.2">
      <c r="B55" s="2" t="s">
        <v>61</v>
      </c>
      <c r="I55" s="2">
        <v>1157.5999999999999</v>
      </c>
      <c r="J55" s="2">
        <v>1189.8</v>
      </c>
      <c r="K55" s="2">
        <v>1183.3</v>
      </c>
      <c r="L55" s="2">
        <v>1192.2</v>
      </c>
    </row>
    <row r="56" spans="1:22" s="5" customFormat="1" ht="15" x14ac:dyDescent="0.25">
      <c r="B56" s="5" t="s">
        <v>63</v>
      </c>
      <c r="I56" s="5">
        <f>+SUM(I44:I50)</f>
        <v>6524.0999999999995</v>
      </c>
      <c r="J56" s="5">
        <f>+SUM(J44:J50)</f>
        <v>9067.2999999999993</v>
      </c>
      <c r="K56" s="5">
        <f>+SUM(K44:K50)</f>
        <v>9300</v>
      </c>
      <c r="L56" s="5">
        <f>+SUM(L44:L50)</f>
        <v>7461.6999999999989</v>
      </c>
    </row>
    <row r="57" spans="1:22" s="5" customFormat="1" ht="15" x14ac:dyDescent="0.25">
      <c r="B57" s="5" t="s">
        <v>64</v>
      </c>
      <c r="I57" s="5">
        <f>+SUM(I44:I55)</f>
        <v>50841.599999999991</v>
      </c>
      <c r="J57" s="5">
        <f>+SUM(J44:J55)</f>
        <v>60818.30000000001</v>
      </c>
      <c r="K57" s="5">
        <f>+SUM(K44:K55)</f>
        <v>60512.800000000003</v>
      </c>
      <c r="L57" s="5">
        <f>+SUM(L44:L55)</f>
        <v>57390.599999999991</v>
      </c>
    </row>
    <row r="58" spans="1:22" s="4" customFormat="1" ht="15" x14ac:dyDescent="0.25">
      <c r="B58" s="5" t="s">
        <v>65</v>
      </c>
      <c r="I58" s="12">
        <f>+I42-I57</f>
        <v>9688.4000000000087</v>
      </c>
      <c r="J58" s="5">
        <v>9069.6</v>
      </c>
      <c r="K58" s="5">
        <v>9250.7000000000007</v>
      </c>
      <c r="L58" s="5">
        <v>10726.2</v>
      </c>
    </row>
    <row r="59" spans="1:22" s="4" customFormat="1" ht="15" x14ac:dyDescent="0.25">
      <c r="B59" s="5" t="s">
        <v>66</v>
      </c>
      <c r="I59" s="5">
        <f>+SUM(I57:I58)</f>
        <v>60530</v>
      </c>
      <c r="J59" s="5">
        <f>+SUM(J57:J58)</f>
        <v>69887.900000000009</v>
      </c>
      <c r="K59" s="5">
        <f>+SUM(K57:K58)</f>
        <v>69763.5</v>
      </c>
      <c r="L59" s="5">
        <f>+SUM(L57:L58)</f>
        <v>68116.799999999988</v>
      </c>
    </row>
    <row r="61" spans="1:22" s="2" customFormat="1" x14ac:dyDescent="0.2">
      <c r="B61" s="2" t="s">
        <v>67</v>
      </c>
      <c r="G61" s="2">
        <f t="shared" ref="G61:L61" si="12">+G18</f>
        <v>1167.5000000000002</v>
      </c>
      <c r="H61" s="2">
        <f t="shared" si="12"/>
        <v>1301.1000000000001</v>
      </c>
      <c r="I61" s="2">
        <f t="shared" si="12"/>
        <v>1334.3999999999999</v>
      </c>
      <c r="J61" s="2">
        <f t="shared" si="12"/>
        <v>1097.3</v>
      </c>
      <c r="K61" s="2">
        <f t="shared" si="12"/>
        <v>1527.5</v>
      </c>
      <c r="L61" s="2">
        <f t="shared" si="12"/>
        <v>1724.7</v>
      </c>
      <c r="U61" s="2">
        <f>+U18</f>
        <v>3572.9</v>
      </c>
      <c r="V61" s="2">
        <f>+V18</f>
        <v>4900.2999999999993</v>
      </c>
    </row>
    <row r="62" spans="1:22" s="2" customFormat="1" x14ac:dyDescent="0.2">
      <c r="B62" s="2" t="s">
        <v>68</v>
      </c>
      <c r="G62" s="2">
        <v>652.29999999999995</v>
      </c>
      <c r="H62" s="2">
        <v>1400.2</v>
      </c>
      <c r="I62" s="2">
        <v>2126.4</v>
      </c>
      <c r="J62" s="2">
        <f>+V62-SUM(G62:I62)</f>
        <v>-1611.2999999999997</v>
      </c>
      <c r="K62" s="2">
        <v>702.7</v>
      </c>
      <c r="L62" s="2">
        <v>1593.6</v>
      </c>
      <c r="U62" s="2">
        <v>1691.5</v>
      </c>
      <c r="V62" s="2">
        <v>2567.6</v>
      </c>
    </row>
    <row r="63" spans="1:22" s="2" customFormat="1" x14ac:dyDescent="0.2">
      <c r="B63" s="2" t="s">
        <v>69</v>
      </c>
      <c r="G63" s="2">
        <v>522.5</v>
      </c>
      <c r="H63" s="2">
        <v>1077.3</v>
      </c>
      <c r="I63" s="2">
        <v>1688.7</v>
      </c>
      <c r="J63" s="2">
        <f>+V63-SUM(G63:I63)</f>
        <v>-955.90000000000009</v>
      </c>
      <c r="K63" s="2">
        <v>815.8</v>
      </c>
      <c r="L63" s="2">
        <v>1642.3</v>
      </c>
      <c r="U63" s="2">
        <v>1882.3</v>
      </c>
      <c r="V63" s="2">
        <v>2332.6</v>
      </c>
    </row>
    <row r="64" spans="1:22" s="2" customFormat="1" x14ac:dyDescent="0.2">
      <c r="B64" s="2" t="s">
        <v>70</v>
      </c>
      <c r="G64" s="2">
        <v>38</v>
      </c>
      <c r="H64" s="2">
        <v>69.900000000000006</v>
      </c>
      <c r="I64" s="2">
        <v>98</v>
      </c>
      <c r="J64" s="2">
        <f>+V64-SUM(G64:I64)</f>
        <v>-86.4</v>
      </c>
      <c r="K64" s="2">
        <v>56.7</v>
      </c>
      <c r="L64" s="2">
        <v>98.9</v>
      </c>
      <c r="U64" s="2">
        <v>120.8</v>
      </c>
      <c r="V64" s="2">
        <v>119.5</v>
      </c>
    </row>
    <row r="65" spans="2:22" s="2" customFormat="1" x14ac:dyDescent="0.2">
      <c r="B65" s="2" t="s">
        <v>71</v>
      </c>
      <c r="G65" s="2">
        <v>25.7</v>
      </c>
      <c r="H65" s="2">
        <v>25.7</v>
      </c>
      <c r="I65" s="2">
        <v>25.7</v>
      </c>
      <c r="J65" s="2">
        <f>+V65-SUM(G65:I65)</f>
        <v>-38.899999999999991</v>
      </c>
      <c r="U65" s="2">
        <v>71.8</v>
      </c>
      <c r="V65" s="2">
        <v>38.200000000000003</v>
      </c>
    </row>
    <row r="66" spans="2:22" s="2" customFormat="1" x14ac:dyDescent="0.2">
      <c r="B66" s="2" t="s">
        <v>72</v>
      </c>
      <c r="G66" s="2">
        <v>-87.5</v>
      </c>
      <c r="H66" s="2">
        <v>-209.1</v>
      </c>
      <c r="I66" s="2">
        <v>-340.8</v>
      </c>
      <c r="J66" s="2">
        <f t="shared" ref="J66:J95" si="13">+V66-SUM(G66:I66)</f>
        <v>297.30000000000007</v>
      </c>
      <c r="K66" s="2">
        <v>-232.8</v>
      </c>
      <c r="L66" s="2">
        <v>-655.5</v>
      </c>
      <c r="U66" s="2">
        <v>549.5</v>
      </c>
      <c r="V66" s="2">
        <v>-340.1</v>
      </c>
    </row>
    <row r="67" spans="2:22" s="2" customFormat="1" x14ac:dyDescent="0.2">
      <c r="B67" s="2" t="s">
        <v>73</v>
      </c>
      <c r="G67" s="2">
        <v>-119.9</v>
      </c>
      <c r="H67" s="2">
        <v>-224.7</v>
      </c>
      <c r="I67" s="2">
        <v>-324.3</v>
      </c>
      <c r="J67" s="2">
        <f t="shared" si="13"/>
        <v>203.30000000000007</v>
      </c>
      <c r="K67" s="2">
        <v>-109.3</v>
      </c>
      <c r="L67" s="2">
        <v>-222.7</v>
      </c>
      <c r="U67" s="2">
        <v>-322</v>
      </c>
      <c r="V67" s="2">
        <v>-465.6</v>
      </c>
    </row>
    <row r="68" spans="2:22" s="2" customFormat="1" x14ac:dyDescent="0.2">
      <c r="B68" s="2" t="s">
        <v>48</v>
      </c>
      <c r="G68" s="2">
        <v>4.0999999999999996</v>
      </c>
      <c r="H68" s="2">
        <v>14.7</v>
      </c>
      <c r="I68" s="2">
        <v>13.9</v>
      </c>
      <c r="J68" s="2">
        <f t="shared" si="13"/>
        <v>-65.400000000000006</v>
      </c>
      <c r="K68" s="2">
        <v>-26.6</v>
      </c>
      <c r="L68" s="2">
        <v>-7.1</v>
      </c>
      <c r="U68" s="2">
        <v>-10.9</v>
      </c>
      <c r="V68" s="2">
        <v>-32.700000000000003</v>
      </c>
    </row>
    <row r="69" spans="2:22" s="2" customFormat="1" x14ac:dyDescent="0.2">
      <c r="B69" s="2" t="s">
        <v>58</v>
      </c>
      <c r="G69" s="2">
        <v>111.8</v>
      </c>
      <c r="H69" s="2">
        <v>111.2</v>
      </c>
      <c r="I69" s="2">
        <v>995.1</v>
      </c>
      <c r="J69" s="2">
        <f t="shared" si="13"/>
        <v>-474.29999999999995</v>
      </c>
      <c r="K69" s="2">
        <v>-201.4</v>
      </c>
      <c r="L69" s="2">
        <v>-495.3</v>
      </c>
      <c r="U69" s="2">
        <v>60.7</v>
      </c>
      <c r="V69" s="2">
        <v>743.8</v>
      </c>
    </row>
    <row r="70" spans="2:22" s="2" customFormat="1" x14ac:dyDescent="0.2">
      <c r="B70" s="2" t="s">
        <v>74</v>
      </c>
      <c r="G70" s="2">
        <v>18.100000000000001</v>
      </c>
      <c r="H70" s="2">
        <v>-219.6</v>
      </c>
      <c r="I70" s="2">
        <v>-201.6</v>
      </c>
      <c r="J70" s="2">
        <f t="shared" si="13"/>
        <v>178.20000000000002</v>
      </c>
      <c r="K70" s="2">
        <v>-171.5</v>
      </c>
      <c r="L70" s="2">
        <v>-240.3</v>
      </c>
      <c r="U70" s="2">
        <v>-91.1</v>
      </c>
      <c r="V70" s="2">
        <v>-224.9</v>
      </c>
    </row>
    <row r="71" spans="2:22" s="2" customFormat="1" x14ac:dyDescent="0.2">
      <c r="B71" s="2" t="s">
        <v>75</v>
      </c>
      <c r="G71" s="2">
        <v>-72.400000000000006</v>
      </c>
      <c r="H71" s="2">
        <v>-1</v>
      </c>
      <c r="I71" s="2">
        <v>59.9</v>
      </c>
      <c r="J71" s="2">
        <f t="shared" si="13"/>
        <v>95</v>
      </c>
      <c r="K71" s="2">
        <v>-170</v>
      </c>
      <c r="L71" s="2">
        <v>-135</v>
      </c>
      <c r="U71" s="2">
        <v>-71.2</v>
      </c>
      <c r="V71" s="2">
        <v>81.5</v>
      </c>
    </row>
    <row r="72" spans="2:22" s="5" customFormat="1" ht="15" x14ac:dyDescent="0.25">
      <c r="B72" s="5" t="s">
        <v>76</v>
      </c>
      <c r="G72" s="5">
        <f>+SUM(G62:G71)</f>
        <v>1092.6999999999996</v>
      </c>
      <c r="H72" s="5">
        <f>+SUM(H62:H71)</f>
        <v>2044.6</v>
      </c>
      <c r="I72" s="5">
        <f>+SUM(I62:I71)</f>
        <v>4141</v>
      </c>
      <c r="J72" s="5">
        <f>+V72-SUM(G72:I72)</f>
        <v>-2458.3999999999996</v>
      </c>
      <c r="K72" s="5">
        <f>+SUM(K62:K71)</f>
        <v>663.60000000000025</v>
      </c>
      <c r="L72" s="5">
        <f>+SUM(L62:L71)</f>
        <v>1578.9</v>
      </c>
      <c r="U72" s="5">
        <f>+SUM(U62:U71)</f>
        <v>3881.4000000000005</v>
      </c>
      <c r="V72" s="5">
        <f>+SUM(V62:V71)</f>
        <v>4819.8999999999996</v>
      </c>
    </row>
    <row r="73" spans="2:22" s="5" customFormat="1" ht="15" x14ac:dyDescent="0.25">
      <c r="B73" s="5" t="s">
        <v>100</v>
      </c>
      <c r="G73" s="5">
        <f>+G72-G75</f>
        <v>1417.4999999999995</v>
      </c>
      <c r="H73" s="5">
        <f>+H72-H75</f>
        <v>2647.3</v>
      </c>
      <c r="I73" s="5">
        <f>+I72-I75</f>
        <v>5057.7</v>
      </c>
      <c r="J73" s="5">
        <f>+V73-SUM(G73:I73)</f>
        <v>-2925.9000000000005</v>
      </c>
      <c r="K73" s="5">
        <f>+K72-K75</f>
        <v>1049.7000000000003</v>
      </c>
      <c r="L73" s="5">
        <f>+L72-L75</f>
        <v>2335.1000000000004</v>
      </c>
      <c r="U73" s="5">
        <f>+U72-U75</f>
        <v>4913.1000000000004</v>
      </c>
      <c r="V73" s="5">
        <f>+V72-V75</f>
        <v>6196.5999999999995</v>
      </c>
    </row>
    <row r="74" spans="2:22" s="2" customFormat="1" x14ac:dyDescent="0.2"/>
    <row r="75" spans="2:22" s="2" customFormat="1" x14ac:dyDescent="0.2">
      <c r="B75" s="2" t="s">
        <v>77</v>
      </c>
      <c r="G75" s="2">
        <v>-324.8</v>
      </c>
      <c r="H75" s="2">
        <v>-602.70000000000005</v>
      </c>
      <c r="I75" s="2">
        <v>-916.7</v>
      </c>
      <c r="J75" s="2">
        <f t="shared" si="13"/>
        <v>467.5</v>
      </c>
      <c r="K75" s="2">
        <v>-386.1</v>
      </c>
      <c r="L75" s="2">
        <v>-756.2</v>
      </c>
      <c r="U75" s="2">
        <v>-1031.7</v>
      </c>
      <c r="V75" s="2">
        <v>-1376.7</v>
      </c>
    </row>
    <row r="76" spans="2:22" s="2" customFormat="1" x14ac:dyDescent="0.2">
      <c r="B76" s="2" t="s">
        <v>78</v>
      </c>
      <c r="G76" s="2">
        <v>-114.8</v>
      </c>
      <c r="H76" s="9">
        <v>-8882.6</v>
      </c>
      <c r="I76" s="9">
        <v>-9595.2999999999993</v>
      </c>
      <c r="J76" s="2">
        <f>+V76-SUM(G76:I76)</f>
        <v>-711.20000000000437</v>
      </c>
      <c r="K76" s="2">
        <v>-128.6</v>
      </c>
      <c r="L76" s="2">
        <v>-218.3</v>
      </c>
      <c r="U76" s="2">
        <v>-3799.1</v>
      </c>
      <c r="V76" s="2">
        <v>-19303.900000000001</v>
      </c>
    </row>
    <row r="77" spans="2:22" s="2" customFormat="1" x14ac:dyDescent="0.2">
      <c r="B77" s="2" t="s">
        <v>79</v>
      </c>
      <c r="G77" s="2">
        <v>4.4000000000000004</v>
      </c>
      <c r="H77" s="2">
        <v>7.9</v>
      </c>
      <c r="I77" s="2">
        <v>13.8</v>
      </c>
      <c r="J77" s="2">
        <f t="shared" si="13"/>
        <v>-11.8</v>
      </c>
      <c r="K77" s="2">
        <v>3.2</v>
      </c>
      <c r="L77" s="2">
        <v>9.1999999999999993</v>
      </c>
      <c r="U77" s="2">
        <v>19.600000000000001</v>
      </c>
      <c r="V77" s="2">
        <v>14.3</v>
      </c>
    </row>
    <row r="78" spans="2:22" s="2" customFormat="1" x14ac:dyDescent="0.2">
      <c r="B78" s="2" t="s">
        <v>80</v>
      </c>
      <c r="H78" s="2">
        <v>-25</v>
      </c>
      <c r="I78" s="2">
        <v>-25</v>
      </c>
      <c r="J78" s="2">
        <f t="shared" si="13"/>
        <v>25</v>
      </c>
      <c r="V78" s="2">
        <v>-25</v>
      </c>
    </row>
    <row r="79" spans="2:22" s="2" customFormat="1" x14ac:dyDescent="0.2">
      <c r="B79" s="2" t="s">
        <v>81</v>
      </c>
      <c r="G79" s="2">
        <v>-3.5</v>
      </c>
      <c r="H79" s="2">
        <v>-3.2</v>
      </c>
      <c r="I79" s="2">
        <v>-1.3</v>
      </c>
      <c r="J79" s="2">
        <f t="shared" si="13"/>
        <v>7.1</v>
      </c>
      <c r="K79" s="2">
        <v>-1.6</v>
      </c>
      <c r="L79" s="2">
        <v>61.8</v>
      </c>
      <c r="U79" s="2">
        <v>26.6</v>
      </c>
      <c r="V79" s="2">
        <v>-0.9</v>
      </c>
    </row>
    <row r="80" spans="2:22" s="5" customFormat="1" ht="15" x14ac:dyDescent="0.25">
      <c r="B80" s="5" t="s">
        <v>82</v>
      </c>
      <c r="G80" s="5">
        <f>+SUM(G75:G79)</f>
        <v>-438.70000000000005</v>
      </c>
      <c r="H80" s="5">
        <f>+SUM(H75:H79)</f>
        <v>-9505.6000000000022</v>
      </c>
      <c r="I80" s="5">
        <f>+SUM(I75:I79)</f>
        <v>-10524.5</v>
      </c>
      <c r="J80" s="5">
        <f>+V80-SUM(G80:I80)</f>
        <v>-223.40000000000146</v>
      </c>
      <c r="K80" s="5">
        <f>+SUM(K75:K79)</f>
        <v>-513.1</v>
      </c>
      <c r="L80" s="5">
        <f>+SUM(L75:L79)</f>
        <v>-903.5</v>
      </c>
      <c r="U80" s="5">
        <f>+SUM(U75:U79)</f>
        <v>-4784.5999999999995</v>
      </c>
      <c r="V80" s="5">
        <f>+SUM(V75:V79)</f>
        <v>-20692.200000000004</v>
      </c>
    </row>
    <row r="81" spans="2:22" s="2" customFormat="1" x14ac:dyDescent="0.2"/>
    <row r="82" spans="2:22" s="2" customFormat="1" x14ac:dyDescent="0.2">
      <c r="B82" s="2" t="s">
        <v>83</v>
      </c>
      <c r="G82" s="2">
        <v>1870</v>
      </c>
      <c r="H82" s="2">
        <v>6511.8</v>
      </c>
      <c r="I82" s="2">
        <v>7666.9</v>
      </c>
      <c r="J82" s="2">
        <f t="shared" si="13"/>
        <v>-3191.7999999999993</v>
      </c>
      <c r="K82" s="2">
        <v>2250</v>
      </c>
      <c r="L82" s="2">
        <v>2900</v>
      </c>
      <c r="U82" s="2">
        <v>8230.4</v>
      </c>
      <c r="V82" s="2">
        <v>12856.9</v>
      </c>
    </row>
    <row r="83" spans="2:22" s="2" customFormat="1" x14ac:dyDescent="0.2">
      <c r="B83" s="2" t="s">
        <v>84</v>
      </c>
      <c r="G83" s="2">
        <v>1398.4</v>
      </c>
      <c r="H83" s="2">
        <v>3828</v>
      </c>
      <c r="I83" s="2">
        <v>5609.4</v>
      </c>
      <c r="J83" s="2">
        <f t="shared" si="13"/>
        <v>-4074.1999999999989</v>
      </c>
      <c r="L83" s="2">
        <v>1293.5999999999999</v>
      </c>
      <c r="U83" s="2">
        <v>7925.1</v>
      </c>
      <c r="V83" s="2">
        <v>6761.6</v>
      </c>
    </row>
    <row r="84" spans="2:22" s="2" customFormat="1" x14ac:dyDescent="0.2">
      <c r="B84" s="2" t="s">
        <v>85</v>
      </c>
      <c r="H84" s="2">
        <v>2347</v>
      </c>
      <c r="I84" s="2">
        <v>2347</v>
      </c>
      <c r="J84" s="2">
        <f t="shared" si="13"/>
        <v>2653</v>
      </c>
      <c r="U84" s="2">
        <v>1940</v>
      </c>
      <c r="V84" s="2">
        <v>7347</v>
      </c>
    </row>
    <row r="85" spans="2:22" s="2" customFormat="1" x14ac:dyDescent="0.2">
      <c r="B85" s="2" t="s">
        <v>86</v>
      </c>
      <c r="G85" s="2">
        <v>-3071.3</v>
      </c>
      <c r="H85" s="2">
        <v>-6008.4</v>
      </c>
      <c r="I85" s="2">
        <v>-10752.8</v>
      </c>
      <c r="J85" s="2">
        <f t="shared" si="13"/>
        <v>6654.4</v>
      </c>
      <c r="K85" s="2">
        <v>-1817.1</v>
      </c>
      <c r="L85" s="2">
        <v>-5954</v>
      </c>
      <c r="U85" s="2">
        <v>-13875.4</v>
      </c>
      <c r="V85" s="2">
        <v>-13178.1</v>
      </c>
    </row>
    <row r="86" spans="2:22" s="2" customFormat="1" x14ac:dyDescent="0.2">
      <c r="B86" s="2" t="s">
        <v>102</v>
      </c>
      <c r="G86" s="2">
        <v>-8.1</v>
      </c>
      <c r="H86" s="2">
        <v>-225.7</v>
      </c>
      <c r="I86" s="2">
        <v>223.1</v>
      </c>
      <c r="J86" s="2">
        <f t="shared" si="13"/>
        <v>3088.8999999999996</v>
      </c>
      <c r="K86" s="2">
        <v>-0.1</v>
      </c>
      <c r="L86" s="2">
        <v>-0.1</v>
      </c>
      <c r="V86" s="2">
        <v>3078.2</v>
      </c>
    </row>
    <row r="87" spans="2:22" s="2" customFormat="1" x14ac:dyDescent="0.2">
      <c r="B87" s="2" t="s">
        <v>99</v>
      </c>
      <c r="G87" s="2">
        <v>1.9</v>
      </c>
      <c r="J87" s="2">
        <f t="shared" si="13"/>
        <v>-1.9</v>
      </c>
      <c r="K87" s="2">
        <v>8</v>
      </c>
    </row>
    <row r="88" spans="2:22" s="2" customFormat="1" x14ac:dyDescent="0.2">
      <c r="B88" s="2" t="s">
        <v>87</v>
      </c>
      <c r="I88" s="2">
        <v>3078.2</v>
      </c>
      <c r="J88" s="2">
        <f t="shared" si="13"/>
        <v>-3301.3999999999996</v>
      </c>
      <c r="L88" s="2">
        <v>48.4</v>
      </c>
      <c r="U88" s="2">
        <v>-12.3</v>
      </c>
      <c r="V88" s="2">
        <v>-223.2</v>
      </c>
    </row>
    <row r="89" spans="2:22" s="2" customFormat="1" x14ac:dyDescent="0.2">
      <c r="B89" s="2" t="s">
        <v>101</v>
      </c>
      <c r="U89" s="2">
        <v>-56</v>
      </c>
    </row>
    <row r="90" spans="2:22" s="2" customFormat="1" x14ac:dyDescent="0.2">
      <c r="B90" s="2" t="s">
        <v>88</v>
      </c>
      <c r="H90" s="2">
        <v>26.6</v>
      </c>
      <c r="I90" s="2">
        <v>60.4</v>
      </c>
      <c r="J90" s="2">
        <f t="shared" si="13"/>
        <v>9.7999999999999972</v>
      </c>
      <c r="L90" s="2">
        <v>19.8</v>
      </c>
      <c r="U90" s="2">
        <v>98.1</v>
      </c>
      <c r="V90" s="2">
        <v>96.8</v>
      </c>
    </row>
    <row r="91" spans="2:22" s="2" customFormat="1" x14ac:dyDescent="0.2">
      <c r="B91" s="2" t="s">
        <v>89</v>
      </c>
      <c r="G91" s="2">
        <v>-544.9</v>
      </c>
      <c r="H91" s="2">
        <v>-1096.4000000000001</v>
      </c>
      <c r="I91" s="2">
        <v>-1674.4</v>
      </c>
      <c r="J91" s="2">
        <f t="shared" si="13"/>
        <v>1044.7000000000003</v>
      </c>
      <c r="K91" s="2">
        <v>-641.20000000000005</v>
      </c>
      <c r="L91" s="2">
        <v>-1280.0999999999999</v>
      </c>
      <c r="U91" s="2">
        <v>-1928.2</v>
      </c>
      <c r="V91" s="2">
        <v>-2271</v>
      </c>
    </row>
    <row r="92" spans="2:22" s="2" customFormat="1" x14ac:dyDescent="0.2">
      <c r="B92" s="2" t="s">
        <v>90</v>
      </c>
      <c r="H92" s="2">
        <v>2361.8000000000002</v>
      </c>
      <c r="I92" s="2">
        <v>2361.8000000000002</v>
      </c>
      <c r="L92" s="2">
        <v>2291.6999999999998</v>
      </c>
      <c r="V92" s="2">
        <v>2361.8000000000002</v>
      </c>
    </row>
    <row r="93" spans="2:22" s="2" customFormat="1" x14ac:dyDescent="0.2">
      <c r="B93" s="2" t="s">
        <v>91</v>
      </c>
      <c r="G93" s="2">
        <v>-61.9</v>
      </c>
      <c r="H93" s="2">
        <v>-61.9</v>
      </c>
      <c r="I93" s="2">
        <v>-61.9</v>
      </c>
      <c r="J93" s="2">
        <f t="shared" si="13"/>
        <v>111.69999999999999</v>
      </c>
      <c r="U93" s="2">
        <v>-68.2</v>
      </c>
      <c r="V93" s="2">
        <v>-74</v>
      </c>
    </row>
    <row r="94" spans="2:22" s="2" customFormat="1" x14ac:dyDescent="0.2">
      <c r="B94" s="2" t="s">
        <v>92</v>
      </c>
      <c r="G94" s="2">
        <v>-61.3</v>
      </c>
      <c r="H94" s="2">
        <v>-93.3</v>
      </c>
      <c r="I94" s="2">
        <v>-126.2</v>
      </c>
      <c r="J94" s="2">
        <f t="shared" si="13"/>
        <v>125</v>
      </c>
      <c r="K94" s="2">
        <v>-50.5</v>
      </c>
      <c r="L94" s="2">
        <v>-74.7</v>
      </c>
      <c r="U94" s="2">
        <v>-176.5</v>
      </c>
      <c r="V94" s="2">
        <v>-155.80000000000001</v>
      </c>
    </row>
    <row r="95" spans="2:22" s="2" customFormat="1" x14ac:dyDescent="0.2">
      <c r="B95" s="2" t="s">
        <v>93</v>
      </c>
      <c r="G95" s="2">
        <v>-2.5</v>
      </c>
      <c r="H95" s="2">
        <v>-2.5</v>
      </c>
      <c r="I95" s="2">
        <v>-2.5</v>
      </c>
      <c r="J95" s="2">
        <f t="shared" si="13"/>
        <v>-168.2</v>
      </c>
      <c r="U95" s="2">
        <v>-861.7</v>
      </c>
      <c r="V95" s="2">
        <v>-175.7</v>
      </c>
    </row>
    <row r="96" spans="2:22" s="5" customFormat="1" ht="15" x14ac:dyDescent="0.25">
      <c r="B96" s="5" t="s">
        <v>94</v>
      </c>
      <c r="G96" s="5">
        <f>+SUM(G82:G95)</f>
        <v>-479.70000000000005</v>
      </c>
      <c r="H96" s="5">
        <f>+SUM(H82:H95)</f>
        <v>7587</v>
      </c>
      <c r="I96" s="5">
        <f>+SUM(I82:I95)</f>
        <v>8729.0000000000018</v>
      </c>
      <c r="J96" s="5">
        <f>+V96-SUM(G96:I96)</f>
        <v>588.19999999999345</v>
      </c>
      <c r="K96" s="5">
        <f>+SUM(K82:K95)</f>
        <v>-250.89999999999998</v>
      </c>
      <c r="L96" s="5">
        <f>+SUM(L82:L95)</f>
        <v>-755.39999999999986</v>
      </c>
      <c r="U96" s="5">
        <f>+SUM(U82:U95)</f>
        <v>1215.3000000000009</v>
      </c>
      <c r="V96" s="5">
        <f>+SUM(V82:V95)</f>
        <v>16424.499999999996</v>
      </c>
    </row>
    <row r="97" spans="2:22" s="5" customFormat="1" ht="15" x14ac:dyDescent="0.25">
      <c r="B97" s="5" t="s">
        <v>95</v>
      </c>
      <c r="G97" s="5">
        <f>+G96+G80+G72</f>
        <v>174.2999999999995</v>
      </c>
      <c r="H97" s="5">
        <f>+H96+H80+H72</f>
        <v>125.99999999999773</v>
      </c>
      <c r="I97" s="5">
        <f>+I96+I80+I72</f>
        <v>2345.5000000000018</v>
      </c>
      <c r="J97" s="5">
        <f>+V97-SUM(G97:I97)</f>
        <v>-2093.6000000000076</v>
      </c>
      <c r="K97" s="5">
        <f>+K96+K80+K72</f>
        <v>-100.39999999999975</v>
      </c>
      <c r="L97" s="5">
        <f>+L96+L80+L72</f>
        <v>-79.999999999999773</v>
      </c>
      <c r="U97" s="5">
        <f>+U96+U80+U72</f>
        <v>312.10000000000218</v>
      </c>
      <c r="V97" s="5">
        <f>+V96+V80+V72</f>
        <v>552.19999999999163</v>
      </c>
    </row>
  </sheetData>
  <hyperlinks>
    <hyperlink ref="A1" location="Main!A1" display="Main" xr:uid="{D931E0F4-5A99-4930-8B27-32DE753174C6}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2022-10-10T17:09:42Z</dcterms:created>
  <dcterms:modified xsi:type="dcterms:W3CDTF">2022-10-24T21:52:44Z</dcterms:modified>
</cp:coreProperties>
</file>