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52A09D10-0335-41E6-8C70-51ED6DA41F54}" xr6:coauthVersionLast="47" xr6:coauthVersionMax="47" xr10:uidLastSave="{00000000-0000-0000-0000-000000000000}"/>
  <bookViews>
    <workbookView xWindow="7290" yWindow="1620" windowWidth="13470" windowHeight="11955" activeTab="1" xr2:uid="{0206220C-02FB-4EA9-96E1-4BB3DD4E60E6}"/>
  </bookViews>
  <sheets>
    <sheet name="Main" sheetId="1" r:id="rId1"/>
    <sheet name="Mode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2" l="1"/>
  <c r="O7" i="2" s="1"/>
  <c r="W18" i="2" l="1"/>
  <c r="W15" i="2"/>
  <c r="W14" i="2"/>
  <c r="W9" i="2"/>
  <c r="W8" i="2"/>
  <c r="W6" i="2"/>
  <c r="W4" i="2"/>
  <c r="W3" i="2"/>
  <c r="M5" i="1"/>
  <c r="M9" i="1"/>
  <c r="O68" i="2"/>
  <c r="O69" i="2" s="1"/>
  <c r="O84" i="2"/>
  <c r="O77" i="2"/>
  <c r="O42" i="2"/>
  <c r="O31" i="2"/>
  <c r="O30" i="2" s="1"/>
  <c r="O54" i="2"/>
  <c r="O10" i="2"/>
  <c r="O22" i="2"/>
  <c r="O27" i="2"/>
  <c r="N84" i="2"/>
  <c r="N77" i="2"/>
  <c r="N68" i="2"/>
  <c r="N69" i="2" s="1"/>
  <c r="N42" i="2"/>
  <c r="N31" i="2"/>
  <c r="N54" i="2"/>
  <c r="N12" i="2"/>
  <c r="W12" i="2" s="1"/>
  <c r="N27" i="2"/>
  <c r="N10" i="2"/>
  <c r="N5" i="2"/>
  <c r="L27" i="2"/>
  <c r="K27" i="2"/>
  <c r="J27" i="2"/>
  <c r="M27" i="2"/>
  <c r="V18" i="2"/>
  <c r="V15" i="2"/>
  <c r="V14" i="2"/>
  <c r="V12" i="2"/>
  <c r="V9" i="2"/>
  <c r="V8" i="2"/>
  <c r="V6" i="2"/>
  <c r="V4" i="2"/>
  <c r="V3" i="2"/>
  <c r="G42" i="2"/>
  <c r="G31" i="2"/>
  <c r="G30" i="2" s="1"/>
  <c r="H54" i="2"/>
  <c r="H42" i="2"/>
  <c r="H31" i="2"/>
  <c r="H30" i="2" s="1"/>
  <c r="I42" i="2"/>
  <c r="I31" i="2"/>
  <c r="I54" i="2"/>
  <c r="F84" i="2"/>
  <c r="J84" i="2"/>
  <c r="F77" i="2"/>
  <c r="J77" i="2"/>
  <c r="F68" i="2"/>
  <c r="F69" i="2" s="1"/>
  <c r="J68" i="2"/>
  <c r="J69" i="2" s="1"/>
  <c r="F42" i="2"/>
  <c r="J42" i="2"/>
  <c r="J31" i="2"/>
  <c r="F31" i="2"/>
  <c r="J54" i="2"/>
  <c r="F10" i="2"/>
  <c r="F5" i="2"/>
  <c r="F7" i="2" s="1"/>
  <c r="F22" i="2" s="1"/>
  <c r="J10" i="2"/>
  <c r="J5" i="2"/>
  <c r="J7" i="2" s="1"/>
  <c r="J22" i="2" s="1"/>
  <c r="G84" i="2"/>
  <c r="K84" i="2"/>
  <c r="G77" i="2"/>
  <c r="K77" i="2"/>
  <c r="G60" i="2"/>
  <c r="G68" i="2" s="1"/>
  <c r="G69" i="2" s="1"/>
  <c r="K60" i="2"/>
  <c r="K68" i="2" s="1"/>
  <c r="K69" i="2" s="1"/>
  <c r="K42" i="2"/>
  <c r="K31" i="2"/>
  <c r="K54" i="2"/>
  <c r="K10" i="2"/>
  <c r="K5" i="2"/>
  <c r="K7" i="2" s="1"/>
  <c r="G10" i="2"/>
  <c r="G5" i="2"/>
  <c r="G7" i="2" s="1"/>
  <c r="G22" i="2" s="1"/>
  <c r="H84" i="2"/>
  <c r="H77" i="2"/>
  <c r="H68" i="2"/>
  <c r="H69" i="2" s="1"/>
  <c r="L84" i="2"/>
  <c r="L77" i="2"/>
  <c r="L68" i="2"/>
  <c r="L69" i="2" s="1"/>
  <c r="L42" i="2"/>
  <c r="L31" i="2"/>
  <c r="L30" i="2" s="1"/>
  <c r="L54" i="2"/>
  <c r="H10" i="2"/>
  <c r="H5" i="2"/>
  <c r="H7" i="2" s="1"/>
  <c r="H22" i="2" s="1"/>
  <c r="L10" i="2"/>
  <c r="L5" i="2"/>
  <c r="L7" i="2" s="1"/>
  <c r="L22" i="2" s="1"/>
  <c r="I84" i="2"/>
  <c r="M84" i="2"/>
  <c r="M77" i="2"/>
  <c r="I77" i="2"/>
  <c r="M68" i="2"/>
  <c r="M69" i="2" s="1"/>
  <c r="I68" i="2"/>
  <c r="I69" i="2" s="1"/>
  <c r="J46" i="2" l="1"/>
  <c r="K46" i="2"/>
  <c r="H46" i="2"/>
  <c r="H55" i="2" s="1"/>
  <c r="H56" i="2" s="1"/>
  <c r="W27" i="2"/>
  <c r="J55" i="2"/>
  <c r="J56" i="2" s="1"/>
  <c r="M8" i="1"/>
  <c r="N46" i="2"/>
  <c r="N55" i="2" s="1"/>
  <c r="N56" i="2" s="1"/>
  <c r="O26" i="2"/>
  <c r="N85" i="2"/>
  <c r="K55" i="2"/>
  <c r="K56" i="2" s="1"/>
  <c r="L26" i="2"/>
  <c r="O11" i="2"/>
  <c r="O46" i="2"/>
  <c r="O55" i="2" s="1"/>
  <c r="O56" i="2" s="1"/>
  <c r="K11" i="2"/>
  <c r="K23" i="2" s="1"/>
  <c r="F46" i="2"/>
  <c r="O85" i="2"/>
  <c r="N30" i="2"/>
  <c r="I46" i="2"/>
  <c r="I55" i="2" s="1"/>
  <c r="I56" i="2" s="1"/>
  <c r="I30" i="2"/>
  <c r="G85" i="2"/>
  <c r="K22" i="2"/>
  <c r="G46" i="2"/>
  <c r="F11" i="2"/>
  <c r="N26" i="2"/>
  <c r="N7" i="2"/>
  <c r="N22" i="2" s="1"/>
  <c r="J85" i="2"/>
  <c r="F30" i="2"/>
  <c r="F85" i="2"/>
  <c r="K30" i="2"/>
  <c r="J26" i="2"/>
  <c r="J30" i="2"/>
  <c r="J11" i="2"/>
  <c r="J23" i="2" s="1"/>
  <c r="I85" i="2"/>
  <c r="L46" i="2"/>
  <c r="L55" i="2" s="1"/>
  <c r="L56" i="2" s="1"/>
  <c r="M85" i="2"/>
  <c r="K26" i="2"/>
  <c r="K85" i="2"/>
  <c r="G11" i="2"/>
  <c r="G23" i="2" s="1"/>
  <c r="H85" i="2"/>
  <c r="L85" i="2"/>
  <c r="H11" i="2"/>
  <c r="H23" i="2" s="1"/>
  <c r="L11" i="2"/>
  <c r="L23" i="2" s="1"/>
  <c r="K13" i="2" l="1"/>
  <c r="K24" i="2" s="1"/>
  <c r="O23" i="2"/>
  <c r="O13" i="2"/>
  <c r="F13" i="2"/>
  <c r="F23" i="2"/>
  <c r="N11" i="2"/>
  <c r="J13" i="2"/>
  <c r="J24" i="2" s="1"/>
  <c r="G13" i="2"/>
  <c r="G24" i="2" s="1"/>
  <c r="L13" i="2"/>
  <c r="L24" i="2" s="1"/>
  <c r="H13" i="2"/>
  <c r="H24" i="2" s="1"/>
  <c r="K16" i="2" l="1"/>
  <c r="O24" i="2"/>
  <c r="O16" i="2"/>
  <c r="F16" i="2"/>
  <c r="F24" i="2"/>
  <c r="N13" i="2"/>
  <c r="N23" i="2"/>
  <c r="G16" i="2"/>
  <c r="G17" i="2" s="1"/>
  <c r="J16" i="2"/>
  <c r="H16" i="2"/>
  <c r="H58" i="2" s="1"/>
  <c r="L16" i="2"/>
  <c r="K17" i="2" l="1"/>
  <c r="K58" i="2"/>
  <c r="O58" i="2"/>
  <c r="O17" i="2"/>
  <c r="F17" i="2"/>
  <c r="F58" i="2"/>
  <c r="N16" i="2"/>
  <c r="N17" i="2" s="1"/>
  <c r="N24" i="2"/>
  <c r="J17" i="2"/>
  <c r="J58" i="2"/>
  <c r="G58" i="2"/>
  <c r="L58" i="2"/>
  <c r="L17" i="2"/>
  <c r="H17" i="2"/>
  <c r="N58" i="2" l="1"/>
  <c r="M42" i="2"/>
  <c r="M31" i="2"/>
  <c r="M30" i="2" s="1"/>
  <c r="M54" i="2"/>
  <c r="G54" i="2"/>
  <c r="I10" i="2"/>
  <c r="V10" i="2" s="1"/>
  <c r="M10" i="2"/>
  <c r="W10" i="2" s="1"/>
  <c r="I5" i="2"/>
  <c r="M5" i="2"/>
  <c r="W5" i="2" s="1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M7" i="1"/>
  <c r="M10" i="1" s="1"/>
  <c r="G55" i="2" l="1"/>
  <c r="G56" i="2" s="1"/>
  <c r="I7" i="2"/>
  <c r="I22" i="2" s="1"/>
  <c r="V5" i="2"/>
  <c r="W26" i="2" s="1"/>
  <c r="M46" i="2"/>
  <c r="M55" i="2" s="1"/>
  <c r="M56" i="2" s="1"/>
  <c r="M26" i="2"/>
  <c r="M7" i="2"/>
  <c r="I11" i="2" l="1"/>
  <c r="M22" i="2"/>
  <c r="W7" i="2"/>
  <c r="W22" i="2" s="1"/>
  <c r="V11" i="2"/>
  <c r="V23" i="2" s="1"/>
  <c r="I23" i="2"/>
  <c r="V7" i="2"/>
  <c r="V22" i="2" s="1"/>
  <c r="I13" i="2"/>
  <c r="I24" i="2" s="1"/>
  <c r="M11" i="2"/>
  <c r="M23" i="2" l="1"/>
  <c r="W11" i="2"/>
  <c r="W23" i="2" s="1"/>
  <c r="I16" i="2"/>
  <c r="V16" i="2" s="1"/>
  <c r="V17" i="2" s="1"/>
  <c r="V13" i="2"/>
  <c r="V24" i="2" s="1"/>
  <c r="M13" i="2"/>
  <c r="W13" i="2" s="1"/>
  <c r="W24" i="2" s="1"/>
  <c r="M16" i="2" l="1"/>
  <c r="W16" i="2" s="1"/>
  <c r="W17" i="2" s="1"/>
  <c r="M24" i="2"/>
  <c r="I17" i="2"/>
  <c r="I58" i="2"/>
  <c r="M17" i="2" l="1"/>
  <c r="M58" i="2"/>
</calcChain>
</file>

<file path=xl/sharedStrings.xml><?xml version="1.0" encoding="utf-8"?>
<sst xmlns="http://schemas.openxmlformats.org/spreadsheetml/2006/main" count="96" uniqueCount="88">
  <si>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</si>
  <si>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</si>
  <si>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</si>
  <si>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</si>
  <si>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</si>
  <si>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</si>
  <si>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</si>
  <si>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</si>
  <si>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</si>
  <si>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</si>
  <si>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</si>
  <si>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</si>
  <si>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</si>
  <si>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</si>
  <si>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</si>
  <si>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</si>
  <si>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</si>
  <si>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</si>
  <si>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</si>
  <si>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</si>
  <si>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Q122</t>
  </si>
  <si>
    <t>Q322</t>
  </si>
  <si>
    <t>Q422</t>
  </si>
  <si>
    <t>System Revenue</t>
  </si>
  <si>
    <t>Service &amp; Licensing Revenue</t>
  </si>
  <si>
    <t>Revenue</t>
  </si>
  <si>
    <t>COGS</t>
  </si>
  <si>
    <t>Gross Profit</t>
  </si>
  <si>
    <t>Revenue Growth Y/Y</t>
  </si>
  <si>
    <t>Gross Margin %</t>
  </si>
  <si>
    <t>R&amp;D</t>
  </si>
  <si>
    <t>sG&amp;A</t>
  </si>
  <si>
    <t>Operating Expenses</t>
  </si>
  <si>
    <t>Operating Income</t>
  </si>
  <si>
    <t>Other Income</t>
  </si>
  <si>
    <t>Pretax Income</t>
  </si>
  <si>
    <t>Taxes</t>
  </si>
  <si>
    <t>Net Income</t>
  </si>
  <si>
    <t>EPS</t>
  </si>
  <si>
    <t>Operating Margin %</t>
  </si>
  <si>
    <t>Tax Rate %</t>
  </si>
  <si>
    <t>A/R</t>
  </si>
  <si>
    <t>F/R</t>
  </si>
  <si>
    <t>Tax Assets</t>
  </si>
  <si>
    <t>Contact Assets</t>
  </si>
  <si>
    <t>Inventory</t>
  </si>
  <si>
    <t>OA</t>
  </si>
  <si>
    <t>Held for Sale, Assets</t>
  </si>
  <si>
    <t>Total Assets</t>
  </si>
  <si>
    <t>D/T</t>
  </si>
  <si>
    <t>OLTA</t>
  </si>
  <si>
    <t>Intangibles</t>
  </si>
  <si>
    <t>PP&amp;E</t>
  </si>
  <si>
    <t>Operating Right-of-Use</t>
  </si>
  <si>
    <t>Operating Finance</t>
  </si>
  <si>
    <t>A/P</t>
  </si>
  <si>
    <t>Contract Liabilties</t>
  </si>
  <si>
    <t>Accured Expenses</t>
  </si>
  <si>
    <t>Held of Sale</t>
  </si>
  <si>
    <t>Net Cash</t>
  </si>
  <si>
    <t>Model NI</t>
  </si>
  <si>
    <t>Reported NI</t>
  </si>
  <si>
    <t>D/A</t>
  </si>
  <si>
    <t>Impairment</t>
  </si>
  <si>
    <t>SBC</t>
  </si>
  <si>
    <t>Investments</t>
  </si>
  <si>
    <t>Change in A/L</t>
  </si>
  <si>
    <t>CFFO</t>
  </si>
  <si>
    <t>ST Investments</t>
  </si>
  <si>
    <t>Maturity, ST Investments</t>
  </si>
  <si>
    <t>Loans issued</t>
  </si>
  <si>
    <t>CFFI</t>
  </si>
  <si>
    <t>Dividend Paid</t>
  </si>
  <si>
    <t>Issuance of Shares</t>
  </si>
  <si>
    <t>Issuance of Bonds</t>
  </si>
  <si>
    <t>Repayment of Debt &amp; Lease</t>
  </si>
  <si>
    <t>CFFF</t>
  </si>
  <si>
    <t>CF</t>
  </si>
  <si>
    <t>CapEx</t>
  </si>
  <si>
    <t>Sale/Acquistion of Subsidiaries</t>
  </si>
  <si>
    <t>R&amp;D Y/Y</t>
  </si>
  <si>
    <t>S/E</t>
  </si>
  <si>
    <t>L + S/E</t>
  </si>
  <si>
    <t>Total Liabilties</t>
  </si>
  <si>
    <t>NC F/R</t>
  </si>
  <si>
    <t>Gain on Sale</t>
  </si>
  <si>
    <t>Purchase of Company Stocks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</si>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</sst>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2" fillId="0" borderId="0" xfId="1"/>
    <xf numFmtId="9" fontId="0" fillId="0" borderId="0" xfId="0" applyNumberFormat="1"/>
    <xf numFmtId="0" fontId="1" fillId="0" borderId="0" xfId="0" applyFont="1"/>
    <xf numFmtId="3" fontId="1" fillId="0" borderId="0" xfId="0" applyNumberFormat="1" applyFon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0</xdr:row>
      <xdr:rowOff>0</xdr:rowOff>
    </xdr:from>
    <xdr:to>
      <xdr:col>15</xdr:col>
      <xdr:colOff>47625</xdr:colOff>
      <xdr:row>47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2AE9E36-F403-48C3-8A57-C69798D070DE}"/>
            </a:ext>
          </a:extLst>
        </xdr:cNvPr>
        <xdr:cNvCxnSpPr/>
      </xdr:nvCxnSpPr>
      <xdr:spPr>
        <a:xfrm>
          <a:off x="11229975" y="0"/>
          <a:ext cx="0" cy="8601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verse/te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aaS"/>
      <sheetName val="Semiconductor"/>
    </sheetNames>
    <sheetDataSet>
      <sheetData sheetId="0"/>
      <sheetData sheetId="1"/>
      <sheetData sheetId="2">
        <row r="6">
          <cell r="F6">
            <v>554.39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48B3D-AF2D-4EF1-9DB2-66BD3AD8A2B7}">
  <dimension ref="L5:M10"/>
  <sheetViews>
    <sheetView topLeftCell="B1" workbookViewId="0">
      <selection activeCell="E25" sqref="E24:E25"/>
    </sheetView>
  </sheetViews>
  <sheetFormatPr defaultRowHeight="14.25" x14ac:dyDescent="0.2"/>
  <sheetData>
    <row r="5" spans="12:13" x14ac:dyDescent="0.2">
      <c r="L5" t="s">
        <v>0</v>
      </c>
      <c r="M5" s="6">
        <f>+[1]Semiconductor!$F$6</f>
        <v>554.39</v>
      </c>
    </row>
    <row r="6" spans="12:13" x14ac:dyDescent="0.2">
      <c r="L6" t="s">
        <v>1</v>
      </c>
      <c r="M6">
        <v>401.5</v>
      </c>
    </row>
    <row r="7" spans="12:13" x14ac:dyDescent="0.2">
      <c r="L7" t="s">
        <v>2</v>
      </c>
      <c r="M7" s="1">
        <f>+M5*M6</f>
        <v>222587.58499999999</v>
      </c>
    </row>
    <row r="8" spans="12:13" x14ac:dyDescent="0.2">
      <c r="L8" t="s">
        <v>3</v>
      </c>
      <c r="M8" s="1">
        <f>+Model!O31</f>
        <v>5662.6</v>
      </c>
    </row>
    <row r="9" spans="12:13" x14ac:dyDescent="0.2">
      <c r="L9" t="s">
        <v>4</v>
      </c>
      <c r="M9" s="1">
        <f>+Model!O50</f>
        <v>3951.7</v>
      </c>
    </row>
    <row r="10" spans="12:13" x14ac:dyDescent="0.2">
      <c r="L10" t="s">
        <v>5</v>
      </c>
      <c r="M10" s="1">
        <f>+M7-M8+M9</f>
        <v>220876.685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047E-8238-4B9A-9CD5-49498BE42DF2}">
  <dimension ref="A1:AR85"/>
  <sheetViews>
    <sheetView tabSelected="1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K14" sqref="K14"/>
    </sheetView>
  </sheetViews>
  <sheetFormatPr defaultRowHeight="14.25" x14ac:dyDescent="0.2"/>
  <cols>
    <col min="1" max="1" width="4.625" bestFit="1" customWidth="1"/>
    <col min="2" max="2" width="25.125" bestFit="1" customWidth="1"/>
  </cols>
  <sheetData>
    <row r="1" spans="1:44" x14ac:dyDescent="0.2">
      <c r="A1" s="2" t="s">
        <v>6</v>
      </c>
    </row>
    <row r="2" spans="1:44" x14ac:dyDescent="0.2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20</v>
      </c>
      <c r="P2" t="s">
        <v>19</v>
      </c>
      <c r="Q2" t="s">
        <v>21</v>
      </c>
      <c r="R2" t="s">
        <v>22</v>
      </c>
      <c r="U2">
        <v>2019</v>
      </c>
      <c r="V2">
        <f>+U2+1</f>
        <v>2020</v>
      </c>
      <c r="W2">
        <f t="shared" ref="W2:AR2" si="0">+V2+1</f>
        <v>2021</v>
      </c>
      <c r="X2">
        <f t="shared" si="0"/>
        <v>2022</v>
      </c>
      <c r="Y2">
        <f t="shared" si="0"/>
        <v>2023</v>
      </c>
      <c r="Z2">
        <f t="shared" si="0"/>
        <v>2024</v>
      </c>
      <c r="AA2">
        <f t="shared" si="0"/>
        <v>2025</v>
      </c>
      <c r="AB2">
        <f t="shared" si="0"/>
        <v>2026</v>
      </c>
      <c r="AC2">
        <f t="shared" si="0"/>
        <v>2027</v>
      </c>
      <c r="AD2">
        <f t="shared" si="0"/>
        <v>2028</v>
      </c>
      <c r="AE2">
        <f t="shared" si="0"/>
        <v>2029</v>
      </c>
      <c r="AF2">
        <f t="shared" si="0"/>
        <v>2030</v>
      </c>
      <c r="AG2">
        <f t="shared" si="0"/>
        <v>2031</v>
      </c>
      <c r="AH2">
        <f t="shared" si="0"/>
        <v>2032</v>
      </c>
      <c r="AI2">
        <f t="shared" si="0"/>
        <v>2033</v>
      </c>
      <c r="AJ2">
        <f t="shared" si="0"/>
        <v>2034</v>
      </c>
      <c r="AK2">
        <f t="shared" si="0"/>
        <v>2035</v>
      </c>
      <c r="AL2">
        <f t="shared" si="0"/>
        <v>2036</v>
      </c>
      <c r="AM2">
        <f t="shared" si="0"/>
        <v>2037</v>
      </c>
      <c r="AN2">
        <f t="shared" si="0"/>
        <v>2038</v>
      </c>
      <c r="AO2">
        <f t="shared" si="0"/>
        <v>2039</v>
      </c>
      <c r="AP2">
        <f t="shared" si="0"/>
        <v>2040</v>
      </c>
      <c r="AQ2">
        <f t="shared" si="0"/>
        <v>2041</v>
      </c>
      <c r="AR2">
        <f t="shared" si="0"/>
        <v>2042</v>
      </c>
    </row>
    <row r="3" spans="1:44" x14ac:dyDescent="0.2">
      <c r="B3" t="s">
        <v>23</v>
      </c>
      <c r="F3" s="1">
        <v>3130.7</v>
      </c>
      <c r="G3" s="1">
        <v>1584</v>
      </c>
      <c r="H3" s="1">
        <v>2438.6</v>
      </c>
      <c r="I3" s="1">
        <v>3095.6</v>
      </c>
      <c r="J3" s="1">
        <v>3198.3</v>
      </c>
      <c r="K3" s="1">
        <v>3128.8</v>
      </c>
      <c r="L3" s="1">
        <v>2949.6</v>
      </c>
      <c r="M3" s="1">
        <v>4111.1000000000004</v>
      </c>
      <c r="N3" s="1">
        <v>3463.2</v>
      </c>
      <c r="O3" s="1">
        <v>2287.1999999999998</v>
      </c>
      <c r="V3" s="1">
        <f>+SUM(G3:J3)</f>
        <v>10316.5</v>
      </c>
      <c r="W3" s="1">
        <f>+SUM(K3:N3)</f>
        <v>13652.7</v>
      </c>
    </row>
    <row r="4" spans="1:44" x14ac:dyDescent="0.2">
      <c r="B4" t="s">
        <v>24</v>
      </c>
      <c r="F4" s="1">
        <v>905.7</v>
      </c>
      <c r="G4" s="1">
        <v>856.6</v>
      </c>
      <c r="H4" s="1">
        <v>887.1</v>
      </c>
      <c r="I4" s="1">
        <v>862.4</v>
      </c>
      <c r="J4" s="1">
        <v>1055.8</v>
      </c>
      <c r="K4" s="1">
        <v>1235.0999999999999</v>
      </c>
      <c r="L4" s="1">
        <v>1070.5999999999999</v>
      </c>
      <c r="M4" s="1">
        <v>1130.2</v>
      </c>
      <c r="N4" s="1">
        <v>1522.4</v>
      </c>
      <c r="O4" s="1">
        <v>1247.2</v>
      </c>
      <c r="V4" s="1">
        <f t="shared" ref="V4:V16" si="1">+SUM(G4:J4)</f>
        <v>3661.8999999999996</v>
      </c>
      <c r="W4" s="1">
        <f t="shared" ref="W4:W15" si="2">+SUM(K4:N4)</f>
        <v>4958.2999999999993</v>
      </c>
    </row>
    <row r="5" spans="1:44" s="4" customFormat="1" ht="15" x14ac:dyDescent="0.25">
      <c r="B5" s="4" t="s">
        <v>25</v>
      </c>
      <c r="F5" s="5">
        <f t="shared" ref="F5:N5" si="3">+SUM(F3:F4)</f>
        <v>4036.3999999999996</v>
      </c>
      <c r="G5" s="5">
        <f t="shared" si="3"/>
        <v>2440.6</v>
      </c>
      <c r="H5" s="5">
        <f t="shared" si="3"/>
        <v>3325.7</v>
      </c>
      <c r="I5" s="5">
        <f t="shared" si="3"/>
        <v>3958</v>
      </c>
      <c r="J5" s="5">
        <f t="shared" si="3"/>
        <v>4254.1000000000004</v>
      </c>
      <c r="K5" s="5">
        <f t="shared" si="3"/>
        <v>4363.8999999999996</v>
      </c>
      <c r="L5" s="5">
        <f t="shared" si="3"/>
        <v>4020.2</v>
      </c>
      <c r="M5" s="5">
        <f t="shared" si="3"/>
        <v>5241.3</v>
      </c>
      <c r="N5" s="5">
        <f t="shared" si="3"/>
        <v>4985.6000000000004</v>
      </c>
      <c r="O5" s="5">
        <f>+SUM(O3:O4)</f>
        <v>3534.3999999999996</v>
      </c>
      <c r="V5" s="5">
        <f t="shared" si="1"/>
        <v>13978.4</v>
      </c>
      <c r="W5" s="5">
        <f t="shared" si="2"/>
        <v>18611</v>
      </c>
    </row>
    <row r="6" spans="1:44" x14ac:dyDescent="0.2">
      <c r="B6" t="s">
        <v>26</v>
      </c>
      <c r="F6" s="1">
        <v>2096.3000000000002</v>
      </c>
      <c r="G6" s="1">
        <v>1339.2</v>
      </c>
      <c r="H6" s="1">
        <v>1722.5</v>
      </c>
      <c r="I6" s="1">
        <v>2076.6</v>
      </c>
      <c r="J6" s="1">
        <v>2043</v>
      </c>
      <c r="K6" s="1">
        <v>2011.5</v>
      </c>
      <c r="L6" s="1">
        <v>1975.6</v>
      </c>
      <c r="M6" s="1">
        <v>2529</v>
      </c>
      <c r="N6" s="1">
        <v>2285</v>
      </c>
      <c r="O6" s="1">
        <v>1803.4</v>
      </c>
      <c r="V6" s="1">
        <f t="shared" si="1"/>
        <v>7181.2999999999993</v>
      </c>
      <c r="W6" s="1">
        <f t="shared" si="2"/>
        <v>8801.1</v>
      </c>
    </row>
    <row r="7" spans="1:44" x14ac:dyDescent="0.2">
      <c r="B7" t="s">
        <v>27</v>
      </c>
      <c r="F7" s="1">
        <f t="shared" ref="F7:M7" si="4">+F5-F6</f>
        <v>1940.0999999999995</v>
      </c>
      <c r="G7" s="1">
        <f t="shared" si="4"/>
        <v>1101.3999999999999</v>
      </c>
      <c r="H7" s="1">
        <f t="shared" si="4"/>
        <v>1603.1999999999998</v>
      </c>
      <c r="I7" s="1">
        <f t="shared" si="4"/>
        <v>1881.4</v>
      </c>
      <c r="J7" s="1">
        <f t="shared" si="4"/>
        <v>2211.1000000000004</v>
      </c>
      <c r="K7" s="1">
        <f t="shared" si="4"/>
        <v>2352.3999999999996</v>
      </c>
      <c r="L7" s="1">
        <f t="shared" si="4"/>
        <v>2044.6</v>
      </c>
      <c r="M7" s="1">
        <f t="shared" si="4"/>
        <v>2712.3</v>
      </c>
      <c r="N7" s="1">
        <f t="shared" ref="N7" si="5">+N5-N6</f>
        <v>2700.6000000000004</v>
      </c>
      <c r="O7" s="1">
        <f>+O5-O6</f>
        <v>1730.9999999999995</v>
      </c>
      <c r="V7" s="1">
        <f t="shared" si="1"/>
        <v>6797.1</v>
      </c>
      <c r="W7" s="1">
        <f t="shared" si="2"/>
        <v>9809.9000000000015</v>
      </c>
    </row>
    <row r="8" spans="1:44" x14ac:dyDescent="0.2">
      <c r="B8" t="s">
        <v>30</v>
      </c>
      <c r="F8" s="1">
        <v>516.1</v>
      </c>
      <c r="G8" s="1">
        <v>544</v>
      </c>
      <c r="H8" s="1">
        <v>566.9</v>
      </c>
      <c r="I8" s="1">
        <v>534</v>
      </c>
      <c r="J8" s="1">
        <v>555.9</v>
      </c>
      <c r="K8" s="1">
        <v>623.4</v>
      </c>
      <c r="L8" s="1">
        <v>633.79999999999995</v>
      </c>
      <c r="M8" s="1">
        <v>609.20000000000005</v>
      </c>
      <c r="N8" s="1">
        <v>680.6</v>
      </c>
      <c r="O8" s="1">
        <v>738.7</v>
      </c>
      <c r="V8" s="1">
        <f t="shared" si="1"/>
        <v>2200.8000000000002</v>
      </c>
      <c r="W8" s="1">
        <f t="shared" si="2"/>
        <v>2547</v>
      </c>
    </row>
    <row r="9" spans="1:44" x14ac:dyDescent="0.2">
      <c r="B9" t="s">
        <v>31</v>
      </c>
      <c r="F9" s="1">
        <v>147.6</v>
      </c>
      <c r="G9" s="1">
        <v>130.69999999999999</v>
      </c>
      <c r="H9" s="1">
        <v>131.19999999999999</v>
      </c>
      <c r="I9" s="1">
        <v>131.5</v>
      </c>
      <c r="J9" s="1">
        <v>151.5</v>
      </c>
      <c r="K9" s="1">
        <v>168.4</v>
      </c>
      <c r="L9" s="1">
        <v>171.8</v>
      </c>
      <c r="M9" s="1">
        <v>182.9</v>
      </c>
      <c r="N9" s="1">
        <v>202.5</v>
      </c>
      <c r="O9" s="1">
        <v>207.7</v>
      </c>
      <c r="V9" s="1">
        <f t="shared" si="1"/>
        <v>544.9</v>
      </c>
      <c r="W9" s="1">
        <f t="shared" si="2"/>
        <v>725.6</v>
      </c>
    </row>
    <row r="10" spans="1:44" x14ac:dyDescent="0.2">
      <c r="B10" t="s">
        <v>32</v>
      </c>
      <c r="F10" s="1">
        <f t="shared" ref="F10:M10" si="6">+SUM(F8:F9)</f>
        <v>663.7</v>
      </c>
      <c r="G10" s="1">
        <f t="shared" si="6"/>
        <v>674.7</v>
      </c>
      <c r="H10" s="1">
        <f t="shared" si="6"/>
        <v>698.09999999999991</v>
      </c>
      <c r="I10" s="1">
        <f t="shared" si="6"/>
        <v>665.5</v>
      </c>
      <c r="J10" s="1">
        <f t="shared" si="6"/>
        <v>707.4</v>
      </c>
      <c r="K10" s="1">
        <f t="shared" si="6"/>
        <v>791.8</v>
      </c>
      <c r="L10" s="1">
        <f t="shared" si="6"/>
        <v>805.59999999999991</v>
      </c>
      <c r="M10" s="1">
        <f t="shared" si="6"/>
        <v>792.1</v>
      </c>
      <c r="N10" s="1">
        <f t="shared" ref="N10:O10" si="7">+SUM(N8:N9)</f>
        <v>883.1</v>
      </c>
      <c r="O10" s="1">
        <f t="shared" si="7"/>
        <v>946.40000000000009</v>
      </c>
      <c r="V10" s="1">
        <f t="shared" si="1"/>
        <v>2745.7</v>
      </c>
      <c r="W10" s="1">
        <f t="shared" si="2"/>
        <v>3272.6</v>
      </c>
    </row>
    <row r="11" spans="1:44" x14ac:dyDescent="0.2">
      <c r="B11" t="s">
        <v>33</v>
      </c>
      <c r="F11" s="1">
        <f t="shared" ref="F11:M11" si="8">+F7-F10</f>
        <v>1276.3999999999994</v>
      </c>
      <c r="G11" s="1">
        <f t="shared" si="8"/>
        <v>426.69999999999982</v>
      </c>
      <c r="H11" s="1">
        <f t="shared" si="8"/>
        <v>905.09999999999991</v>
      </c>
      <c r="I11" s="1">
        <f t="shared" si="8"/>
        <v>1215.9000000000001</v>
      </c>
      <c r="J11" s="1">
        <f t="shared" si="8"/>
        <v>1503.7000000000003</v>
      </c>
      <c r="K11" s="1">
        <f t="shared" si="8"/>
        <v>1560.5999999999997</v>
      </c>
      <c r="L11" s="1">
        <f t="shared" si="8"/>
        <v>1239</v>
      </c>
      <c r="M11" s="1">
        <f t="shared" si="8"/>
        <v>1920.2000000000003</v>
      </c>
      <c r="N11" s="1">
        <f t="shared" ref="N11:O11" si="9">+N7-N10</f>
        <v>1817.5000000000005</v>
      </c>
      <c r="O11" s="1">
        <f t="shared" si="9"/>
        <v>784.59999999999945</v>
      </c>
      <c r="V11" s="1">
        <f t="shared" si="1"/>
        <v>4051.4</v>
      </c>
      <c r="W11" s="1">
        <f t="shared" si="2"/>
        <v>6537.2999999999993</v>
      </c>
    </row>
    <row r="12" spans="1:44" x14ac:dyDescent="0.2">
      <c r="B12" t="s">
        <v>34</v>
      </c>
      <c r="F12" s="1">
        <v>-4.8</v>
      </c>
      <c r="G12" s="1">
        <v>-11.4</v>
      </c>
      <c r="H12" s="1">
        <v>-7.1</v>
      </c>
      <c r="I12" s="1">
        <v>-8.4</v>
      </c>
      <c r="J12" s="1">
        <v>-8</v>
      </c>
      <c r="K12" s="1">
        <v>-12.1</v>
      </c>
      <c r="L12" s="1">
        <v>-9.8000000000000007</v>
      </c>
      <c r="M12" s="1">
        <v>-10.5</v>
      </c>
      <c r="N12" s="1">
        <f>213.7+-12.2</f>
        <v>201.5</v>
      </c>
      <c r="O12" s="1">
        <v>-15.6</v>
      </c>
      <c r="V12" s="1">
        <f t="shared" si="1"/>
        <v>-34.9</v>
      </c>
      <c r="W12" s="1">
        <f t="shared" si="2"/>
        <v>169.1</v>
      </c>
    </row>
    <row r="13" spans="1:44" x14ac:dyDescent="0.2">
      <c r="B13" t="s">
        <v>35</v>
      </c>
      <c r="F13" s="1">
        <f t="shared" ref="F13:M13" si="10">+SUM(F11:F12)</f>
        <v>1271.5999999999995</v>
      </c>
      <c r="G13" s="1">
        <f t="shared" si="10"/>
        <v>415.29999999999984</v>
      </c>
      <c r="H13" s="1">
        <f t="shared" si="10"/>
        <v>897.99999999999989</v>
      </c>
      <c r="I13" s="1">
        <f t="shared" si="10"/>
        <v>1207.5</v>
      </c>
      <c r="J13" s="1">
        <f t="shared" si="10"/>
        <v>1495.7000000000003</v>
      </c>
      <c r="K13" s="1">
        <f t="shared" si="10"/>
        <v>1548.4999999999998</v>
      </c>
      <c r="L13" s="1">
        <f t="shared" si="10"/>
        <v>1229.2</v>
      </c>
      <c r="M13" s="1">
        <f t="shared" si="10"/>
        <v>1909.7000000000003</v>
      </c>
      <c r="N13" s="1">
        <f t="shared" ref="N13:O13" si="11">+SUM(N11:N12)</f>
        <v>2019.0000000000005</v>
      </c>
      <c r="O13" s="1">
        <f t="shared" si="11"/>
        <v>768.99999999999943</v>
      </c>
      <c r="V13" s="1">
        <f t="shared" si="1"/>
        <v>4016.5</v>
      </c>
      <c r="W13" s="1">
        <f t="shared" si="2"/>
        <v>6706.4</v>
      </c>
    </row>
    <row r="14" spans="1:44" x14ac:dyDescent="0.2">
      <c r="B14" t="s">
        <v>36</v>
      </c>
      <c r="F14" s="1">
        <v>124.5</v>
      </c>
      <c r="G14" s="1">
        <v>48.5</v>
      </c>
      <c r="H14" s="1">
        <v>166.4</v>
      </c>
      <c r="I14" s="1">
        <v>166.5</v>
      </c>
      <c r="J14" s="1">
        <v>170.2</v>
      </c>
      <c r="K14" s="1">
        <v>230.3</v>
      </c>
      <c r="L14" s="1">
        <v>204.2</v>
      </c>
      <c r="M14" s="1">
        <v>270.89999999999998</v>
      </c>
      <c r="N14" s="1">
        <v>316</v>
      </c>
      <c r="O14" s="1">
        <v>114.4</v>
      </c>
      <c r="V14" s="1">
        <f t="shared" si="1"/>
        <v>551.59999999999991</v>
      </c>
      <c r="W14" s="1">
        <f t="shared" si="2"/>
        <v>1021.4</v>
      </c>
    </row>
    <row r="15" spans="1:44" x14ac:dyDescent="0.2">
      <c r="B15" t="s">
        <v>65</v>
      </c>
      <c r="F15" s="1">
        <v>-13.1</v>
      </c>
      <c r="G15" s="1">
        <v>23.8</v>
      </c>
      <c r="H15" s="1">
        <v>19.399999999999999</v>
      </c>
      <c r="I15" s="1">
        <v>20.5</v>
      </c>
      <c r="J15" s="1">
        <v>25</v>
      </c>
      <c r="K15" s="1">
        <v>13.2</v>
      </c>
      <c r="L15" s="1">
        <v>13.2</v>
      </c>
      <c r="M15" s="1">
        <v>102.3</v>
      </c>
      <c r="N15" s="1">
        <v>70.400000000000006</v>
      </c>
      <c r="O15" s="1">
        <v>40.700000000000003</v>
      </c>
      <c r="V15" s="1">
        <f t="shared" si="1"/>
        <v>88.7</v>
      </c>
      <c r="W15" s="1">
        <f t="shared" si="2"/>
        <v>199.1</v>
      </c>
    </row>
    <row r="16" spans="1:44" s="4" customFormat="1" ht="15" x14ac:dyDescent="0.25">
      <c r="B16" s="4" t="s">
        <v>37</v>
      </c>
      <c r="F16" s="5">
        <f>+F13+F15-F14</f>
        <v>1133.9999999999995</v>
      </c>
      <c r="G16" s="5">
        <f>+G13+G15-G14</f>
        <v>390.59999999999985</v>
      </c>
      <c r="H16" s="5">
        <f t="shared" ref="H16:M16" si="12">+H13+H15-H14</f>
        <v>750.99999999999989</v>
      </c>
      <c r="I16" s="5">
        <f t="shared" si="12"/>
        <v>1061.5</v>
      </c>
      <c r="J16" s="5">
        <f>+J13+J15-J14</f>
        <v>1350.5000000000002</v>
      </c>
      <c r="K16" s="5">
        <f>+K13+K15-K14</f>
        <v>1331.3999999999999</v>
      </c>
      <c r="L16" s="5">
        <f t="shared" si="12"/>
        <v>1038.2</v>
      </c>
      <c r="M16" s="5">
        <f t="shared" si="12"/>
        <v>1741.1000000000004</v>
      </c>
      <c r="N16" s="5">
        <f t="shared" ref="N16:O16" si="13">+N13+N15-N14</f>
        <v>1773.4000000000005</v>
      </c>
      <c r="O16" s="5">
        <f t="shared" si="13"/>
        <v>695.2999999999995</v>
      </c>
      <c r="V16" s="5">
        <f t="shared" si="1"/>
        <v>3553.5999999999995</v>
      </c>
      <c r="W16" s="5">
        <f>+SUM(K16:N16)</f>
        <v>5884.1000000000013</v>
      </c>
    </row>
    <row r="17" spans="2:23" x14ac:dyDescent="0.2">
      <c r="B17" t="s">
        <v>38</v>
      </c>
      <c r="F17" s="6">
        <f t="shared" ref="F17:M17" si="14">+F16/F18</f>
        <v>2.6929470434576097</v>
      </c>
      <c r="G17" s="6">
        <f t="shared" si="14"/>
        <v>0.93066476054324487</v>
      </c>
      <c r="H17" s="6">
        <f t="shared" si="14"/>
        <v>1.8228155339805823</v>
      </c>
      <c r="I17" s="6">
        <f t="shared" si="14"/>
        <v>2.5322041984732824</v>
      </c>
      <c r="J17" s="6">
        <f t="shared" si="14"/>
        <v>3.2277724665391978</v>
      </c>
      <c r="K17" s="6">
        <f t="shared" si="14"/>
        <v>3.2020202020202015</v>
      </c>
      <c r="L17" s="6">
        <f t="shared" si="14"/>
        <v>2.5199029126213595</v>
      </c>
      <c r="M17" s="6">
        <f t="shared" si="14"/>
        <v>4.2611355849241317</v>
      </c>
      <c r="N17" s="6">
        <f>+N16/N18</f>
        <v>4.378765432098767</v>
      </c>
      <c r="O17" s="6">
        <f>+O16/O18</f>
        <v>1.7317559153175579</v>
      </c>
      <c r="V17" s="6">
        <f>+V16/V18</f>
        <v>8.5151860061103442</v>
      </c>
      <c r="W17" s="6">
        <f>+W16/W18</f>
        <v>14.339222614840992</v>
      </c>
    </row>
    <row r="18" spans="2:23" x14ac:dyDescent="0.2">
      <c r="B18" t="s">
        <v>1</v>
      </c>
      <c r="F18" s="1">
        <v>421.1</v>
      </c>
      <c r="G18" s="1">
        <v>419.7</v>
      </c>
      <c r="H18" s="1">
        <v>412</v>
      </c>
      <c r="I18" s="1">
        <v>419.2</v>
      </c>
      <c r="J18" s="1">
        <v>418.4</v>
      </c>
      <c r="K18" s="1">
        <v>415.8</v>
      </c>
      <c r="L18" s="1">
        <v>412</v>
      </c>
      <c r="M18" s="1">
        <v>408.6</v>
      </c>
      <c r="N18" s="1">
        <v>405</v>
      </c>
      <c r="O18" s="1">
        <v>401.5</v>
      </c>
      <c r="V18" s="1">
        <f>+AVERAGE(G18:J18)</f>
        <v>417.32500000000005</v>
      </c>
      <c r="W18" s="1">
        <f>+AVERAGE(K18:N18)</f>
        <v>410.35</v>
      </c>
    </row>
    <row r="22" spans="2:23" x14ac:dyDescent="0.2">
      <c r="B22" t="s">
        <v>29</v>
      </c>
      <c r="F22" s="3">
        <f t="shared" ref="F22:M22" si="15">+F7/F5</f>
        <v>0.48065107521553851</v>
      </c>
      <c r="G22" s="3">
        <f t="shared" si="15"/>
        <v>0.45128247152339585</v>
      </c>
      <c r="H22" s="3">
        <f t="shared" si="15"/>
        <v>0.48206392639143636</v>
      </c>
      <c r="I22" s="3">
        <f t="shared" si="15"/>
        <v>0.47534108135421932</v>
      </c>
      <c r="J22" s="3">
        <f t="shared" si="15"/>
        <v>0.51975741049810775</v>
      </c>
      <c r="K22" s="3">
        <f t="shared" si="15"/>
        <v>0.5390590985127981</v>
      </c>
      <c r="L22" s="3">
        <f t="shared" si="15"/>
        <v>0.50858166260385052</v>
      </c>
      <c r="M22" s="3">
        <f t="shared" si="15"/>
        <v>0.51748611985576098</v>
      </c>
      <c r="N22" s="3">
        <f>+N7/N5</f>
        <v>0.54168003851091151</v>
      </c>
      <c r="O22" s="3">
        <f>+O7/O5</f>
        <v>0.48975780896333176</v>
      </c>
      <c r="V22" s="3">
        <f>+V7/V5</f>
        <v>0.48625736851141765</v>
      </c>
      <c r="W22" s="3">
        <f>+W7/W5</f>
        <v>0.52710225135672462</v>
      </c>
    </row>
    <row r="23" spans="2:23" x14ac:dyDescent="0.2">
      <c r="B23" t="s">
        <v>39</v>
      </c>
      <c r="F23" s="3">
        <f t="shared" ref="F23:M23" si="16">+F11/F5</f>
        <v>0.31622237637498751</v>
      </c>
      <c r="G23" s="3">
        <f t="shared" si="16"/>
        <v>0.17483405719904935</v>
      </c>
      <c r="H23" s="3">
        <f t="shared" si="16"/>
        <v>0.27215323089875815</v>
      </c>
      <c r="I23" s="3">
        <f t="shared" si="16"/>
        <v>0.30720060636685198</v>
      </c>
      <c r="J23" s="3">
        <f t="shared" si="16"/>
        <v>0.3534707693754261</v>
      </c>
      <c r="K23" s="3">
        <f t="shared" si="16"/>
        <v>0.35761589403973504</v>
      </c>
      <c r="L23" s="3">
        <f t="shared" si="16"/>
        <v>0.30819362220785035</v>
      </c>
      <c r="M23" s="3">
        <f t="shared" si="16"/>
        <v>0.36635949096598175</v>
      </c>
      <c r="N23" s="3">
        <f>+N11/N5</f>
        <v>0.3645499037227215</v>
      </c>
      <c r="O23" s="3">
        <f>+O11/O5</f>
        <v>0.22198958804889077</v>
      </c>
      <c r="V23" s="3">
        <f>+V11/V5</f>
        <v>0.28983288502260635</v>
      </c>
      <c r="W23" s="3">
        <f>+W11/W5</f>
        <v>0.35126000752243292</v>
      </c>
    </row>
    <row r="24" spans="2:23" x14ac:dyDescent="0.2">
      <c r="B24" t="s">
        <v>40</v>
      </c>
      <c r="F24" s="3">
        <f t="shared" ref="F24:M24" si="17">+F14/F13</f>
        <v>9.7908147216105731E-2</v>
      </c>
      <c r="G24" s="3">
        <f t="shared" si="17"/>
        <v>0.11678304839874794</v>
      </c>
      <c r="H24" s="3">
        <f t="shared" si="17"/>
        <v>0.18530066815144769</v>
      </c>
      <c r="I24" s="3">
        <f t="shared" si="17"/>
        <v>0.13788819875776398</v>
      </c>
      <c r="J24" s="3">
        <f t="shared" si="17"/>
        <v>0.11379287290231996</v>
      </c>
      <c r="K24" s="3">
        <f t="shared" si="17"/>
        <v>0.14872457216661289</v>
      </c>
      <c r="L24" s="3">
        <f t="shared" si="17"/>
        <v>0.16612430849332899</v>
      </c>
      <c r="M24" s="3">
        <f t="shared" si="17"/>
        <v>0.14185474158244749</v>
      </c>
      <c r="N24" s="3">
        <f>+N14/N13</f>
        <v>0.15651312530955916</v>
      </c>
      <c r="O24" s="3">
        <f>+O14/O13</f>
        <v>0.14876462938881677</v>
      </c>
      <c r="V24" s="3">
        <f>+V14/V13</f>
        <v>0.13733349931532426</v>
      </c>
      <c r="W24" s="3">
        <f>+W14/W13</f>
        <v>0.15230227842061314</v>
      </c>
    </row>
    <row r="26" spans="2:23" x14ac:dyDescent="0.2">
      <c r="B26" t="s">
        <v>28</v>
      </c>
      <c r="J26" s="3">
        <f t="shared" ref="J26:N26" si="18">+J5/F5-1</f>
        <v>5.393419879100203E-2</v>
      </c>
      <c r="K26" s="3">
        <f t="shared" si="18"/>
        <v>0.78804392362533804</v>
      </c>
      <c r="L26" s="3">
        <f>+L5/H5-1</f>
        <v>0.20882821661605067</v>
      </c>
      <c r="M26" s="3">
        <f t="shared" si="18"/>
        <v>0.32422940879231943</v>
      </c>
      <c r="N26" s="3">
        <f t="shared" si="18"/>
        <v>0.17195176418043778</v>
      </c>
      <c r="O26" s="3">
        <f>+O5/K5-1</f>
        <v>-0.19008226586310417</v>
      </c>
      <c r="W26" s="3">
        <f>+W5/V5-1</f>
        <v>0.33141132032278375</v>
      </c>
    </row>
    <row r="27" spans="2:23" x14ac:dyDescent="0.2">
      <c r="B27" t="s">
        <v>80</v>
      </c>
      <c r="J27" s="3">
        <f t="shared" ref="J27:L27" si="19">+J8/F8-1</f>
        <v>7.7116837822127415E-2</v>
      </c>
      <c r="K27" s="3">
        <f t="shared" si="19"/>
        <v>0.14595588235294121</v>
      </c>
      <c r="L27" s="3">
        <f t="shared" si="19"/>
        <v>0.11801023108131936</v>
      </c>
      <c r="M27" s="3">
        <f>+M8/I8-1</f>
        <v>0.14082397003745317</v>
      </c>
      <c r="N27" s="3">
        <f>+N8/J8-1</f>
        <v>0.22432092102896206</v>
      </c>
      <c r="O27" s="3">
        <f>+O8/K8-1</f>
        <v>0.18495348091113262</v>
      </c>
      <c r="P27" s="3"/>
      <c r="W27" s="3">
        <f>+W8/V8-1</f>
        <v>0.15730643402399114</v>
      </c>
    </row>
    <row r="30" spans="2:23" s="4" customFormat="1" ht="15" x14ac:dyDescent="0.25">
      <c r="B30" s="4" t="s">
        <v>59</v>
      </c>
      <c r="F30" s="5">
        <f t="shared" ref="F30:O30" si="20">+F31-F50</f>
        <v>5551.1</v>
      </c>
      <c r="G30" s="5">
        <f t="shared" si="20"/>
        <v>1108.6999999999998</v>
      </c>
      <c r="H30" s="5">
        <f t="shared" si="20"/>
        <v>706.90000000000055</v>
      </c>
      <c r="I30" s="5">
        <f t="shared" si="20"/>
        <v>699.10000000000036</v>
      </c>
      <c r="J30" s="5">
        <f t="shared" si="20"/>
        <v>3538.0999999999995</v>
      </c>
      <c r="K30" s="5">
        <f t="shared" si="20"/>
        <v>863.69999999999982</v>
      </c>
      <c r="L30" s="5">
        <f t="shared" si="20"/>
        <v>1618.3000000000002</v>
      </c>
      <c r="M30" s="5">
        <f t="shared" si="20"/>
        <v>1313.0999999999995</v>
      </c>
      <c r="N30" s="5">
        <f t="shared" si="20"/>
        <v>4407.7999999999993</v>
      </c>
      <c r="O30" s="5">
        <f t="shared" si="20"/>
        <v>1710.9000000000005</v>
      </c>
    </row>
    <row r="31" spans="2:23" x14ac:dyDescent="0.2">
      <c r="B31" t="s">
        <v>3</v>
      </c>
      <c r="F31" s="1">
        <f>3532.3+1185.8+833</f>
        <v>5551.1</v>
      </c>
      <c r="G31" s="1">
        <f>2723.7+1388.1+865.1</f>
        <v>4976.8999999999996</v>
      </c>
      <c r="H31" s="1">
        <f>3499.1+941.2+891.6</f>
        <v>5331.9000000000005</v>
      </c>
      <c r="I31" s="1">
        <f>3531.5+876.3+918</f>
        <v>5325.8</v>
      </c>
      <c r="J31" s="1">
        <f>6049.4+1302.2+820.7</f>
        <v>8172.2999999999993</v>
      </c>
      <c r="K31" s="1">
        <f>3243.8+1411.6+842.5</f>
        <v>5497.9</v>
      </c>
      <c r="L31" s="1">
        <f>5186.6+186.7+864.9</f>
        <v>6238.2</v>
      </c>
      <c r="M31" s="1">
        <f>4318.7+137+963.2</f>
        <v>5418.9</v>
      </c>
      <c r="N31">
        <f>6951.8+638.5+892.5</f>
        <v>8482.7999999999993</v>
      </c>
      <c r="O31">
        <f>4324.1+398.5+940</f>
        <v>5662.6</v>
      </c>
    </row>
    <row r="32" spans="2:23" x14ac:dyDescent="0.2">
      <c r="B32" t="s">
        <v>41</v>
      </c>
      <c r="F32" s="1">
        <v>1786.8</v>
      </c>
      <c r="G32" s="1">
        <v>1767.4</v>
      </c>
      <c r="H32" s="1">
        <v>1770</v>
      </c>
      <c r="I32" s="1">
        <v>2458.8000000000002</v>
      </c>
      <c r="J32" s="1">
        <v>1310.3</v>
      </c>
      <c r="K32" s="1">
        <v>2239.1999999999998</v>
      </c>
      <c r="L32" s="1">
        <v>2782</v>
      </c>
      <c r="M32" s="1">
        <v>3383.3</v>
      </c>
      <c r="N32" s="1">
        <v>3028</v>
      </c>
      <c r="O32" s="1">
        <v>3494.6</v>
      </c>
    </row>
    <row r="33" spans="2:15" x14ac:dyDescent="0.2">
      <c r="B33" t="s">
        <v>42</v>
      </c>
      <c r="F33" s="1">
        <v>564.5</v>
      </c>
      <c r="G33" s="1">
        <v>748.7</v>
      </c>
      <c r="H33" s="1">
        <v>1071.5</v>
      </c>
      <c r="I33" s="1">
        <v>1855.4</v>
      </c>
      <c r="J33" s="1">
        <v>1710.5</v>
      </c>
      <c r="K33" s="1">
        <v>2218.6</v>
      </c>
      <c r="L33" s="1">
        <v>1637.4</v>
      </c>
      <c r="M33" s="1">
        <v>1185.9000000000001</v>
      </c>
      <c r="N33" s="1">
        <v>1185.5999999999999</v>
      </c>
      <c r="O33" s="1">
        <v>1267.5999999999999</v>
      </c>
    </row>
    <row r="34" spans="2:15" x14ac:dyDescent="0.2">
      <c r="B34" t="s">
        <v>43</v>
      </c>
      <c r="F34" s="1">
        <v>178.7</v>
      </c>
      <c r="G34" s="1">
        <v>529</v>
      </c>
      <c r="H34" s="1">
        <v>360.8</v>
      </c>
      <c r="I34" s="1">
        <v>265.60000000000002</v>
      </c>
      <c r="J34" s="1">
        <v>67.3</v>
      </c>
      <c r="K34" s="1">
        <v>809.7</v>
      </c>
      <c r="L34" s="1">
        <v>608.20000000000005</v>
      </c>
      <c r="M34" s="1">
        <v>289.5</v>
      </c>
      <c r="N34" s="1">
        <v>42</v>
      </c>
      <c r="O34" s="1">
        <v>811</v>
      </c>
    </row>
    <row r="35" spans="2:15" x14ac:dyDescent="0.2">
      <c r="B35" t="s">
        <v>44</v>
      </c>
      <c r="F35" s="1">
        <v>231</v>
      </c>
      <c r="G35" s="1">
        <v>292.10000000000002</v>
      </c>
      <c r="H35" s="1">
        <v>260.89999999999998</v>
      </c>
      <c r="I35" s="1">
        <v>176.8</v>
      </c>
      <c r="J35" s="1">
        <v>119.2</v>
      </c>
      <c r="K35" s="1">
        <v>107.4</v>
      </c>
      <c r="L35" s="1">
        <v>178.9</v>
      </c>
      <c r="M35" s="1">
        <v>272</v>
      </c>
      <c r="N35" s="1">
        <v>164.6</v>
      </c>
      <c r="O35" s="1">
        <v>371.3</v>
      </c>
    </row>
    <row r="36" spans="2:15" x14ac:dyDescent="0.2">
      <c r="B36" t="s">
        <v>45</v>
      </c>
      <c r="F36" s="1">
        <v>3809.2</v>
      </c>
      <c r="G36" s="1">
        <v>4345.3</v>
      </c>
      <c r="H36" s="1">
        <v>4685.6000000000004</v>
      </c>
      <c r="I36" s="1">
        <v>4613.7</v>
      </c>
      <c r="J36" s="1">
        <v>4569.3999999999996</v>
      </c>
      <c r="K36" s="1">
        <v>4748.1000000000004</v>
      </c>
      <c r="L36" s="1">
        <v>5086.3</v>
      </c>
      <c r="M36" s="1">
        <v>4944.2</v>
      </c>
      <c r="N36" s="1">
        <v>5179.2</v>
      </c>
      <c r="O36" s="1">
        <v>6073.5</v>
      </c>
    </row>
    <row r="37" spans="2:15" x14ac:dyDescent="0.2">
      <c r="B37" t="s">
        <v>46</v>
      </c>
      <c r="F37" s="1">
        <v>842.8</v>
      </c>
      <c r="G37" s="1">
        <v>905.8</v>
      </c>
      <c r="H37" s="1">
        <v>903.5</v>
      </c>
      <c r="I37" s="1">
        <v>772.7</v>
      </c>
      <c r="J37" s="1">
        <v>801.7</v>
      </c>
      <c r="K37" s="1">
        <v>915.7</v>
      </c>
      <c r="L37" s="1">
        <v>922.9</v>
      </c>
      <c r="M37" s="1">
        <v>995</v>
      </c>
      <c r="N37" s="1">
        <v>1000.5</v>
      </c>
      <c r="O37" s="1">
        <v>1468.2</v>
      </c>
    </row>
    <row r="38" spans="2:15" x14ac:dyDescent="0.2">
      <c r="B38" t="s">
        <v>47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165.5</v>
      </c>
      <c r="L38" s="1">
        <v>150.19999999999999</v>
      </c>
      <c r="M38" s="1">
        <v>152.69999999999999</v>
      </c>
    </row>
    <row r="39" spans="2:15" x14ac:dyDescent="0.2">
      <c r="B39" t="s">
        <v>84</v>
      </c>
      <c r="F39" s="1">
        <v>421.1</v>
      </c>
      <c r="G39" s="1">
        <v>340.8</v>
      </c>
      <c r="H39" s="1">
        <v>444</v>
      </c>
      <c r="I39" s="1">
        <v>349.6</v>
      </c>
      <c r="J39" s="1">
        <v>400.5</v>
      </c>
      <c r="K39" s="1">
        <v>66.599999999999994</v>
      </c>
      <c r="L39" s="1">
        <v>6.2</v>
      </c>
      <c r="M39" s="1">
        <v>139</v>
      </c>
      <c r="N39" s="1">
        <v>383</v>
      </c>
      <c r="O39" s="1">
        <v>191.5</v>
      </c>
    </row>
    <row r="40" spans="2:15" x14ac:dyDescent="0.2">
      <c r="B40" t="s">
        <v>49</v>
      </c>
      <c r="F40" s="1">
        <v>445.3</v>
      </c>
      <c r="G40" s="1">
        <v>482.3</v>
      </c>
      <c r="H40" s="1">
        <v>485.3</v>
      </c>
      <c r="I40" s="1">
        <v>610.70000000000005</v>
      </c>
      <c r="J40" s="1">
        <v>671.5</v>
      </c>
      <c r="K40" s="1">
        <v>700.8</v>
      </c>
      <c r="L40" s="1">
        <v>710.5</v>
      </c>
      <c r="M40" s="1">
        <v>986</v>
      </c>
      <c r="N40" s="1">
        <v>1098.7</v>
      </c>
      <c r="O40" s="1">
        <v>1141.9000000000001</v>
      </c>
    </row>
    <row r="41" spans="2:15" x14ac:dyDescent="0.2">
      <c r="B41" t="s">
        <v>50</v>
      </c>
      <c r="F41" s="1">
        <v>830.4</v>
      </c>
      <c r="G41" s="1">
        <v>902.3</v>
      </c>
      <c r="H41" s="1">
        <v>929.7</v>
      </c>
      <c r="I41" s="1">
        <v>961.5</v>
      </c>
      <c r="J41" s="1">
        <v>951.4</v>
      </c>
      <c r="K41" s="1">
        <v>1313.4</v>
      </c>
      <c r="L41" s="1">
        <v>1016.4</v>
      </c>
      <c r="M41" s="1">
        <v>1120.9000000000001</v>
      </c>
      <c r="N41" s="1">
        <v>1011.4</v>
      </c>
      <c r="O41" s="1">
        <v>934.2</v>
      </c>
    </row>
    <row r="42" spans="2:15" x14ac:dyDescent="0.2">
      <c r="B42" t="s">
        <v>51</v>
      </c>
      <c r="F42" s="1">
        <f>4541.1+1104.4</f>
        <v>5645.5</v>
      </c>
      <c r="G42" s="1">
        <f>1082.5+4541.1</f>
        <v>5623.6</v>
      </c>
      <c r="H42" s="1">
        <f>4541.1+1058.3</f>
        <v>5599.4000000000005</v>
      </c>
      <c r="I42" s="1">
        <f>4541.1+1035.4</f>
        <v>5576.5</v>
      </c>
      <c r="J42" s="1">
        <f>4629.1+1049</f>
        <v>5678.1</v>
      </c>
      <c r="K42" s="1">
        <f>4555.5+1014.2</f>
        <v>5569.7</v>
      </c>
      <c r="L42" s="1">
        <f>4555.5+987.7</f>
        <v>5543.2</v>
      </c>
      <c r="M42" s="1">
        <f>4555.6+963.8</f>
        <v>5519.4000000000005</v>
      </c>
      <c r="N42">
        <f>4555.6+952.1</f>
        <v>5507.7000000000007</v>
      </c>
      <c r="O42">
        <f>4555.6+923.4</f>
        <v>5479</v>
      </c>
    </row>
    <row r="43" spans="2:15" x14ac:dyDescent="0.2">
      <c r="B43" t="s">
        <v>52</v>
      </c>
      <c r="F43" s="1">
        <v>1999.3</v>
      </c>
      <c r="G43" s="1">
        <v>2046.9</v>
      </c>
      <c r="H43" s="1">
        <v>2109.6</v>
      </c>
      <c r="I43" s="1">
        <v>2198.3000000000002</v>
      </c>
      <c r="J43" s="1">
        <v>2470.3000000000002</v>
      </c>
      <c r="K43" s="1">
        <v>2521.6</v>
      </c>
      <c r="L43" s="1">
        <v>2609.4</v>
      </c>
      <c r="M43" s="1">
        <v>2730.3</v>
      </c>
      <c r="N43" s="1">
        <v>2982.7</v>
      </c>
      <c r="O43" s="1">
        <v>3159.4</v>
      </c>
    </row>
    <row r="44" spans="2:15" x14ac:dyDescent="0.2">
      <c r="B44" t="s">
        <v>53</v>
      </c>
      <c r="F44" s="1">
        <v>205.4</v>
      </c>
      <c r="G44" s="1">
        <v>197.1</v>
      </c>
      <c r="H44" s="1">
        <v>193</v>
      </c>
      <c r="I44" s="1">
        <v>180.1</v>
      </c>
      <c r="J44" s="1">
        <v>180.1</v>
      </c>
      <c r="K44" s="1">
        <v>179.7</v>
      </c>
      <c r="L44" s="1">
        <v>161.80000000000001</v>
      </c>
      <c r="M44" s="1">
        <v>155</v>
      </c>
      <c r="N44" s="1">
        <v>159.5</v>
      </c>
      <c r="O44" s="1">
        <v>172.5</v>
      </c>
    </row>
    <row r="45" spans="2:15" x14ac:dyDescent="0.2">
      <c r="B45" t="s">
        <v>54</v>
      </c>
      <c r="F45" s="1">
        <v>118.5</v>
      </c>
      <c r="G45" s="1">
        <v>119.4</v>
      </c>
      <c r="H45" s="1">
        <v>160.9</v>
      </c>
      <c r="I45" s="1">
        <v>117.9</v>
      </c>
      <c r="J45" s="1">
        <v>164.8</v>
      </c>
      <c r="K45" s="1">
        <v>164.8</v>
      </c>
      <c r="L45" s="1">
        <v>163.9</v>
      </c>
      <c r="M45" s="1">
        <v>5.9</v>
      </c>
      <c r="N45" s="1">
        <v>5.3</v>
      </c>
      <c r="O45" s="1">
        <v>4.5</v>
      </c>
    </row>
    <row r="46" spans="2:15" x14ac:dyDescent="0.2">
      <c r="B46" t="s">
        <v>48</v>
      </c>
      <c r="F46" s="1">
        <f t="shared" ref="F46:O46" si="21">+SUM(F31:F45)</f>
        <v>22629.599999999999</v>
      </c>
      <c r="G46" s="1">
        <f t="shared" si="21"/>
        <v>23277.599999999999</v>
      </c>
      <c r="H46" s="1">
        <f t="shared" si="21"/>
        <v>24306.100000000002</v>
      </c>
      <c r="I46" s="1">
        <f t="shared" si="21"/>
        <v>25463.399999999998</v>
      </c>
      <c r="J46" s="1">
        <f t="shared" si="21"/>
        <v>27267.399999999994</v>
      </c>
      <c r="K46" s="1">
        <f t="shared" si="21"/>
        <v>27218.699999999997</v>
      </c>
      <c r="L46" s="1">
        <f t="shared" si="21"/>
        <v>27815.500000000007</v>
      </c>
      <c r="M46" s="1">
        <f t="shared" si="21"/>
        <v>27298.000000000004</v>
      </c>
      <c r="N46" s="1">
        <f t="shared" si="21"/>
        <v>30231.000000000004</v>
      </c>
      <c r="O46" s="1">
        <f t="shared" si="21"/>
        <v>30231.800000000003</v>
      </c>
    </row>
    <row r="47" spans="2:15" x14ac:dyDescent="0.2"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2">
      <c r="B48" t="s">
        <v>55</v>
      </c>
      <c r="G48" s="1">
        <v>4677.3999999999996</v>
      </c>
      <c r="H48" s="1">
        <v>4631.3</v>
      </c>
      <c r="I48" s="1">
        <v>4990.8999999999996</v>
      </c>
      <c r="J48" s="1">
        <v>6829.1</v>
      </c>
      <c r="K48" s="1">
        <v>6829.1</v>
      </c>
      <c r="L48" s="1">
        <v>8707.5</v>
      </c>
      <c r="M48" s="1">
        <v>9114.7000000000007</v>
      </c>
      <c r="N48" s="1">
        <v>12298</v>
      </c>
      <c r="O48" s="1">
        <v>13612.8</v>
      </c>
    </row>
    <row r="49" spans="2:15" x14ac:dyDescent="0.2">
      <c r="B49" t="s">
        <v>58</v>
      </c>
      <c r="G49" s="1">
        <v>0</v>
      </c>
      <c r="H49" s="1">
        <v>0</v>
      </c>
      <c r="I49" s="1">
        <v>0</v>
      </c>
      <c r="J49" s="1">
        <v>47.2</v>
      </c>
      <c r="K49" s="1">
        <v>47.2</v>
      </c>
      <c r="L49" s="1">
        <v>46.6</v>
      </c>
      <c r="M49" s="1">
        <v>47.9</v>
      </c>
    </row>
    <row r="50" spans="2:15" x14ac:dyDescent="0.2">
      <c r="B50" t="s">
        <v>4</v>
      </c>
      <c r="G50" s="1">
        <v>3868.2</v>
      </c>
      <c r="H50" s="1">
        <v>4625</v>
      </c>
      <c r="I50" s="1">
        <v>4626.7</v>
      </c>
      <c r="J50" s="1">
        <v>4634.2</v>
      </c>
      <c r="K50" s="1">
        <v>4634.2</v>
      </c>
      <c r="L50" s="1">
        <v>4619.8999999999996</v>
      </c>
      <c r="M50" s="1">
        <v>4105.8</v>
      </c>
      <c r="N50" s="1">
        <v>4075</v>
      </c>
      <c r="O50" s="1">
        <v>3951.7</v>
      </c>
    </row>
    <row r="51" spans="2:15" x14ac:dyDescent="0.2">
      <c r="B51" t="s">
        <v>49</v>
      </c>
      <c r="G51" s="1">
        <v>262.7</v>
      </c>
      <c r="H51" s="1">
        <v>191.3</v>
      </c>
      <c r="I51" s="1">
        <v>209.1</v>
      </c>
      <c r="J51" s="1">
        <v>245.2</v>
      </c>
      <c r="K51" s="1">
        <v>245.2</v>
      </c>
      <c r="L51" s="1">
        <v>247.7</v>
      </c>
      <c r="M51" s="1">
        <v>282.60000000000002</v>
      </c>
      <c r="N51" s="1">
        <v>240.6</v>
      </c>
      <c r="O51" s="1">
        <v>262.2</v>
      </c>
    </row>
    <row r="52" spans="2:15" x14ac:dyDescent="0.2">
      <c r="B52" t="s">
        <v>56</v>
      </c>
      <c r="G52" s="1">
        <v>1702.6</v>
      </c>
      <c r="H52" s="1">
        <v>1918.1</v>
      </c>
      <c r="I52" s="1">
        <v>1652.8</v>
      </c>
      <c r="J52" s="1">
        <v>1583.2</v>
      </c>
      <c r="K52" s="1">
        <v>1583.2</v>
      </c>
      <c r="L52" s="1">
        <v>1860.2</v>
      </c>
      <c r="M52" s="1">
        <v>2001.7</v>
      </c>
      <c r="N52" s="1">
        <v>3225.7</v>
      </c>
      <c r="O52" s="1">
        <v>3292.2</v>
      </c>
    </row>
    <row r="53" spans="2:15" x14ac:dyDescent="0.2">
      <c r="B53" t="s">
        <v>57</v>
      </c>
      <c r="G53" s="1">
        <v>241.5</v>
      </c>
      <c r="H53" s="1">
        <v>240.6</v>
      </c>
      <c r="I53" s="1">
        <v>241.4</v>
      </c>
      <c r="J53" s="1">
        <v>250.9</v>
      </c>
      <c r="K53" s="1">
        <v>250.9</v>
      </c>
      <c r="L53" s="1">
        <v>240.3</v>
      </c>
      <c r="M53" s="1">
        <v>242.9</v>
      </c>
      <c r="N53" s="1">
        <v>251.1</v>
      </c>
      <c r="O53" s="1">
        <v>302.5</v>
      </c>
    </row>
    <row r="54" spans="2:15" x14ac:dyDescent="0.2">
      <c r="B54" t="s">
        <v>83</v>
      </c>
      <c r="G54" s="1">
        <f t="shared" ref="G54:N54" si="22">+SUM(G48:G53)</f>
        <v>10752.4</v>
      </c>
      <c r="H54" s="1">
        <f t="shared" si="22"/>
        <v>11606.3</v>
      </c>
      <c r="I54" s="1">
        <f t="shared" si="22"/>
        <v>11720.899999999998</v>
      </c>
      <c r="J54" s="1">
        <f t="shared" si="22"/>
        <v>13589.800000000001</v>
      </c>
      <c r="K54" s="1">
        <f t="shared" si="22"/>
        <v>13589.800000000001</v>
      </c>
      <c r="L54" s="1">
        <f t="shared" si="22"/>
        <v>15722.2</v>
      </c>
      <c r="M54" s="1">
        <f t="shared" si="22"/>
        <v>15795.600000000002</v>
      </c>
      <c r="N54" s="1">
        <f t="shared" si="22"/>
        <v>20090.399999999998</v>
      </c>
      <c r="O54" s="1">
        <f t="shared" ref="O54" si="23">+SUM(O48:O53)</f>
        <v>21421.4</v>
      </c>
    </row>
    <row r="55" spans="2:15" x14ac:dyDescent="0.2">
      <c r="B55" t="s">
        <v>81</v>
      </c>
      <c r="G55" s="1">
        <f t="shared" ref="G55:O55" si="24">+G46-G54</f>
        <v>12525.199999999999</v>
      </c>
      <c r="H55" s="1">
        <f t="shared" si="24"/>
        <v>12699.800000000003</v>
      </c>
      <c r="I55" s="1">
        <f t="shared" si="24"/>
        <v>13742.5</v>
      </c>
      <c r="J55" s="1">
        <f t="shared" si="24"/>
        <v>13677.599999999993</v>
      </c>
      <c r="K55" s="1">
        <f t="shared" si="24"/>
        <v>13628.899999999996</v>
      </c>
      <c r="L55" s="1">
        <f t="shared" si="24"/>
        <v>12093.300000000007</v>
      </c>
      <c r="M55" s="1">
        <f t="shared" si="24"/>
        <v>11502.400000000001</v>
      </c>
      <c r="N55" s="1">
        <f t="shared" si="24"/>
        <v>10140.600000000006</v>
      </c>
      <c r="O55" s="1">
        <f t="shared" si="24"/>
        <v>8810.4000000000015</v>
      </c>
    </row>
    <row r="56" spans="2:15" x14ac:dyDescent="0.2">
      <c r="B56" t="s">
        <v>82</v>
      </c>
      <c r="G56" s="1">
        <f t="shared" ref="G56:M56" si="25">+SUM(G54:G55)</f>
        <v>23277.599999999999</v>
      </c>
      <c r="H56" s="1">
        <f t="shared" si="25"/>
        <v>24306.100000000002</v>
      </c>
      <c r="I56" s="1">
        <f t="shared" si="25"/>
        <v>25463.399999999998</v>
      </c>
      <c r="J56" s="1">
        <f t="shared" si="25"/>
        <v>27267.399999999994</v>
      </c>
      <c r="K56" s="1">
        <f t="shared" si="25"/>
        <v>27218.699999999997</v>
      </c>
      <c r="L56" s="1">
        <f t="shared" si="25"/>
        <v>27815.500000000007</v>
      </c>
      <c r="M56" s="1">
        <f t="shared" si="25"/>
        <v>27298.000000000004</v>
      </c>
      <c r="N56" s="1">
        <f>+SUM(N54:N55)</f>
        <v>30231.000000000004</v>
      </c>
      <c r="O56" s="1">
        <f>+SUM(O54:O55)</f>
        <v>30231.800000000003</v>
      </c>
    </row>
    <row r="58" spans="2:15" s="1" customFormat="1" x14ac:dyDescent="0.2">
      <c r="B58" s="1" t="s">
        <v>60</v>
      </c>
      <c r="F58" s="1">
        <f t="shared" ref="F58:O58" si="26">+F16</f>
        <v>1133.9999999999995</v>
      </c>
      <c r="G58" s="1">
        <f t="shared" si="26"/>
        <v>390.59999999999985</v>
      </c>
      <c r="H58" s="1">
        <f t="shared" si="26"/>
        <v>750.99999999999989</v>
      </c>
      <c r="I58" s="1">
        <f t="shared" si="26"/>
        <v>1061.5</v>
      </c>
      <c r="J58" s="1">
        <f t="shared" si="26"/>
        <v>1350.5000000000002</v>
      </c>
      <c r="K58" s="1">
        <f t="shared" si="26"/>
        <v>1331.3999999999999</v>
      </c>
      <c r="L58" s="1">
        <f t="shared" si="26"/>
        <v>1038.2</v>
      </c>
      <c r="M58" s="1">
        <f t="shared" si="26"/>
        <v>1741.1000000000004</v>
      </c>
      <c r="N58" s="1">
        <f t="shared" si="26"/>
        <v>1773.4000000000005</v>
      </c>
      <c r="O58" s="1">
        <f t="shared" si="26"/>
        <v>695.2999999999995</v>
      </c>
    </row>
    <row r="59" spans="2:15" s="1" customFormat="1" x14ac:dyDescent="0.2">
      <c r="B59" s="1" t="s">
        <v>61</v>
      </c>
      <c r="F59" s="1">
        <v>1134.0999999999999</v>
      </c>
      <c r="G59" s="1">
        <v>390.6</v>
      </c>
      <c r="H59" s="1">
        <v>751</v>
      </c>
      <c r="I59" s="1">
        <v>1061.5</v>
      </c>
      <c r="J59" s="1">
        <v>1350.6</v>
      </c>
      <c r="K59" s="1">
        <v>1331.4</v>
      </c>
      <c r="L59" s="1">
        <v>1038.2</v>
      </c>
      <c r="M59" s="1">
        <v>1740.2</v>
      </c>
      <c r="N59" s="1">
        <v>1773.4</v>
      </c>
      <c r="O59" s="1">
        <v>695.3</v>
      </c>
    </row>
    <row r="60" spans="2:15" s="1" customFormat="1" x14ac:dyDescent="0.2">
      <c r="B60" s="1" t="s">
        <v>62</v>
      </c>
      <c r="F60" s="1">
        <v>122.9</v>
      </c>
      <c r="G60" s="1">
        <f>118.3+1</f>
        <v>119.3</v>
      </c>
      <c r="H60" s="1">
        <v>125.1</v>
      </c>
      <c r="I60" s="1">
        <v>122</v>
      </c>
      <c r="J60" s="1">
        <v>125.4</v>
      </c>
      <c r="K60" s="1">
        <f>117.9+6.2</f>
        <v>124.10000000000001</v>
      </c>
      <c r="L60" s="1">
        <v>112.7</v>
      </c>
      <c r="M60" s="1">
        <v>116.2</v>
      </c>
      <c r="N60" s="1">
        <v>124.2</v>
      </c>
      <c r="O60" s="1">
        <v>131</v>
      </c>
    </row>
    <row r="61" spans="2:15" s="1" customFormat="1" x14ac:dyDescent="0.2">
      <c r="B61" s="1" t="s">
        <v>63</v>
      </c>
      <c r="F61" s="1">
        <v>0.8</v>
      </c>
      <c r="G61" s="1">
        <v>2.7</v>
      </c>
      <c r="H61" s="1">
        <v>0.2</v>
      </c>
      <c r="I61" s="1">
        <v>0.8</v>
      </c>
      <c r="J61" s="1">
        <v>0.8</v>
      </c>
      <c r="K61" s="1">
        <v>0</v>
      </c>
      <c r="L61" s="1">
        <v>0.2</v>
      </c>
      <c r="M61" s="1">
        <v>-39.799999999999997</v>
      </c>
      <c r="N61" s="1">
        <v>17.5</v>
      </c>
      <c r="O61" s="1">
        <v>12.1</v>
      </c>
    </row>
    <row r="62" spans="2:15" s="1" customFormat="1" x14ac:dyDescent="0.2">
      <c r="B62" s="1" t="s">
        <v>64</v>
      </c>
      <c r="F62" s="1">
        <v>29.2</v>
      </c>
      <c r="G62" s="1">
        <v>14.9</v>
      </c>
      <c r="H62" s="1">
        <v>10.3</v>
      </c>
      <c r="I62" s="1">
        <v>22.5</v>
      </c>
      <c r="J62" s="1">
        <v>6.2</v>
      </c>
      <c r="K62" s="1">
        <v>21</v>
      </c>
      <c r="L62" s="1">
        <v>29</v>
      </c>
      <c r="M62" s="1">
        <v>34</v>
      </c>
      <c r="N62" s="1">
        <v>33.5</v>
      </c>
      <c r="O62" s="1">
        <v>11.5</v>
      </c>
    </row>
    <row r="63" spans="2:15" s="1" customFormat="1" x14ac:dyDescent="0.2">
      <c r="B63" s="1" t="s">
        <v>85</v>
      </c>
      <c r="N63" s="1">
        <v>-213.7</v>
      </c>
    </row>
    <row r="64" spans="2:15" s="1" customFormat="1" x14ac:dyDescent="0.2">
      <c r="B64" s="1" t="s">
        <v>45</v>
      </c>
      <c r="F64" s="1">
        <v>54.2</v>
      </c>
      <c r="G64" s="1">
        <v>39.299999999999997</v>
      </c>
      <c r="H64" s="1">
        <v>39.200000000000003</v>
      </c>
      <c r="I64" s="1">
        <v>36.299999999999997</v>
      </c>
      <c r="J64" s="1">
        <v>77.599999999999994</v>
      </c>
      <c r="K64" s="1">
        <v>34.4</v>
      </c>
      <c r="L64" s="1">
        <v>44</v>
      </c>
      <c r="M64" s="1">
        <v>52.9</v>
      </c>
      <c r="N64" s="1">
        <v>49.4</v>
      </c>
      <c r="O64" s="1">
        <v>50.2</v>
      </c>
    </row>
    <row r="65" spans="2:15" s="1" customFormat="1" x14ac:dyDescent="0.2">
      <c r="B65" s="1" t="s">
        <v>49</v>
      </c>
      <c r="F65" s="1">
        <v>-80.900000000000006</v>
      </c>
      <c r="G65" s="1">
        <v>-24.6</v>
      </c>
      <c r="H65" s="1">
        <v>-15.4</v>
      </c>
      <c r="I65" s="1">
        <v>-110.6</v>
      </c>
      <c r="J65" s="1">
        <v>-60.7</v>
      </c>
      <c r="K65" s="1">
        <v>-35.799999999999997</v>
      </c>
      <c r="L65" s="1">
        <v>-7.5</v>
      </c>
      <c r="M65" s="1">
        <v>-270.10000000000002</v>
      </c>
      <c r="N65" s="1">
        <v>-106.2</v>
      </c>
      <c r="O65" s="1">
        <v>-39.700000000000003</v>
      </c>
    </row>
    <row r="66" spans="2:15" s="1" customFormat="1" x14ac:dyDescent="0.2">
      <c r="B66" s="1" t="s">
        <v>65</v>
      </c>
      <c r="F66" s="1">
        <v>107.8</v>
      </c>
      <c r="G66" s="1">
        <v>-32.299999999999997</v>
      </c>
      <c r="H66" s="1">
        <v>-26.4</v>
      </c>
      <c r="I66" s="1">
        <v>-26.1</v>
      </c>
      <c r="J66" s="1">
        <v>95.8</v>
      </c>
      <c r="K66" s="1">
        <v>-21.5</v>
      </c>
      <c r="L66" s="1">
        <v>-22.5</v>
      </c>
      <c r="M66" s="1">
        <v>-97.3</v>
      </c>
      <c r="N66" s="1">
        <v>91.4</v>
      </c>
      <c r="O66" s="1">
        <v>-47.5</v>
      </c>
    </row>
    <row r="67" spans="2:15" s="1" customFormat="1" x14ac:dyDescent="0.2">
      <c r="B67" s="1" t="s">
        <v>66</v>
      </c>
      <c r="F67" s="1">
        <v>2220.1999999999998</v>
      </c>
      <c r="G67" s="1">
        <v>-1115.7</v>
      </c>
      <c r="H67" s="1">
        <v>-512.1</v>
      </c>
      <c r="I67" s="1">
        <v>-915.3</v>
      </c>
      <c r="J67" s="1">
        <v>3074.7</v>
      </c>
      <c r="K67" s="1">
        <v>-2395.3000000000002</v>
      </c>
      <c r="L67" s="1">
        <v>2374.8000000000002</v>
      </c>
      <c r="M67" s="1">
        <v>265.5</v>
      </c>
      <c r="N67" s="1">
        <v>4647.5</v>
      </c>
      <c r="O67" s="1">
        <v>-1399</v>
      </c>
    </row>
    <row r="68" spans="2:15" s="5" customFormat="1" ht="15" x14ac:dyDescent="0.25">
      <c r="B68" s="5" t="s">
        <v>67</v>
      </c>
      <c r="F68" s="5">
        <f t="shared" ref="F68:M68" si="27">+SUM(F59:F67)</f>
        <v>3588.2999999999997</v>
      </c>
      <c r="G68" s="5">
        <f t="shared" si="27"/>
        <v>-605.80000000000018</v>
      </c>
      <c r="H68" s="5">
        <f t="shared" si="27"/>
        <v>371.90000000000009</v>
      </c>
      <c r="I68" s="5">
        <f t="shared" si="27"/>
        <v>191.10000000000014</v>
      </c>
      <c r="J68" s="5">
        <f t="shared" si="27"/>
        <v>4670.3999999999996</v>
      </c>
      <c r="K68" s="5">
        <f t="shared" si="27"/>
        <v>-941.7</v>
      </c>
      <c r="L68" s="5">
        <f t="shared" si="27"/>
        <v>3568.9000000000005</v>
      </c>
      <c r="M68" s="5">
        <f t="shared" si="27"/>
        <v>1801.6000000000001</v>
      </c>
      <c r="N68" s="5">
        <f>+SUM(N59:N67)</f>
        <v>6417</v>
      </c>
      <c r="O68" s="5">
        <f>+SUM(O59:O67)</f>
        <v>-586.1</v>
      </c>
    </row>
    <row r="69" spans="2:15" s="5" customFormat="1" ht="15" x14ac:dyDescent="0.25">
      <c r="B69" s="5" t="s">
        <v>87</v>
      </c>
      <c r="F69" s="5">
        <f t="shared" ref="F69:O69" si="28">+F68+F71</f>
        <v>3282.7999999999997</v>
      </c>
      <c r="G69" s="5">
        <f t="shared" si="28"/>
        <v>-837.30000000000018</v>
      </c>
      <c r="H69" s="5">
        <f t="shared" si="28"/>
        <v>146.8000000000001</v>
      </c>
      <c r="I69" s="5">
        <f t="shared" si="28"/>
        <v>-21.399999999999864</v>
      </c>
      <c r="J69" s="5">
        <f t="shared" si="28"/>
        <v>4377.5</v>
      </c>
      <c r="K69" s="5">
        <f t="shared" si="28"/>
        <v>-1131.1000000000001</v>
      </c>
      <c r="L69" s="5">
        <f t="shared" si="28"/>
        <v>3327.8000000000006</v>
      </c>
      <c r="M69" s="5">
        <f t="shared" si="28"/>
        <v>1604.6000000000001</v>
      </c>
      <c r="N69" s="5">
        <f t="shared" si="28"/>
        <v>6143.8</v>
      </c>
      <c r="O69" s="5">
        <f t="shared" si="28"/>
        <v>-826.2</v>
      </c>
    </row>
    <row r="70" spans="2:15" s="5" customFormat="1" ht="15" x14ac:dyDescent="0.25"/>
    <row r="71" spans="2:15" x14ac:dyDescent="0.2">
      <c r="B71" t="s">
        <v>78</v>
      </c>
      <c r="F71" s="1">
        <v>-305.5</v>
      </c>
      <c r="G71" s="1">
        <v>-231.5</v>
      </c>
      <c r="H71" s="1">
        <v>-225.1</v>
      </c>
      <c r="I71" s="1">
        <v>-212.5</v>
      </c>
      <c r="J71" s="1">
        <v>-292.89999999999998</v>
      </c>
      <c r="K71" s="1">
        <v>-189.4</v>
      </c>
      <c r="L71" s="1">
        <v>-241.1</v>
      </c>
      <c r="M71" s="1">
        <v>-197</v>
      </c>
      <c r="N71" s="1">
        <v>-273.2</v>
      </c>
      <c r="O71" s="1">
        <v>-240.1</v>
      </c>
    </row>
    <row r="72" spans="2:15" x14ac:dyDescent="0.2">
      <c r="B72" t="s">
        <v>51</v>
      </c>
      <c r="F72" s="1">
        <v>-9.6999999999999993</v>
      </c>
      <c r="G72" s="1">
        <v>-10.8</v>
      </c>
      <c r="H72" s="1">
        <v>-6.7</v>
      </c>
      <c r="I72" s="1">
        <v>-9.1</v>
      </c>
      <c r="J72" s="1">
        <v>-12.2</v>
      </c>
      <c r="K72" s="1">
        <v>-7.9</v>
      </c>
      <c r="L72" s="1">
        <v>-6.3</v>
      </c>
      <c r="M72" s="1">
        <v>-8</v>
      </c>
      <c r="N72" s="1">
        <v>-17.5</v>
      </c>
      <c r="O72" s="1">
        <v>-11.5</v>
      </c>
    </row>
    <row r="73" spans="2:15" x14ac:dyDescent="0.2">
      <c r="B73" t="s">
        <v>68</v>
      </c>
      <c r="F73" s="1">
        <v>-902.4</v>
      </c>
      <c r="G73" s="1">
        <v>-310.5</v>
      </c>
      <c r="H73" s="1">
        <v>-0.5</v>
      </c>
      <c r="I73" s="1">
        <v>-343.7</v>
      </c>
      <c r="J73" s="1">
        <v>-820.8</v>
      </c>
      <c r="K73" s="1">
        <v>-608.5</v>
      </c>
      <c r="L73" s="1">
        <v>0</v>
      </c>
      <c r="M73" s="1">
        <v>-50</v>
      </c>
      <c r="N73" s="1">
        <v>-504.2</v>
      </c>
      <c r="O73" s="1">
        <v>-19.600000000000001</v>
      </c>
    </row>
    <row r="74" spans="2:15" x14ac:dyDescent="0.2">
      <c r="B74" t="s">
        <v>69</v>
      </c>
      <c r="F74" s="1">
        <v>200.3</v>
      </c>
      <c r="G74" s="1">
        <v>108.2</v>
      </c>
      <c r="H74" s="1">
        <v>447.4</v>
      </c>
      <c r="I74" s="1">
        <v>408.7</v>
      </c>
      <c r="J74" s="1">
        <v>394.8</v>
      </c>
      <c r="K74" s="1">
        <v>499.1</v>
      </c>
      <c r="L74" s="1">
        <v>1224.9000000000001</v>
      </c>
      <c r="M74" s="1">
        <v>99.7</v>
      </c>
      <c r="N74" s="1">
        <v>2.7</v>
      </c>
      <c r="O74" s="1">
        <v>259.5</v>
      </c>
    </row>
    <row r="75" spans="2:15" x14ac:dyDescent="0.2">
      <c r="B75" t="s">
        <v>70</v>
      </c>
      <c r="F75" s="1">
        <v>0.9</v>
      </c>
      <c r="G75" s="1">
        <v>0.3</v>
      </c>
      <c r="H75" s="1">
        <v>-0.3</v>
      </c>
      <c r="I75" s="1">
        <v>-10</v>
      </c>
      <c r="J75" s="1">
        <v>-2.2000000000000002</v>
      </c>
      <c r="K75" s="1">
        <v>0</v>
      </c>
      <c r="L75" s="1">
        <v>0</v>
      </c>
      <c r="M75" s="1">
        <v>-124.3</v>
      </c>
      <c r="N75" s="1"/>
      <c r="O75" s="1"/>
    </row>
    <row r="76" spans="2:15" x14ac:dyDescent="0.2">
      <c r="B76" t="s">
        <v>79</v>
      </c>
      <c r="F76" s="1">
        <v>0</v>
      </c>
      <c r="G76" s="1">
        <v>0</v>
      </c>
      <c r="H76" s="1">
        <v>0</v>
      </c>
      <c r="I76" s="1">
        <v>0</v>
      </c>
      <c r="J76" s="1">
        <v>-222.8</v>
      </c>
      <c r="K76" s="1">
        <v>0</v>
      </c>
      <c r="L76" s="1">
        <v>12.9</v>
      </c>
      <c r="M76" s="1">
        <v>0</v>
      </c>
      <c r="N76" s="1">
        <v>316.10000000000002</v>
      </c>
      <c r="O76" s="1"/>
    </row>
    <row r="77" spans="2:15" s="4" customFormat="1" ht="15" x14ac:dyDescent="0.25">
      <c r="B77" s="4" t="s">
        <v>71</v>
      </c>
      <c r="F77" s="5">
        <f t="shared" ref="F77:M77" si="29">+SUM(F71:F76)</f>
        <v>-1016.4</v>
      </c>
      <c r="G77" s="5">
        <f t="shared" si="29"/>
        <v>-444.29999999999995</v>
      </c>
      <c r="H77" s="5">
        <f t="shared" si="29"/>
        <v>214.79999999999998</v>
      </c>
      <c r="I77" s="5">
        <f t="shared" si="29"/>
        <v>-166.59999999999997</v>
      </c>
      <c r="J77" s="5">
        <f t="shared" si="29"/>
        <v>-956.09999999999991</v>
      </c>
      <c r="K77" s="5">
        <f t="shared" si="29"/>
        <v>-306.69999999999993</v>
      </c>
      <c r="L77" s="5">
        <f t="shared" si="29"/>
        <v>990.40000000000009</v>
      </c>
      <c r="M77" s="5">
        <f t="shared" si="29"/>
        <v>-279.60000000000002</v>
      </c>
      <c r="N77" s="5">
        <f t="shared" ref="N77:O77" si="30">+SUM(N71:N76)</f>
        <v>-476.09999999999991</v>
      </c>
      <c r="O77" s="5">
        <f t="shared" si="30"/>
        <v>-11.699999999999989</v>
      </c>
    </row>
    <row r="79" spans="2:15" x14ac:dyDescent="0.2">
      <c r="B79" t="s">
        <v>72</v>
      </c>
      <c r="F79" s="1">
        <v>-441.3</v>
      </c>
      <c r="G79" s="1">
        <v>0</v>
      </c>
      <c r="H79" s="1">
        <v>-564.79999999999995</v>
      </c>
      <c r="I79" s="1">
        <v>0</v>
      </c>
      <c r="J79" s="1">
        <v>-501.6</v>
      </c>
      <c r="K79" s="1">
        <v>0</v>
      </c>
      <c r="L79" s="1">
        <v>0</v>
      </c>
      <c r="M79" s="1">
        <v>-639.1</v>
      </c>
      <c r="N79" s="1">
        <v>-729.2</v>
      </c>
      <c r="O79" s="1"/>
    </row>
    <row r="80" spans="2:15" x14ac:dyDescent="0.2">
      <c r="B80" t="s">
        <v>86</v>
      </c>
      <c r="F80" s="1">
        <v>-191.6</v>
      </c>
      <c r="G80" s="1">
        <v>-507.5</v>
      </c>
      <c r="H80" s="1">
        <v>0</v>
      </c>
      <c r="I80" s="1">
        <v>0</v>
      </c>
      <c r="J80" s="1">
        <v>-700</v>
      </c>
      <c r="K80" s="1">
        <v>-1567.6</v>
      </c>
      <c r="L80" s="1">
        <v>-2401.6</v>
      </c>
      <c r="M80" s="1">
        <v>-1983.9</v>
      </c>
      <c r="N80" s="1">
        <v>-2607.1999999999998</v>
      </c>
      <c r="O80" s="1">
        <v>-2038.2</v>
      </c>
    </row>
    <row r="81" spans="2:15" x14ac:dyDescent="0.2">
      <c r="B81" t="s">
        <v>73</v>
      </c>
      <c r="F81" s="1">
        <v>7.2</v>
      </c>
      <c r="G81" s="1">
        <v>8.6</v>
      </c>
      <c r="H81" s="1">
        <v>11</v>
      </c>
      <c r="I81" s="1">
        <v>10.4</v>
      </c>
      <c r="J81" s="1">
        <v>7.9</v>
      </c>
      <c r="K81" s="1">
        <v>11</v>
      </c>
      <c r="L81" s="1">
        <v>12.3</v>
      </c>
      <c r="M81" s="1">
        <v>13.6</v>
      </c>
      <c r="N81" s="1">
        <v>12</v>
      </c>
      <c r="O81" s="1">
        <v>21.5</v>
      </c>
    </row>
    <row r="82" spans="2:15" x14ac:dyDescent="0.2">
      <c r="B82" t="s">
        <v>74</v>
      </c>
      <c r="F82" s="1">
        <v>0</v>
      </c>
      <c r="G82" s="1">
        <v>739.8</v>
      </c>
      <c r="H82" s="1">
        <v>746.5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</row>
    <row r="83" spans="2:15" x14ac:dyDescent="0.2">
      <c r="B83" t="s">
        <v>75</v>
      </c>
      <c r="F83" s="1">
        <v>-0.9</v>
      </c>
      <c r="G83" s="1">
        <v>-0.9</v>
      </c>
      <c r="H83" s="1">
        <v>-0.8</v>
      </c>
      <c r="I83" s="1">
        <v>-0.9</v>
      </c>
      <c r="J83" s="1">
        <v>-0.7</v>
      </c>
      <c r="K83" s="1">
        <v>-3.6</v>
      </c>
      <c r="L83" s="1">
        <v>-2.6</v>
      </c>
      <c r="M83" s="1">
        <v>-3.2</v>
      </c>
      <c r="N83" s="1">
        <v>-2.6</v>
      </c>
      <c r="O83" s="1">
        <v>-13.5</v>
      </c>
    </row>
    <row r="84" spans="2:15" s="4" customFormat="1" ht="15" x14ac:dyDescent="0.25">
      <c r="B84" s="4" t="s">
        <v>76</v>
      </c>
      <c r="F84" s="5">
        <f t="shared" ref="F84:O84" si="31">+SUM(F79:F83)</f>
        <v>-626.59999999999991</v>
      </c>
      <c r="G84" s="5">
        <f t="shared" si="31"/>
        <v>239.99999999999997</v>
      </c>
      <c r="H84" s="5">
        <f t="shared" si="31"/>
        <v>191.90000000000003</v>
      </c>
      <c r="I84" s="5">
        <f t="shared" si="31"/>
        <v>9.5</v>
      </c>
      <c r="J84" s="5">
        <f t="shared" si="31"/>
        <v>-1194.3999999999999</v>
      </c>
      <c r="K84" s="5">
        <f t="shared" si="31"/>
        <v>-1560.1999999999998</v>
      </c>
      <c r="L84" s="5">
        <f t="shared" si="31"/>
        <v>-2391.8999999999996</v>
      </c>
      <c r="M84" s="5">
        <f t="shared" si="31"/>
        <v>-2612.6</v>
      </c>
      <c r="N84" s="5">
        <f t="shared" si="31"/>
        <v>-3326.9999999999995</v>
      </c>
      <c r="O84" s="5">
        <f t="shared" si="31"/>
        <v>-2030.2</v>
      </c>
    </row>
    <row r="85" spans="2:15" s="4" customFormat="1" ht="15" x14ac:dyDescent="0.25">
      <c r="B85" s="4" t="s">
        <v>77</v>
      </c>
      <c r="F85" s="5">
        <f t="shared" ref="F85:O85" si="32">+F84+F77+F68</f>
        <v>1945.2999999999997</v>
      </c>
      <c r="G85" s="5">
        <f t="shared" si="32"/>
        <v>-810.10000000000014</v>
      </c>
      <c r="H85" s="5">
        <f t="shared" si="32"/>
        <v>778.60000000000014</v>
      </c>
      <c r="I85" s="5">
        <f t="shared" si="32"/>
        <v>34.000000000000171</v>
      </c>
      <c r="J85" s="5">
        <f t="shared" si="32"/>
        <v>2519.8999999999996</v>
      </c>
      <c r="K85" s="5">
        <f t="shared" si="32"/>
        <v>-2808.5999999999995</v>
      </c>
      <c r="L85" s="5">
        <f t="shared" si="32"/>
        <v>2167.400000000001</v>
      </c>
      <c r="M85" s="5">
        <f t="shared" si="32"/>
        <v>-1090.5999999999997</v>
      </c>
      <c r="N85" s="5">
        <f t="shared" si="32"/>
        <v>2613.9000000000005</v>
      </c>
      <c r="O85" s="5">
        <f t="shared" si="32"/>
        <v>-2628</v>
      </c>
    </row>
  </sheetData>
  <hyperlinks>
    <hyperlink ref="A1" location="Main!A1" display="Main" xr:uid="{C2733331-4694-43D0-9F18-E4FF64E55CE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2022-01-02T16:47:55Z</dcterms:created>
  <dcterms:modified xsi:type="dcterms:W3CDTF">2022-10-19T15:58:59Z</dcterms:modified>
</cp:coreProperties>
</file>