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CD63CE08-EE65-4C01-B835-3880E11B1970}" xr6:coauthVersionLast="47" xr6:coauthVersionMax="47" xr10:uidLastSave="{00000000-0000-0000-0000-000000000000}"/>
  <bookViews>
    <workbookView xWindow="1680" yWindow="810" windowWidth="11190" windowHeight="14625" activeTab="1" xr2:uid="{0280DDA2-5657-4F8E-9CEB-66056B4F2A7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G28" i="2"/>
  <c r="I28" i="2"/>
  <c r="K32" i="2"/>
  <c r="AD21" i="2"/>
  <c r="AD22" i="2"/>
  <c r="AA22" i="2"/>
  <c r="AA21" i="2" s="1"/>
  <c r="AB21" i="2"/>
  <c r="AB22" i="2"/>
  <c r="AC21" i="2"/>
  <c r="AC22" i="2"/>
  <c r="V21" i="2"/>
  <c r="U21" i="2"/>
  <c r="T21" i="2"/>
  <c r="S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T32" i="2"/>
  <c r="AD5" i="2"/>
  <c r="S20" i="2"/>
  <c r="V20" i="2"/>
  <c r="U20" i="2"/>
  <c r="T20" i="2"/>
  <c r="T19" i="2"/>
  <c r="U19" i="2" s="1"/>
  <c r="V19" i="2" s="1"/>
  <c r="S19" i="2"/>
  <c r="V18" i="2"/>
  <c r="U18" i="2"/>
  <c r="T18" i="2"/>
  <c r="S18" i="2"/>
  <c r="T16" i="2"/>
  <c r="U16" i="2" s="1"/>
  <c r="V16" i="2" s="1"/>
  <c r="S16" i="2"/>
  <c r="V14" i="2" l="1"/>
  <c r="V15" i="2" s="1"/>
  <c r="V25" i="2" s="1"/>
  <c r="U14" i="2"/>
  <c r="U15" i="2" s="1"/>
  <c r="U25" i="2" s="1"/>
  <c r="T14" i="2"/>
  <c r="T15" i="2" s="1"/>
  <c r="T25" i="2" s="1"/>
  <c r="S14" i="2"/>
  <c r="S15" i="2" s="1"/>
  <c r="S25" i="2" s="1"/>
  <c r="S12" i="2"/>
  <c r="T12" i="2" s="1"/>
  <c r="T11" i="2"/>
  <c r="S11" i="2"/>
  <c r="U11" i="2"/>
  <c r="S32" i="2"/>
  <c r="V9" i="2"/>
  <c r="U9" i="2"/>
  <c r="T9" i="2"/>
  <c r="S9" i="2"/>
  <c r="S33" i="2"/>
  <c r="V28" i="2"/>
  <c r="U28" i="2"/>
  <c r="T28" i="2"/>
  <c r="S28" i="2"/>
  <c r="V26" i="2"/>
  <c r="U26" i="2"/>
  <c r="T26" i="2"/>
  <c r="S26" i="2"/>
  <c r="V24" i="2"/>
  <c r="U24" i="2"/>
  <c r="T24" i="2"/>
  <c r="S24" i="2"/>
  <c r="V10" i="2"/>
  <c r="U10" i="2"/>
  <c r="T10" i="2"/>
  <c r="S10" i="2"/>
  <c r="N32" i="2"/>
  <c r="N28" i="2"/>
  <c r="O28" i="2"/>
  <c r="H33" i="2"/>
  <c r="R33" i="2"/>
  <c r="Q33" i="2"/>
  <c r="P33" i="2"/>
  <c r="O33" i="2"/>
  <c r="N33" i="2"/>
  <c r="M33" i="2"/>
  <c r="L33" i="2"/>
  <c r="K33" i="2"/>
  <c r="J33" i="2"/>
  <c r="I33" i="2"/>
  <c r="G33" i="2"/>
  <c r="R32" i="2"/>
  <c r="Q32" i="2"/>
  <c r="P32" i="2"/>
  <c r="O32" i="2"/>
  <c r="M32" i="2"/>
  <c r="L32" i="2"/>
  <c r="J32" i="2"/>
  <c r="I32" i="2"/>
  <c r="H32" i="2"/>
  <c r="G32" i="2"/>
  <c r="T5" i="2"/>
  <c r="U5" i="2" s="1"/>
  <c r="V5" i="2" s="1"/>
  <c r="S5" i="2"/>
  <c r="G30" i="2"/>
  <c r="H30" i="2"/>
  <c r="I30" i="2"/>
  <c r="M30" i="2"/>
  <c r="L30" i="2"/>
  <c r="K30" i="2"/>
  <c r="M29" i="2"/>
  <c r="L29" i="2"/>
  <c r="K29" i="2"/>
  <c r="I29" i="2"/>
  <c r="H29" i="2"/>
  <c r="G29" i="2"/>
  <c r="K28" i="2"/>
  <c r="J28" i="2"/>
  <c r="F17" i="2"/>
  <c r="F9" i="2"/>
  <c r="F10" i="2" s="1"/>
  <c r="F14" i="2"/>
  <c r="C9" i="2"/>
  <c r="C14" i="2"/>
  <c r="C5" i="2"/>
  <c r="G14" i="2"/>
  <c r="G9" i="2"/>
  <c r="G5" i="2"/>
  <c r="D14" i="2"/>
  <c r="D9" i="2"/>
  <c r="D5" i="2"/>
  <c r="D10" i="2" s="1"/>
  <c r="D24" i="2" s="1"/>
  <c r="H14" i="2"/>
  <c r="H9" i="2"/>
  <c r="H5" i="2"/>
  <c r="H10" i="2" s="1"/>
  <c r="H24" i="2" s="1"/>
  <c r="E14" i="2"/>
  <c r="E9" i="2"/>
  <c r="E5" i="2"/>
  <c r="I14" i="2"/>
  <c r="I9" i="2"/>
  <c r="I5" i="2"/>
  <c r="J14" i="2"/>
  <c r="J9" i="2"/>
  <c r="J10" i="2" s="1"/>
  <c r="R9" i="2"/>
  <c r="R10" i="2" s="1"/>
  <c r="R24" i="2" s="1"/>
  <c r="N9" i="2"/>
  <c r="N10" i="2" s="1"/>
  <c r="N24" i="2" s="1"/>
  <c r="AC30" i="2"/>
  <c r="AB30" i="2"/>
  <c r="AB29" i="2"/>
  <c r="AC29" i="2"/>
  <c r="Q30" i="2"/>
  <c r="P30" i="2"/>
  <c r="O30" i="2"/>
  <c r="Q29" i="2"/>
  <c r="P29" i="2"/>
  <c r="O29" i="2"/>
  <c r="R28" i="2"/>
  <c r="N14" i="2"/>
  <c r="O14" i="2"/>
  <c r="K14" i="2"/>
  <c r="K9" i="2"/>
  <c r="K5" i="2"/>
  <c r="O9" i="2"/>
  <c r="O5" i="2"/>
  <c r="L14" i="2"/>
  <c r="L9" i="2"/>
  <c r="L5" i="2"/>
  <c r="P14" i="2"/>
  <c r="P9" i="2"/>
  <c r="P5" i="2"/>
  <c r="P28" i="2" s="1"/>
  <c r="Q28" i="2"/>
  <c r="M14" i="2"/>
  <c r="M9" i="2"/>
  <c r="M5" i="2"/>
  <c r="M28" i="2" s="1"/>
  <c r="Q14" i="2"/>
  <c r="Q9" i="2"/>
  <c r="Q5" i="2"/>
  <c r="Q10" i="2" s="1"/>
  <c r="Q24" i="2" s="1"/>
  <c r="R14" i="2"/>
  <c r="AB14" i="2"/>
  <c r="AA14" i="2"/>
  <c r="AC14" i="2"/>
  <c r="AA9" i="2"/>
  <c r="AA5" i="2"/>
  <c r="AC5" i="2"/>
  <c r="AB9" i="2"/>
  <c r="AB5" i="2"/>
  <c r="AB28" i="2" s="1"/>
  <c r="AC9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L23" i="1"/>
  <c r="L21" i="1"/>
  <c r="L24" i="1" s="1"/>
  <c r="T33" i="2" l="1"/>
  <c r="U12" i="2"/>
  <c r="V11" i="2"/>
  <c r="V32" i="2" s="1"/>
  <c r="U32" i="2"/>
  <c r="J15" i="2"/>
  <c r="J24" i="2"/>
  <c r="H28" i="2"/>
  <c r="L28" i="2"/>
  <c r="F24" i="2"/>
  <c r="F15" i="2"/>
  <c r="C10" i="2"/>
  <c r="G10" i="2"/>
  <c r="G15" i="2" s="1"/>
  <c r="D15" i="2"/>
  <c r="H15" i="2"/>
  <c r="E10" i="2"/>
  <c r="I10" i="2"/>
  <c r="N15" i="2"/>
  <c r="K10" i="2"/>
  <c r="O10" i="2"/>
  <c r="L10" i="2"/>
  <c r="P10" i="2"/>
  <c r="M10" i="2"/>
  <c r="Q15" i="2"/>
  <c r="R15" i="2"/>
  <c r="AC10" i="2"/>
  <c r="AC24" i="2" s="1"/>
  <c r="AC28" i="2"/>
  <c r="AA10" i="2"/>
  <c r="AB10" i="2"/>
  <c r="V12" i="2" l="1"/>
  <c r="V33" i="2" s="1"/>
  <c r="U33" i="2"/>
  <c r="C15" i="2"/>
  <c r="C24" i="2"/>
  <c r="K15" i="2"/>
  <c r="K24" i="2"/>
  <c r="N18" i="2"/>
  <c r="N25" i="2"/>
  <c r="I15" i="2"/>
  <c r="I24" i="2"/>
  <c r="Q18" i="2"/>
  <c r="Q25" i="2"/>
  <c r="E15" i="2"/>
  <c r="E24" i="2"/>
  <c r="O15" i="2"/>
  <c r="O25" i="2" s="1"/>
  <c r="O24" i="2"/>
  <c r="M15" i="2"/>
  <c r="M24" i="2"/>
  <c r="H18" i="2"/>
  <c r="H25" i="2"/>
  <c r="P15" i="2"/>
  <c r="P24" i="2"/>
  <c r="D18" i="2"/>
  <c r="D25" i="2"/>
  <c r="J25" i="2"/>
  <c r="J18" i="2"/>
  <c r="F18" i="2"/>
  <c r="F25" i="2"/>
  <c r="G24" i="2"/>
  <c r="G25" i="2"/>
  <c r="G18" i="2"/>
  <c r="R18" i="2"/>
  <c r="R25" i="2"/>
  <c r="O18" i="2"/>
  <c r="L15" i="2"/>
  <c r="L24" i="2"/>
  <c r="AC15" i="2"/>
  <c r="AC25" i="2" s="1"/>
  <c r="AB15" i="2"/>
  <c r="AB24" i="2"/>
  <c r="AA24" i="2"/>
  <c r="AA15" i="2"/>
  <c r="J20" i="2" l="1"/>
  <c r="J21" i="2" s="1"/>
  <c r="J26" i="2"/>
  <c r="M18" i="2"/>
  <c r="M25" i="2"/>
  <c r="N20" i="2"/>
  <c r="N21" i="2" s="1"/>
  <c r="N26" i="2"/>
  <c r="P18" i="2"/>
  <c r="P25" i="2"/>
  <c r="E18" i="2"/>
  <c r="E25" i="2"/>
  <c r="K18" i="2"/>
  <c r="K25" i="2"/>
  <c r="I18" i="2"/>
  <c r="I25" i="2"/>
  <c r="D20" i="2"/>
  <c r="D21" i="2" s="1"/>
  <c r="D26" i="2"/>
  <c r="H20" i="2"/>
  <c r="H21" i="2" s="1"/>
  <c r="H26" i="2"/>
  <c r="Q20" i="2"/>
  <c r="Q21" i="2" s="1"/>
  <c r="Q26" i="2"/>
  <c r="C18" i="2"/>
  <c r="C25" i="2"/>
  <c r="F20" i="2"/>
  <c r="F21" i="2" s="1"/>
  <c r="F26" i="2"/>
  <c r="G26" i="2"/>
  <c r="G20" i="2"/>
  <c r="G21" i="2" s="1"/>
  <c r="R20" i="2"/>
  <c r="R21" i="2" s="1"/>
  <c r="R26" i="2"/>
  <c r="O20" i="2"/>
  <c r="O21" i="2" s="1"/>
  <c r="O26" i="2"/>
  <c r="L18" i="2"/>
  <c r="L25" i="2"/>
  <c r="AC18" i="2"/>
  <c r="AC26" i="2" s="1"/>
  <c r="AA18" i="2"/>
  <c r="AA25" i="2"/>
  <c r="AB25" i="2"/>
  <c r="AB18" i="2"/>
  <c r="P20" i="2" l="1"/>
  <c r="P21" i="2" s="1"/>
  <c r="P26" i="2"/>
  <c r="C21" i="2"/>
  <c r="C26" i="2"/>
  <c r="I20" i="2"/>
  <c r="I21" i="2" s="1"/>
  <c r="I26" i="2"/>
  <c r="K20" i="2"/>
  <c r="K21" i="2" s="1"/>
  <c r="K26" i="2"/>
  <c r="M20" i="2"/>
  <c r="M21" i="2" s="1"/>
  <c r="M26" i="2"/>
  <c r="E20" i="2"/>
  <c r="E21" i="2" s="1"/>
  <c r="E26" i="2"/>
  <c r="L20" i="2"/>
  <c r="L21" i="2" s="1"/>
  <c r="L26" i="2"/>
  <c r="AC20" i="2"/>
  <c r="AB26" i="2"/>
  <c r="AB20" i="2"/>
  <c r="AA20" i="2"/>
  <c r="AA26" i="2"/>
</calcChain>
</file>

<file path=xl/sharedStrings.xml><?xml version="1.0" encoding="utf-8"?>
<sst xmlns="http://schemas.openxmlformats.org/spreadsheetml/2006/main" count="89" uniqueCount="85">
  <si>
    <t>Price</t>
  </si>
  <si>
    <t>Shares</t>
  </si>
  <si>
    <t>MC</t>
  </si>
  <si>
    <t>Cash</t>
  </si>
  <si>
    <t>Debt</t>
  </si>
  <si>
    <t>EV</t>
  </si>
  <si>
    <t>Q421</t>
  </si>
  <si>
    <t>Revenue</t>
  </si>
  <si>
    <t>Products</t>
  </si>
  <si>
    <t>Subscription + Serivce</t>
  </si>
  <si>
    <t>Cost of Products</t>
  </si>
  <si>
    <t>Cost of Service</t>
  </si>
  <si>
    <t>Restructing</t>
  </si>
  <si>
    <t>COGS</t>
  </si>
  <si>
    <t>Gross Profit</t>
  </si>
  <si>
    <t>R&amp;D</t>
  </si>
  <si>
    <t>sG&amp;A</t>
  </si>
  <si>
    <t>More Restructing Costs</t>
  </si>
  <si>
    <t>Operating Costs</t>
  </si>
  <si>
    <t>Operating Income</t>
  </si>
  <si>
    <t>Other Income</t>
  </si>
  <si>
    <t>Interest Expense</t>
  </si>
  <si>
    <t>Pretax Income</t>
  </si>
  <si>
    <t>Taxes</t>
  </si>
  <si>
    <t>Net Income</t>
  </si>
  <si>
    <t>EPS</t>
  </si>
  <si>
    <t>Gross Margin %</t>
  </si>
  <si>
    <t>Operating Margin %</t>
  </si>
  <si>
    <t>Tax Rate %</t>
  </si>
  <si>
    <t>Revenue Growth Y/Y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</si>
  <si>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</si>
  <si>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</si>
  <si>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</si>
  <si>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</si>
  <si>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</si>
  <si>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</si>
  <si>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</si>
  <si>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</si>
  <si>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</si>
  <si>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</si>
  <si>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</si>
  <si>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</si>
  <si>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</si>
  <si>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</si>
  <si>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</si>
  <si>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Products RevG Growth Y/y</t>
  </si>
  <si>
    <t>Subscription + Service Y/Y</t>
  </si>
  <si>
    <t>Q122</t>
  </si>
  <si>
    <t>Q222</t>
  </si>
  <si>
    <t>Q322</t>
  </si>
  <si>
    <t>Q422</t>
  </si>
  <si>
    <t>R&amp;D Spending Y/Y</t>
  </si>
  <si>
    <t>sG&amp;A Spending Y/Y</t>
  </si>
  <si>
    <t>Government Contracted</t>
  </si>
  <si>
    <t>Semiconductor company, focused towards complex digital and mixed signal complementary metal oxide semiconductor (“CMOS”)</t>
  </si>
  <si>
    <t>Also does infrastrcture software</t>
  </si>
  <si>
    <t>Semiconductor Solutions</t>
  </si>
  <si>
    <t>Infrastructure software</t>
  </si>
  <si>
    <t>Name</t>
  </si>
  <si>
    <t>% of Revenue</t>
  </si>
  <si>
    <t>Description</t>
  </si>
  <si>
    <t xml:space="preserve"> Mainframe Software</t>
  </si>
  <si>
    <t xml:space="preserve"> Distributed Software</t>
  </si>
  <si>
    <t xml:space="preserve"> Symantec Cyber Security</t>
  </si>
  <si>
    <t xml:space="preserve"> FC SAN Management</t>
  </si>
  <si>
    <t xml:space="preserve"> Payment Authenication</t>
  </si>
  <si>
    <t>DevOps, AlOps, Security &amp; Database Management</t>
  </si>
  <si>
    <t>Anti Virus?</t>
  </si>
  <si>
    <t>Just another CRM</t>
  </si>
  <si>
    <t>fast storage thing</t>
  </si>
  <si>
    <t>Basically Paypal(No card present tech)</t>
  </si>
  <si>
    <t xml:space="preserve"> Broadband</t>
  </si>
  <si>
    <t xml:space="preserve"> Networking</t>
  </si>
  <si>
    <t xml:space="preserve"> Wireless</t>
  </si>
  <si>
    <t xml:space="preserve"> Industrial</t>
  </si>
  <si>
    <t>Alternative, "better"(maybe) wifi machine</t>
  </si>
  <si>
    <t>Enterprise embedded Networking</t>
  </si>
  <si>
    <t>Mobile Handsets (RADIO)</t>
  </si>
  <si>
    <t>Servers, Harddrives</t>
  </si>
  <si>
    <t>Power isolation &amp; automation</t>
  </si>
  <si>
    <t xml:space="preserve"> Storage</t>
  </si>
  <si>
    <t>Competitors</t>
  </si>
  <si>
    <t>Semiconductors designed towards Networking</t>
  </si>
  <si>
    <t>The company was incorporated in 2018 and is based in San Jose, California</t>
  </si>
  <si>
    <t>AMS 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</si>
</sst>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9" fontId="1" fillId="0" borderId="2" xfId="0" applyNumberFormat="1" applyFont="1" applyBorder="1"/>
    <xf numFmtId="0" fontId="2" fillId="0" borderId="1" xfId="0" applyFont="1" applyBorder="1"/>
    <xf numFmtId="9" fontId="2" fillId="0" borderId="1" xfId="0" applyNumberFormat="1" applyFont="1" applyBorder="1"/>
    <xf numFmtId="0" fontId="1" fillId="0" borderId="1" xfId="0" applyFont="1" applyFill="1" applyBorder="1"/>
    <xf numFmtId="0" fontId="1" fillId="0" borderId="1" xfId="0" applyFont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0</xdr:row>
      <xdr:rowOff>19050</xdr:rowOff>
    </xdr:from>
    <xdr:to>
      <xdr:col>29</xdr:col>
      <xdr:colOff>38100</xdr:colOff>
      <xdr:row>42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E6944B2-E1BF-41C8-A913-1EDB298BB5D6}"/>
            </a:ext>
          </a:extLst>
        </xdr:cNvPr>
        <xdr:cNvCxnSpPr/>
      </xdr:nvCxnSpPr>
      <xdr:spPr>
        <a:xfrm>
          <a:off x="17335500" y="19050"/>
          <a:ext cx="0" cy="803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0</xdr:row>
      <xdr:rowOff>28575</xdr:rowOff>
    </xdr:from>
    <xdr:to>
      <xdr:col>18</xdr:col>
      <xdr:colOff>38100</xdr:colOff>
      <xdr:row>42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60D797-426A-46AF-9365-F07C34FC809D}"/>
            </a:ext>
          </a:extLst>
        </xdr:cNvPr>
        <xdr:cNvCxnSpPr/>
      </xdr:nvCxnSpPr>
      <xdr:spPr>
        <a:xfrm>
          <a:off x="11849100" y="28575"/>
          <a:ext cx="0" cy="809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38F7-7659-4825-ADAF-4F114EA9C342}">
  <dimension ref="B2:P37"/>
  <sheetViews>
    <sheetView workbookViewId="0">
      <selection activeCell="C24" sqref="C24"/>
    </sheetView>
  </sheetViews>
  <sheetFormatPr defaultRowHeight="14.25" x14ac:dyDescent="0.2"/>
  <cols>
    <col min="1" max="1" width="9.140625" style="1"/>
    <col min="2" max="2" width="26.5703125" style="1" customWidth="1"/>
    <col min="3" max="3" width="46" style="1" bestFit="1" customWidth="1"/>
    <col min="4" max="4" width="13.28515625" style="1" bestFit="1" customWidth="1"/>
    <col min="5" max="5" width="12" style="1" bestFit="1" customWidth="1"/>
    <col min="6" max="15" width="9.140625" style="1"/>
    <col min="16" max="16" width="9.140625" style="6"/>
    <col min="17" max="16384" width="9.140625" style="1"/>
  </cols>
  <sheetData>
    <row r="2" spans="2:16" ht="15" thickBot="1" x14ac:dyDescent="0.25"/>
    <row r="3" spans="2:16" ht="15" thickBot="1" x14ac:dyDescent="0.25">
      <c r="B3" s="7" t="s">
        <v>58</v>
      </c>
      <c r="C3" s="8" t="s">
        <v>60</v>
      </c>
      <c r="D3" s="8" t="s">
        <v>59</v>
      </c>
      <c r="E3" s="9" t="s">
        <v>81</v>
      </c>
    </row>
    <row r="4" spans="2:16" s="12" customFormat="1" ht="15" x14ac:dyDescent="0.25">
      <c r="B4" s="10" t="s">
        <v>56</v>
      </c>
      <c r="C4" s="10" t="s">
        <v>82</v>
      </c>
      <c r="D4" s="11">
        <v>0.74</v>
      </c>
      <c r="E4" s="10" t="s">
        <v>84</v>
      </c>
      <c r="P4" s="13"/>
    </row>
    <row r="5" spans="2:16" x14ac:dyDescent="0.2">
      <c r="B5" s="14" t="s">
        <v>71</v>
      </c>
      <c r="C5" s="14" t="s">
        <v>75</v>
      </c>
      <c r="D5" s="15"/>
      <c r="E5" s="14"/>
    </row>
    <row r="6" spans="2:16" x14ac:dyDescent="0.2">
      <c r="B6" s="14" t="s">
        <v>72</v>
      </c>
      <c r="C6" s="14" t="s">
        <v>76</v>
      </c>
      <c r="D6" s="15"/>
      <c r="E6" s="14"/>
    </row>
    <row r="7" spans="2:16" x14ac:dyDescent="0.2">
      <c r="B7" s="14" t="s">
        <v>73</v>
      </c>
      <c r="C7" s="14" t="s">
        <v>77</v>
      </c>
      <c r="D7" s="15"/>
      <c r="E7" s="14"/>
    </row>
    <row r="8" spans="2:16" x14ac:dyDescent="0.2">
      <c r="B8" s="14" t="s">
        <v>80</v>
      </c>
      <c r="C8" s="14" t="s">
        <v>78</v>
      </c>
      <c r="D8" s="15"/>
      <c r="E8" s="14"/>
    </row>
    <row r="9" spans="2:16" x14ac:dyDescent="0.2">
      <c r="B9" s="14" t="s">
        <v>74</v>
      </c>
      <c r="C9" s="14" t="s">
        <v>79</v>
      </c>
      <c r="D9" s="15"/>
      <c r="E9" s="14"/>
    </row>
    <row r="10" spans="2:16" s="12" customFormat="1" ht="15" x14ac:dyDescent="0.25">
      <c r="B10" s="16" t="s">
        <v>57</v>
      </c>
      <c r="C10" s="16"/>
      <c r="D10" s="17">
        <v>0.26</v>
      </c>
      <c r="E10" s="16"/>
      <c r="P10" s="13"/>
    </row>
    <row r="11" spans="2:16" x14ac:dyDescent="0.2">
      <c r="B11" s="18" t="s">
        <v>61</v>
      </c>
      <c r="C11" s="19" t="s">
        <v>66</v>
      </c>
      <c r="D11" s="19"/>
      <c r="E11" s="19"/>
    </row>
    <row r="12" spans="2:16" x14ac:dyDescent="0.2">
      <c r="B12" s="18" t="s">
        <v>62</v>
      </c>
      <c r="C12" s="19" t="s">
        <v>68</v>
      </c>
      <c r="D12" s="20"/>
      <c r="E12" s="19"/>
    </row>
    <row r="13" spans="2:16" x14ac:dyDescent="0.2">
      <c r="B13" s="18" t="s">
        <v>63</v>
      </c>
      <c r="C13" s="18" t="s">
        <v>67</v>
      </c>
      <c r="D13" s="20"/>
      <c r="E13" s="19"/>
    </row>
    <row r="14" spans="2:16" x14ac:dyDescent="0.2">
      <c r="B14" s="18" t="s">
        <v>64</v>
      </c>
      <c r="C14" s="18" t="s">
        <v>69</v>
      </c>
      <c r="D14" s="19"/>
      <c r="E14" s="19"/>
    </row>
    <row r="15" spans="2:16" x14ac:dyDescent="0.2">
      <c r="B15" s="18" t="s">
        <v>65</v>
      </c>
      <c r="C15" s="18" t="s">
        <v>70</v>
      </c>
      <c r="D15" s="19"/>
      <c r="E15" s="19"/>
    </row>
    <row r="16" spans="2:16" x14ac:dyDescent="0.2">
      <c r="B16" s="19"/>
      <c r="C16" s="19"/>
      <c r="D16" s="19"/>
      <c r="E16" s="19"/>
    </row>
    <row r="19" spans="11:13" x14ac:dyDescent="0.2">
      <c r="K19" s="1" t="s">
        <v>0</v>
      </c>
      <c r="L19" s="1">
        <v>634.96</v>
      </c>
      <c r="M19" s="6"/>
    </row>
    <row r="20" spans="11:13" x14ac:dyDescent="0.2">
      <c r="K20" s="1" t="s">
        <v>1</v>
      </c>
      <c r="L20" s="2">
        <v>412.87299999999999</v>
      </c>
      <c r="M20" s="6" t="s">
        <v>6</v>
      </c>
    </row>
    <row r="21" spans="11:13" x14ac:dyDescent="0.2">
      <c r="K21" s="1" t="s">
        <v>2</v>
      </c>
      <c r="L21" s="2">
        <f>++L19*L20</f>
        <v>262157.84007999999</v>
      </c>
      <c r="M21" s="6"/>
    </row>
    <row r="22" spans="11:13" x14ac:dyDescent="0.2">
      <c r="K22" s="1" t="s">
        <v>3</v>
      </c>
      <c r="L22" s="2">
        <v>12163</v>
      </c>
      <c r="M22" s="6" t="s">
        <v>6</v>
      </c>
    </row>
    <row r="23" spans="11:13" x14ac:dyDescent="0.2">
      <c r="K23" s="1" t="s">
        <v>4</v>
      </c>
      <c r="L23" s="2">
        <f>290+39440</f>
        <v>39730</v>
      </c>
      <c r="M23" s="6" t="s">
        <v>6</v>
      </c>
    </row>
    <row r="24" spans="11:13" x14ac:dyDescent="0.2">
      <c r="K24" s="1" t="s">
        <v>5</v>
      </c>
      <c r="L24" s="2">
        <f>+L21+L23-L22</f>
        <v>289724.84007999999</v>
      </c>
      <c r="M24" s="6"/>
    </row>
    <row r="34" spans="9:9" x14ac:dyDescent="0.2">
      <c r="I34" s="1" t="s">
        <v>83</v>
      </c>
    </row>
    <row r="35" spans="9:9" x14ac:dyDescent="0.2">
      <c r="I35" s="1" t="s">
        <v>53</v>
      </c>
    </row>
    <row r="36" spans="9:9" x14ac:dyDescent="0.2">
      <c r="I36" s="1" t="s">
        <v>54</v>
      </c>
    </row>
    <row r="37" spans="9:9" x14ac:dyDescent="0.2">
      <c r="I37" s="1" t="s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44FF-D591-4806-A584-A50E4BC207F2}">
  <dimension ref="B2:BD33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4.25" x14ac:dyDescent="0.2"/>
  <cols>
    <col min="1" max="1" width="9.140625" style="1"/>
    <col min="2" max="2" width="21.7109375" style="1" bestFit="1" customWidth="1"/>
    <col min="3" max="16384" width="9.140625" style="1"/>
  </cols>
  <sheetData>
    <row r="2" spans="2:56" x14ac:dyDescent="0.2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6</v>
      </c>
      <c r="S2" s="1" t="s">
        <v>47</v>
      </c>
      <c r="T2" s="1" t="s">
        <v>48</v>
      </c>
      <c r="U2" s="1" t="s">
        <v>49</v>
      </c>
      <c r="V2" s="1" t="s">
        <v>50</v>
      </c>
      <c r="Z2" s="1">
        <v>2018</v>
      </c>
      <c r="AA2" s="1">
        <f>+Z2+1</f>
        <v>2019</v>
      </c>
      <c r="AB2" s="1">
        <f t="shared" ref="AB2:BD2" si="0">+AA2+1</f>
        <v>2020</v>
      </c>
      <c r="AC2" s="1">
        <f t="shared" si="0"/>
        <v>2021</v>
      </c>
      <c r="AD2" s="1">
        <f t="shared" si="0"/>
        <v>2022</v>
      </c>
      <c r="AE2" s="1">
        <f t="shared" si="0"/>
        <v>2023</v>
      </c>
      <c r="AF2" s="1">
        <f t="shared" si="0"/>
        <v>2024</v>
      </c>
      <c r="AG2" s="1">
        <f t="shared" si="0"/>
        <v>2025</v>
      </c>
      <c r="AH2" s="1">
        <f t="shared" si="0"/>
        <v>2026</v>
      </c>
      <c r="AI2" s="1">
        <f t="shared" si="0"/>
        <v>2027</v>
      </c>
      <c r="AJ2" s="1">
        <f t="shared" si="0"/>
        <v>2028</v>
      </c>
      <c r="AK2" s="1">
        <f t="shared" si="0"/>
        <v>2029</v>
      </c>
      <c r="AL2" s="1">
        <f t="shared" si="0"/>
        <v>2030</v>
      </c>
      <c r="AM2" s="1">
        <f t="shared" si="0"/>
        <v>2031</v>
      </c>
      <c r="AN2" s="1">
        <f t="shared" si="0"/>
        <v>2032</v>
      </c>
      <c r="AO2" s="1">
        <f t="shared" si="0"/>
        <v>2033</v>
      </c>
      <c r="AP2" s="1">
        <f t="shared" si="0"/>
        <v>2034</v>
      </c>
      <c r="AQ2" s="1">
        <f t="shared" si="0"/>
        <v>2035</v>
      </c>
      <c r="AR2" s="1">
        <f t="shared" si="0"/>
        <v>2036</v>
      </c>
      <c r="AS2" s="1">
        <f t="shared" si="0"/>
        <v>2037</v>
      </c>
      <c r="AT2" s="1">
        <f t="shared" si="0"/>
        <v>2038</v>
      </c>
      <c r="AU2" s="1">
        <f t="shared" si="0"/>
        <v>2039</v>
      </c>
      <c r="AV2" s="1">
        <f t="shared" si="0"/>
        <v>2040</v>
      </c>
      <c r="AW2" s="1">
        <f t="shared" si="0"/>
        <v>2041</v>
      </c>
      <c r="AX2" s="1">
        <f t="shared" si="0"/>
        <v>2042</v>
      </c>
      <c r="AY2" s="1">
        <f t="shared" si="0"/>
        <v>2043</v>
      </c>
      <c r="AZ2" s="1">
        <f t="shared" si="0"/>
        <v>2044</v>
      </c>
      <c r="BA2" s="1">
        <f t="shared" si="0"/>
        <v>2045</v>
      </c>
      <c r="BB2" s="1">
        <f t="shared" si="0"/>
        <v>2046</v>
      </c>
      <c r="BC2" s="1">
        <f t="shared" si="0"/>
        <v>2047</v>
      </c>
      <c r="BD2" s="1">
        <f t="shared" si="0"/>
        <v>2048</v>
      </c>
    </row>
    <row r="3" spans="2:56" s="2" customFormat="1" x14ac:dyDescent="0.2">
      <c r="B3" s="2" t="s">
        <v>8</v>
      </c>
      <c r="C3" s="2">
        <v>5108</v>
      </c>
      <c r="D3" s="2">
        <v>4749</v>
      </c>
      <c r="E3" s="2">
        <v>4783</v>
      </c>
      <c r="G3" s="2">
        <v>4639</v>
      </c>
      <c r="H3" s="2">
        <v>4418</v>
      </c>
      <c r="I3" s="2">
        <v>4413</v>
      </c>
      <c r="K3" s="2">
        <v>4204</v>
      </c>
      <c r="L3" s="2">
        <v>4253</v>
      </c>
      <c r="M3" s="2">
        <v>4125</v>
      </c>
      <c r="N3" s="3"/>
      <c r="O3" s="2">
        <v>5081</v>
      </c>
      <c r="P3" s="2">
        <v>4983</v>
      </c>
      <c r="Q3" s="2">
        <v>5064</v>
      </c>
      <c r="AA3" s="2">
        <v>18117</v>
      </c>
      <c r="AB3" s="2">
        <v>17435</v>
      </c>
      <c r="AC3" s="2">
        <v>20886</v>
      </c>
    </row>
    <row r="4" spans="2:56" s="2" customFormat="1" x14ac:dyDescent="0.2">
      <c r="B4" s="2" t="s">
        <v>9</v>
      </c>
      <c r="C4" s="2">
        <v>219</v>
      </c>
      <c r="D4" s="2">
        <v>265</v>
      </c>
      <c r="E4" s="2">
        <v>280</v>
      </c>
      <c r="G4" s="2">
        <v>1150</v>
      </c>
      <c r="H4" s="2">
        <v>1099</v>
      </c>
      <c r="I4" s="2">
        <v>1102</v>
      </c>
      <c r="K4" s="2">
        <v>1654</v>
      </c>
      <c r="L4" s="2">
        <v>1489</v>
      </c>
      <c r="M4" s="2">
        <v>1696</v>
      </c>
      <c r="N4" s="3"/>
      <c r="O4" s="2">
        <v>1574</v>
      </c>
      <c r="P4" s="2">
        <v>1627</v>
      </c>
      <c r="Q4" s="2">
        <v>1714</v>
      </c>
      <c r="AA4" s="2">
        <v>4480</v>
      </c>
      <c r="AB4" s="2">
        <v>6453</v>
      </c>
      <c r="AC4" s="2">
        <v>6564</v>
      </c>
    </row>
    <row r="5" spans="2:56" s="4" customFormat="1" ht="15" x14ac:dyDescent="0.25">
      <c r="B5" s="4" t="s">
        <v>7</v>
      </c>
      <c r="C5" s="4">
        <f>+SUM(C3:C4)</f>
        <v>5327</v>
      </c>
      <c r="D5" s="4">
        <f>+SUM(D3:D4)</f>
        <v>5014</v>
      </c>
      <c r="E5" s="4">
        <f>+SUM(E3:E4)</f>
        <v>5063</v>
      </c>
      <c r="F5" s="4">
        <v>5444</v>
      </c>
      <c r="G5" s="4">
        <f>+SUM(G3:G4)</f>
        <v>5789</v>
      </c>
      <c r="H5" s="4">
        <f>+SUM(H3:H4)</f>
        <v>5517</v>
      </c>
      <c r="I5" s="4">
        <f>+SUM(I3:I4)</f>
        <v>5515</v>
      </c>
      <c r="J5" s="4">
        <v>5776</v>
      </c>
      <c r="K5" s="4">
        <f>+SUM(K3:K4)</f>
        <v>5858</v>
      </c>
      <c r="L5" s="4">
        <f>+SUM(L3:L4)</f>
        <v>5742</v>
      </c>
      <c r="M5" s="4">
        <f>+SUM(M3:M4)</f>
        <v>5821</v>
      </c>
      <c r="N5" s="4">
        <v>6467</v>
      </c>
      <c r="O5" s="4">
        <f>+SUM(O3:O4)</f>
        <v>6655</v>
      </c>
      <c r="P5" s="4">
        <f>+SUM(P3:P4)</f>
        <v>6610</v>
      </c>
      <c r="Q5" s="4">
        <f>+SUM(Q3:Q4)</f>
        <v>6778</v>
      </c>
      <c r="R5" s="4">
        <v>7407</v>
      </c>
      <c r="S5" s="4">
        <f>+R5*1.07</f>
        <v>7925.4900000000007</v>
      </c>
      <c r="T5" s="4">
        <f t="shared" ref="T5:V5" si="1">+S5*1.07</f>
        <v>8480.2743000000009</v>
      </c>
      <c r="U5" s="4">
        <f t="shared" si="1"/>
        <v>9073.8935010000023</v>
      </c>
      <c r="V5" s="4">
        <f t="shared" si="1"/>
        <v>9709.0660460700037</v>
      </c>
      <c r="AA5" s="4">
        <f>+SUM(AA3:AA4)</f>
        <v>22597</v>
      </c>
      <c r="AB5" s="4">
        <f>+SUM(AB3:AB4)</f>
        <v>23888</v>
      </c>
      <c r="AC5" s="4">
        <f>+SUM(AC3:AC4)</f>
        <v>27450</v>
      </c>
      <c r="AD5" s="4">
        <f>+SUM(S5:V5)</f>
        <v>35188.72384707001</v>
      </c>
    </row>
    <row r="6" spans="2:56" s="2" customFormat="1" x14ac:dyDescent="0.2">
      <c r="B6" s="2" t="s">
        <v>10</v>
      </c>
      <c r="C6" s="2">
        <v>1876</v>
      </c>
      <c r="D6" s="2">
        <v>1672</v>
      </c>
      <c r="E6" s="2">
        <v>1656</v>
      </c>
      <c r="G6" s="2">
        <v>1554</v>
      </c>
      <c r="H6" s="2">
        <v>1457</v>
      </c>
      <c r="I6" s="2">
        <v>1519</v>
      </c>
      <c r="K6" s="2">
        <v>1459</v>
      </c>
      <c r="L6" s="2">
        <v>1448</v>
      </c>
      <c r="M6" s="2">
        <v>1383</v>
      </c>
      <c r="O6" s="2">
        <v>1672</v>
      </c>
      <c r="P6" s="2">
        <v>1548</v>
      </c>
      <c r="Q6" s="2">
        <v>1572</v>
      </c>
      <c r="AA6" s="2">
        <v>6208</v>
      </c>
      <c r="AB6" s="2">
        <v>5892</v>
      </c>
      <c r="AC6" s="2">
        <v>6555</v>
      </c>
    </row>
    <row r="7" spans="2:56" s="2" customFormat="1" x14ac:dyDescent="0.2">
      <c r="B7" s="2" t="s">
        <v>11</v>
      </c>
      <c r="C7" s="2">
        <v>23</v>
      </c>
      <c r="D7" s="2">
        <v>24</v>
      </c>
      <c r="E7" s="2">
        <v>24</v>
      </c>
      <c r="G7" s="2">
        <v>138</v>
      </c>
      <c r="H7" s="2">
        <v>135</v>
      </c>
      <c r="I7" s="2">
        <v>132</v>
      </c>
      <c r="K7" s="2">
        <v>177</v>
      </c>
      <c r="L7" s="2">
        <v>144</v>
      </c>
      <c r="M7" s="2">
        <v>154</v>
      </c>
      <c r="O7" s="2">
        <v>142</v>
      </c>
      <c r="P7" s="2">
        <v>151</v>
      </c>
      <c r="Q7" s="2">
        <v>157</v>
      </c>
      <c r="AA7" s="2">
        <v>515</v>
      </c>
      <c r="AB7" s="2">
        <v>626</v>
      </c>
      <c r="AC7" s="2">
        <v>607</v>
      </c>
    </row>
    <row r="8" spans="2:56" s="2" customFormat="1" x14ac:dyDescent="0.2">
      <c r="B8" s="2" t="s">
        <v>12</v>
      </c>
      <c r="C8" s="2">
        <v>15</v>
      </c>
      <c r="D8" s="2">
        <v>2</v>
      </c>
      <c r="E8" s="2">
        <v>2</v>
      </c>
      <c r="G8" s="2">
        <v>56</v>
      </c>
      <c r="H8" s="2">
        <v>10</v>
      </c>
      <c r="I8" s="2">
        <v>2</v>
      </c>
      <c r="J8" s="2">
        <v>9</v>
      </c>
      <c r="K8" s="2">
        <v>8</v>
      </c>
      <c r="L8" s="2">
        <v>7</v>
      </c>
      <c r="M8" s="2">
        <v>15</v>
      </c>
      <c r="N8" s="2">
        <v>5</v>
      </c>
      <c r="O8" s="2">
        <v>15</v>
      </c>
      <c r="P8" s="2">
        <v>1</v>
      </c>
      <c r="Q8" s="2">
        <v>1</v>
      </c>
      <c r="AA8" s="2">
        <v>77</v>
      </c>
      <c r="AB8" s="2">
        <v>35</v>
      </c>
      <c r="AC8" s="2">
        <v>17</v>
      </c>
    </row>
    <row r="9" spans="2:56" s="2" customFormat="1" x14ac:dyDescent="0.2">
      <c r="B9" s="2" t="s">
        <v>13</v>
      </c>
      <c r="C9" s="2">
        <f>+SUM(C6:C8)+70</f>
        <v>1984</v>
      </c>
      <c r="D9" s="2">
        <f>+SUM(D6:D8)</f>
        <v>1698</v>
      </c>
      <c r="E9" s="2">
        <f>+SUM(E6:E8)</f>
        <v>1682</v>
      </c>
      <c r="F9" s="2">
        <f>2509-762</f>
        <v>1747</v>
      </c>
      <c r="G9" s="2">
        <f>+SUM(G6:G8)</f>
        <v>1748</v>
      </c>
      <c r="H9" s="2">
        <f>+SUM(H6:H8)</f>
        <v>1602</v>
      </c>
      <c r="I9" s="2">
        <f>+SUM(I6:I8)</f>
        <v>1653</v>
      </c>
      <c r="J9" s="2">
        <f>2624-827</f>
        <v>1797</v>
      </c>
      <c r="K9" s="2">
        <f>+SUM(K6:K8)</f>
        <v>1644</v>
      </c>
      <c r="L9" s="2">
        <f>+SUM(L6:L8)</f>
        <v>1599</v>
      </c>
      <c r="M9" s="2">
        <f>+SUM(M6:M8)</f>
        <v>1552</v>
      </c>
      <c r="N9" s="2">
        <f>2720-962</f>
        <v>1758</v>
      </c>
      <c r="O9" s="2">
        <f>+SUM(O6:O8)</f>
        <v>1829</v>
      </c>
      <c r="P9" s="2">
        <f>+SUM(P6:P8)</f>
        <v>1700</v>
      </c>
      <c r="Q9" s="2">
        <f>+SUM(Q6:Q8)</f>
        <v>1730</v>
      </c>
      <c r="R9" s="2">
        <f>1920-849</f>
        <v>1071</v>
      </c>
      <c r="S9" s="2">
        <f>+S5-S10</f>
        <v>1585.098</v>
      </c>
      <c r="T9" s="2">
        <f t="shared" ref="T9:V9" si="2">+T5-T10</f>
        <v>1696.0548600000002</v>
      </c>
      <c r="U9" s="2">
        <f t="shared" si="2"/>
        <v>1814.7787002000005</v>
      </c>
      <c r="V9" s="2">
        <f t="shared" si="2"/>
        <v>1941.8132092140004</v>
      </c>
      <c r="AA9" s="2">
        <f>+SUM(AA6:AA8)</f>
        <v>6800</v>
      </c>
      <c r="AB9" s="2">
        <f>+SUM(AB6:AB8)</f>
        <v>6553</v>
      </c>
      <c r="AC9" s="2">
        <f>+SUM(AC6:AC8)</f>
        <v>7179</v>
      </c>
      <c r="AD9" s="2">
        <f t="shared" ref="AD9:AD20" si="3">+SUM(S9:V9)</f>
        <v>7037.744769414001</v>
      </c>
    </row>
    <row r="10" spans="2:56" s="2" customFormat="1" x14ac:dyDescent="0.2">
      <c r="B10" s="2" t="s">
        <v>14</v>
      </c>
      <c r="C10" s="2">
        <f t="shared" ref="C10:R10" si="4">+C5-C9</f>
        <v>3343</v>
      </c>
      <c r="D10" s="2">
        <f t="shared" si="4"/>
        <v>3316</v>
      </c>
      <c r="E10" s="2">
        <f t="shared" si="4"/>
        <v>3381</v>
      </c>
      <c r="F10" s="2">
        <f t="shared" si="4"/>
        <v>3697</v>
      </c>
      <c r="G10" s="2">
        <f t="shared" si="4"/>
        <v>4041</v>
      </c>
      <c r="H10" s="2">
        <f t="shared" si="4"/>
        <v>3915</v>
      </c>
      <c r="I10" s="2">
        <f t="shared" si="4"/>
        <v>3862</v>
      </c>
      <c r="J10" s="2">
        <f t="shared" si="4"/>
        <v>3979</v>
      </c>
      <c r="K10" s="2">
        <f t="shared" si="4"/>
        <v>4214</v>
      </c>
      <c r="L10" s="2">
        <f t="shared" si="4"/>
        <v>4143</v>
      </c>
      <c r="M10" s="2">
        <f t="shared" si="4"/>
        <v>4269</v>
      </c>
      <c r="N10" s="2">
        <f t="shared" si="4"/>
        <v>4709</v>
      </c>
      <c r="O10" s="2">
        <f t="shared" si="4"/>
        <v>4826</v>
      </c>
      <c r="P10" s="2">
        <f t="shared" si="4"/>
        <v>4910</v>
      </c>
      <c r="Q10" s="2">
        <f t="shared" si="4"/>
        <v>5048</v>
      </c>
      <c r="R10" s="2">
        <f t="shared" si="4"/>
        <v>6336</v>
      </c>
      <c r="S10" s="2">
        <f>+S5*0.8</f>
        <v>6340.3920000000007</v>
      </c>
      <c r="T10" s="2">
        <f t="shared" ref="T10:U10" si="5">+T5*0.8</f>
        <v>6784.2194400000008</v>
      </c>
      <c r="U10" s="2">
        <f t="shared" si="5"/>
        <v>7259.1148008000018</v>
      </c>
      <c r="V10" s="2">
        <f>+V5*0.8</f>
        <v>7767.2528368560033</v>
      </c>
      <c r="AA10" s="2">
        <f>+AA5-AA9</f>
        <v>15797</v>
      </c>
      <c r="AB10" s="2">
        <f>+AB5-AB9</f>
        <v>17335</v>
      </c>
      <c r="AC10" s="2">
        <f>+AC5-AC9</f>
        <v>20271</v>
      </c>
      <c r="AD10" s="2">
        <f t="shared" si="3"/>
        <v>28150.979077656004</v>
      </c>
    </row>
    <row r="11" spans="2:56" s="2" customFormat="1" x14ac:dyDescent="0.2">
      <c r="B11" s="2" t="s">
        <v>15</v>
      </c>
      <c r="C11" s="2">
        <v>925</v>
      </c>
      <c r="D11" s="2">
        <v>936</v>
      </c>
      <c r="E11" s="2">
        <v>959</v>
      </c>
      <c r="F11" s="2">
        <v>948</v>
      </c>
      <c r="G11" s="2">
        <v>1133</v>
      </c>
      <c r="H11" s="2">
        <v>1151</v>
      </c>
      <c r="I11" s="2">
        <v>1235</v>
      </c>
      <c r="J11" s="2">
        <v>1177</v>
      </c>
      <c r="K11" s="2">
        <v>1289</v>
      </c>
      <c r="L11" s="2">
        <v>1269</v>
      </c>
      <c r="M11" s="2">
        <v>1228</v>
      </c>
      <c r="N11" s="2">
        <v>1182</v>
      </c>
      <c r="O11" s="2">
        <v>1211</v>
      </c>
      <c r="P11" s="2">
        <v>1238</v>
      </c>
      <c r="Q11" s="2">
        <v>1205</v>
      </c>
      <c r="R11" s="2">
        <v>1200</v>
      </c>
      <c r="S11" s="2">
        <f>+R11*1.01</f>
        <v>1212</v>
      </c>
      <c r="T11" s="2">
        <f>+S11*1.01</f>
        <v>1224.1200000000001</v>
      </c>
      <c r="U11" s="2">
        <f t="shared" ref="U11:V12" si="6">+T11*1.01</f>
        <v>1236.3612000000001</v>
      </c>
      <c r="V11" s="2">
        <f t="shared" si="6"/>
        <v>1248.7248120000002</v>
      </c>
      <c r="AA11" s="2">
        <v>4696</v>
      </c>
      <c r="AB11" s="2">
        <v>4968</v>
      </c>
      <c r="AC11" s="2">
        <v>4854</v>
      </c>
      <c r="AD11" s="2">
        <f t="shared" si="3"/>
        <v>4921.2060120000006</v>
      </c>
    </row>
    <row r="12" spans="2:56" s="2" customFormat="1" x14ac:dyDescent="0.2">
      <c r="B12" s="2" t="s">
        <v>16</v>
      </c>
      <c r="C12" s="2">
        <v>291</v>
      </c>
      <c r="D12" s="2">
        <v>294</v>
      </c>
      <c r="E12" s="2">
        <v>234</v>
      </c>
      <c r="F12" s="2">
        <v>237</v>
      </c>
      <c r="G12" s="2">
        <v>471</v>
      </c>
      <c r="H12" s="2">
        <v>419</v>
      </c>
      <c r="I12" s="2">
        <v>410</v>
      </c>
      <c r="J12" s="2">
        <v>409</v>
      </c>
      <c r="K12" s="2">
        <v>601</v>
      </c>
      <c r="L12" s="2">
        <v>501</v>
      </c>
      <c r="M12" s="2">
        <v>428</v>
      </c>
      <c r="N12" s="2">
        <v>405</v>
      </c>
      <c r="O12" s="2">
        <v>339</v>
      </c>
      <c r="P12" s="2">
        <v>325</v>
      </c>
      <c r="Q12" s="2">
        <v>346</v>
      </c>
      <c r="R12" s="2">
        <v>337</v>
      </c>
      <c r="S12" s="2">
        <f>+R12*1.01</f>
        <v>340.37</v>
      </c>
      <c r="T12" s="2">
        <f>+S12*1.01</f>
        <v>343.77370000000002</v>
      </c>
      <c r="U12" s="2">
        <f t="shared" si="6"/>
        <v>347.21143700000005</v>
      </c>
      <c r="V12" s="2">
        <f t="shared" si="6"/>
        <v>350.68355137000003</v>
      </c>
      <c r="AA12" s="2">
        <v>1709</v>
      </c>
      <c r="AB12" s="2">
        <v>1935</v>
      </c>
      <c r="AC12" s="2">
        <v>1347</v>
      </c>
      <c r="AD12" s="2">
        <f t="shared" si="3"/>
        <v>1382.03868837</v>
      </c>
    </row>
    <row r="13" spans="2:56" s="2" customFormat="1" x14ac:dyDescent="0.2">
      <c r="B13" s="2" t="s">
        <v>17</v>
      </c>
      <c r="C13" s="2">
        <v>130</v>
      </c>
      <c r="D13" s="2">
        <v>53</v>
      </c>
      <c r="E13" s="2">
        <v>19</v>
      </c>
      <c r="F13" s="2">
        <v>17</v>
      </c>
      <c r="G13" s="2">
        <v>573</v>
      </c>
      <c r="H13" s="2">
        <v>76</v>
      </c>
      <c r="I13" s="2">
        <v>49</v>
      </c>
      <c r="J13" s="2">
        <v>38</v>
      </c>
      <c r="K13" s="2">
        <v>57</v>
      </c>
      <c r="L13" s="2">
        <v>54</v>
      </c>
      <c r="M13" s="2">
        <v>52</v>
      </c>
      <c r="N13" s="2">
        <v>35</v>
      </c>
      <c r="O13" s="2">
        <v>71</v>
      </c>
      <c r="P13" s="2">
        <v>25</v>
      </c>
      <c r="Q13" s="2">
        <v>26</v>
      </c>
      <c r="R13" s="2">
        <v>26</v>
      </c>
      <c r="S13" s="2">
        <v>26</v>
      </c>
      <c r="T13" s="2">
        <v>26</v>
      </c>
      <c r="U13" s="2">
        <v>26</v>
      </c>
      <c r="V13" s="2">
        <v>26</v>
      </c>
      <c r="AA13" s="2">
        <v>736</v>
      </c>
      <c r="AB13" s="2">
        <v>198</v>
      </c>
      <c r="AC13" s="2">
        <v>148</v>
      </c>
      <c r="AD13" s="2">
        <f t="shared" si="3"/>
        <v>104</v>
      </c>
    </row>
    <row r="14" spans="2:56" s="2" customFormat="1" x14ac:dyDescent="0.2">
      <c r="B14" s="2" t="s">
        <v>18</v>
      </c>
      <c r="C14" s="2">
        <f t="shared" ref="C14" si="7">+SUM(C11:C13)</f>
        <v>1346</v>
      </c>
      <c r="D14" s="2">
        <f t="shared" ref="D14:F14" si="8">+SUM(D11:D13)</f>
        <v>1283</v>
      </c>
      <c r="E14" s="2">
        <f t="shared" si="8"/>
        <v>1212</v>
      </c>
      <c r="F14" s="2">
        <f t="shared" si="8"/>
        <v>1202</v>
      </c>
      <c r="G14" s="2">
        <f t="shared" ref="G14:H14" si="9">+SUM(G11:G13)</f>
        <v>2177</v>
      </c>
      <c r="H14" s="2">
        <f t="shared" si="9"/>
        <v>1646</v>
      </c>
      <c r="I14" s="2">
        <f t="shared" ref="I14" si="10">+SUM(I11:I13)</f>
        <v>1694</v>
      </c>
      <c r="J14" s="2">
        <f t="shared" ref="J14" si="11">+SUM(J11:J13)</f>
        <v>1624</v>
      </c>
      <c r="K14" s="2">
        <f t="shared" ref="K14:L14" si="12">+SUM(K11:K13)</f>
        <v>1947</v>
      </c>
      <c r="L14" s="2">
        <f t="shared" si="12"/>
        <v>1824</v>
      </c>
      <c r="M14" s="2">
        <f t="shared" ref="M14" si="13">+SUM(M11:M13)</f>
        <v>1708</v>
      </c>
      <c r="N14" s="2">
        <f>+SUM(N11:N13)</f>
        <v>1622</v>
      </c>
      <c r="O14" s="2">
        <f>+SUM(O11:O13)</f>
        <v>1621</v>
      </c>
      <c r="P14" s="2">
        <f t="shared" ref="P14:Q14" si="14">+SUM(P11:P13)</f>
        <v>1588</v>
      </c>
      <c r="Q14" s="2">
        <f t="shared" si="14"/>
        <v>1577</v>
      </c>
      <c r="R14" s="2">
        <f t="shared" ref="R14:V14" si="15">+SUM(R11:R13)</f>
        <v>1563</v>
      </c>
      <c r="S14" s="2">
        <f t="shared" si="15"/>
        <v>1578.37</v>
      </c>
      <c r="T14" s="2">
        <f t="shared" si="15"/>
        <v>1593.8937000000001</v>
      </c>
      <c r="U14" s="2">
        <f t="shared" si="15"/>
        <v>1609.5726370000002</v>
      </c>
      <c r="V14" s="2">
        <f t="shared" si="15"/>
        <v>1625.4083633700002</v>
      </c>
      <c r="AA14" s="2">
        <f t="shared" ref="AA14:AB14" si="16">+SUM(AA11:AA13)</f>
        <v>7141</v>
      </c>
      <c r="AB14" s="2">
        <f t="shared" si="16"/>
        <v>7101</v>
      </c>
      <c r="AC14" s="2">
        <f>+SUM(AC11:AC13)</f>
        <v>6349</v>
      </c>
      <c r="AD14" s="2">
        <f t="shared" si="3"/>
        <v>6407.2447003700008</v>
      </c>
    </row>
    <row r="15" spans="2:56" s="2" customFormat="1" x14ac:dyDescent="0.2">
      <c r="B15" s="2" t="s">
        <v>19</v>
      </c>
      <c r="C15" s="2">
        <f t="shared" ref="C15:R15" si="17">+C10-C14</f>
        <v>1997</v>
      </c>
      <c r="D15" s="2">
        <f t="shared" si="17"/>
        <v>2033</v>
      </c>
      <c r="E15" s="2">
        <f t="shared" si="17"/>
        <v>2169</v>
      </c>
      <c r="F15" s="2">
        <f t="shared" si="17"/>
        <v>2495</v>
      </c>
      <c r="G15" s="2">
        <f t="shared" si="17"/>
        <v>1864</v>
      </c>
      <c r="H15" s="2">
        <f t="shared" si="17"/>
        <v>2269</v>
      </c>
      <c r="I15" s="2">
        <f t="shared" si="17"/>
        <v>2168</v>
      </c>
      <c r="J15" s="2">
        <f t="shared" si="17"/>
        <v>2355</v>
      </c>
      <c r="K15" s="2">
        <f t="shared" si="17"/>
        <v>2267</v>
      </c>
      <c r="L15" s="2">
        <f t="shared" si="17"/>
        <v>2319</v>
      </c>
      <c r="M15" s="2">
        <f t="shared" si="17"/>
        <v>2561</v>
      </c>
      <c r="N15" s="2">
        <f t="shared" si="17"/>
        <v>3087</v>
      </c>
      <c r="O15" s="2">
        <f t="shared" si="17"/>
        <v>3205</v>
      </c>
      <c r="P15" s="2">
        <f t="shared" si="17"/>
        <v>3322</v>
      </c>
      <c r="Q15" s="2">
        <f t="shared" si="17"/>
        <v>3471</v>
      </c>
      <c r="R15" s="2">
        <f t="shared" si="17"/>
        <v>4773</v>
      </c>
      <c r="S15" s="2">
        <f t="shared" ref="S15:V15" si="18">+S10-S14</f>
        <v>4762.0220000000008</v>
      </c>
      <c r="T15" s="2">
        <f t="shared" si="18"/>
        <v>5190.3257400000002</v>
      </c>
      <c r="U15" s="2">
        <f t="shared" si="18"/>
        <v>5649.5421638000016</v>
      </c>
      <c r="V15" s="2">
        <f t="shared" si="18"/>
        <v>6141.8444734860032</v>
      </c>
      <c r="AA15" s="2">
        <f>+AA10-AA14</f>
        <v>8656</v>
      </c>
      <c r="AB15" s="2">
        <f>+AB10-AB14</f>
        <v>10234</v>
      </c>
      <c r="AC15" s="2">
        <f>+AC10-AC14</f>
        <v>13922</v>
      </c>
      <c r="AD15" s="2">
        <f t="shared" si="3"/>
        <v>21743.734377286004</v>
      </c>
    </row>
    <row r="16" spans="2:56" s="2" customFormat="1" x14ac:dyDescent="0.2">
      <c r="B16" s="2" t="s">
        <v>21</v>
      </c>
      <c r="C16" s="2">
        <v>-183</v>
      </c>
      <c r="D16" s="2">
        <v>-148</v>
      </c>
      <c r="E16" s="2">
        <v>-149</v>
      </c>
      <c r="F16" s="2">
        <v>-148</v>
      </c>
      <c r="G16" s="2">
        <v>-345</v>
      </c>
      <c r="H16" s="2">
        <v>-376</v>
      </c>
      <c r="I16" s="2">
        <v>-362</v>
      </c>
      <c r="J16" s="2">
        <v>-361</v>
      </c>
      <c r="K16" s="2">
        <v>-406</v>
      </c>
      <c r="L16" s="2">
        <v>-487</v>
      </c>
      <c r="M16" s="2">
        <v>-464</v>
      </c>
      <c r="N16" s="2">
        <v>-420</v>
      </c>
      <c r="O16" s="2">
        <v>-570</v>
      </c>
      <c r="P16" s="2">
        <v>-466</v>
      </c>
      <c r="Q16" s="2">
        <v>-415</v>
      </c>
      <c r="R16" s="2">
        <v>-434</v>
      </c>
      <c r="S16" s="2">
        <f>+R16*1.02</f>
        <v>-442.68</v>
      </c>
      <c r="T16" s="2">
        <f t="shared" ref="T16:V16" si="19">+S16*1.02</f>
        <v>-451.53360000000004</v>
      </c>
      <c r="U16" s="2">
        <f t="shared" si="19"/>
        <v>-460.56427200000002</v>
      </c>
      <c r="V16" s="2">
        <f t="shared" si="19"/>
        <v>-469.77555744</v>
      </c>
      <c r="AA16" s="2">
        <v>-1444</v>
      </c>
      <c r="AB16" s="2">
        <v>-1777</v>
      </c>
      <c r="AC16" s="2">
        <v>-1885</v>
      </c>
      <c r="AD16" s="2">
        <f t="shared" si="3"/>
        <v>-1824.5534294400002</v>
      </c>
    </row>
    <row r="17" spans="2:30" s="2" customFormat="1" x14ac:dyDescent="0.2">
      <c r="B17" s="2" t="s">
        <v>20</v>
      </c>
      <c r="C17" s="2">
        <v>35</v>
      </c>
      <c r="D17" s="2">
        <v>46</v>
      </c>
      <c r="E17" s="2">
        <v>39</v>
      </c>
      <c r="F17" s="2">
        <f>24-109</f>
        <v>-85</v>
      </c>
      <c r="G17" s="2">
        <v>68</v>
      </c>
      <c r="H17" s="2">
        <v>63</v>
      </c>
      <c r="I17" s="2">
        <v>41</v>
      </c>
      <c r="J17" s="2">
        <v>54</v>
      </c>
      <c r="K17" s="2">
        <v>-4</v>
      </c>
      <c r="L17" s="2">
        <v>130</v>
      </c>
      <c r="M17" s="2">
        <v>49</v>
      </c>
      <c r="N17" s="2">
        <v>31</v>
      </c>
      <c r="O17" s="2">
        <v>117</v>
      </c>
      <c r="P17" s="2">
        <v>-23</v>
      </c>
      <c r="Q17" s="2">
        <v>15</v>
      </c>
      <c r="R17" s="2">
        <v>22</v>
      </c>
      <c r="S17" s="2">
        <v>0</v>
      </c>
      <c r="T17" s="2">
        <v>0</v>
      </c>
      <c r="U17" s="2">
        <v>0</v>
      </c>
      <c r="V17" s="2">
        <v>0</v>
      </c>
      <c r="AA17" s="2">
        <v>226</v>
      </c>
      <c r="AB17" s="2">
        <v>206</v>
      </c>
      <c r="AC17" s="2">
        <v>131</v>
      </c>
      <c r="AD17" s="2">
        <f t="shared" si="3"/>
        <v>0</v>
      </c>
    </row>
    <row r="18" spans="2:30" s="2" customFormat="1" x14ac:dyDescent="0.2">
      <c r="B18" s="2" t="s">
        <v>22</v>
      </c>
      <c r="C18" s="2">
        <f t="shared" ref="C18" si="20">+SUM(C15:C17)</f>
        <v>1849</v>
      </c>
      <c r="D18" s="2">
        <f t="shared" ref="D18:F18" si="21">+SUM(D15:D17)</f>
        <v>1931</v>
      </c>
      <c r="E18" s="2">
        <f t="shared" si="21"/>
        <v>2059</v>
      </c>
      <c r="F18" s="2">
        <f t="shared" si="21"/>
        <v>2262</v>
      </c>
      <c r="G18" s="2">
        <f t="shared" ref="G18:H18" si="22">+SUM(G15:G17)</f>
        <v>1587</v>
      </c>
      <c r="H18" s="2">
        <f t="shared" si="22"/>
        <v>1956</v>
      </c>
      <c r="I18" s="2">
        <f t="shared" ref="I18" si="23">+SUM(I15:I17)</f>
        <v>1847</v>
      </c>
      <c r="J18" s="2">
        <f t="shared" ref="J18:L18" si="24">+SUM(J15:J17)</f>
        <v>2048</v>
      </c>
      <c r="K18" s="2">
        <f t="shared" si="24"/>
        <v>1857</v>
      </c>
      <c r="L18" s="2">
        <f t="shared" si="24"/>
        <v>1962</v>
      </c>
      <c r="M18" s="2">
        <f t="shared" ref="M18" si="25">+SUM(M15:M17)</f>
        <v>2146</v>
      </c>
      <c r="N18" s="2">
        <f t="shared" ref="N18:O18" si="26">+SUM(N15:N17)</f>
        <v>2698</v>
      </c>
      <c r="O18" s="2">
        <f t="shared" si="26"/>
        <v>2752</v>
      </c>
      <c r="P18" s="2">
        <f t="shared" ref="P18:Q18" si="27">+SUM(P15:P17)</f>
        <v>2833</v>
      </c>
      <c r="Q18" s="2">
        <f t="shared" si="27"/>
        <v>3071</v>
      </c>
      <c r="R18" s="2">
        <f t="shared" ref="R18:V18" si="28">+SUM(R15:R17)</f>
        <v>4361</v>
      </c>
      <c r="S18" s="2">
        <f t="shared" si="28"/>
        <v>4319.3420000000006</v>
      </c>
      <c r="T18" s="2">
        <f t="shared" si="28"/>
        <v>4738.7921400000005</v>
      </c>
      <c r="U18" s="2">
        <f t="shared" si="28"/>
        <v>5188.977891800002</v>
      </c>
      <c r="V18" s="2">
        <f t="shared" si="28"/>
        <v>5672.0689160460033</v>
      </c>
      <c r="AA18" s="2">
        <f t="shared" ref="AA18:AB18" si="29">+SUM(AA15:AA17)</f>
        <v>7438</v>
      </c>
      <c r="AB18" s="2">
        <f t="shared" si="29"/>
        <v>8663</v>
      </c>
      <c r="AC18" s="2">
        <f>+SUM(AC15:AC17)</f>
        <v>12168</v>
      </c>
      <c r="AD18" s="2">
        <f t="shared" si="3"/>
        <v>19919.180947846005</v>
      </c>
    </row>
    <row r="19" spans="2:30" s="2" customFormat="1" x14ac:dyDescent="0.2">
      <c r="B19" s="2" t="s">
        <v>23</v>
      </c>
      <c r="C19" s="2">
        <v>-5786</v>
      </c>
      <c r="D19" s="2">
        <v>-2637</v>
      </c>
      <c r="E19" s="2">
        <v>32</v>
      </c>
      <c r="F19" s="2">
        <v>307</v>
      </c>
      <c r="G19" s="2">
        <v>-203</v>
      </c>
      <c r="H19" s="2">
        <v>-36</v>
      </c>
      <c r="I19" s="2">
        <v>-171</v>
      </c>
      <c r="J19" s="2">
        <v>-100</v>
      </c>
      <c r="K19" s="2">
        <v>-76</v>
      </c>
      <c r="L19" s="2">
        <v>-159</v>
      </c>
      <c r="M19" s="2">
        <v>-74</v>
      </c>
      <c r="N19" s="2">
        <v>-187</v>
      </c>
      <c r="O19" s="2">
        <v>6</v>
      </c>
      <c r="P19" s="2">
        <v>-7</v>
      </c>
      <c r="Q19" s="2">
        <v>-150</v>
      </c>
      <c r="R19" s="2">
        <v>180</v>
      </c>
      <c r="S19" s="2">
        <f>+R19*1.04</f>
        <v>187.20000000000002</v>
      </c>
      <c r="T19" s="2">
        <f t="shared" ref="T19:V19" si="30">+S19*1.04</f>
        <v>194.68800000000002</v>
      </c>
      <c r="U19" s="2">
        <f t="shared" si="30"/>
        <v>202.47552000000002</v>
      </c>
      <c r="V19" s="2">
        <f t="shared" si="30"/>
        <v>210.57454080000002</v>
      </c>
      <c r="AA19" s="2">
        <v>-510</v>
      </c>
      <c r="AB19" s="2">
        <v>-518</v>
      </c>
      <c r="AC19" s="2">
        <v>29</v>
      </c>
      <c r="AD19" s="2">
        <f t="shared" si="3"/>
        <v>794.93806080000013</v>
      </c>
    </row>
    <row r="20" spans="2:30" s="4" customFormat="1" ht="15" x14ac:dyDescent="0.25">
      <c r="B20" s="4" t="s">
        <v>24</v>
      </c>
      <c r="C20" s="4">
        <f>+C18-C19</f>
        <v>7635</v>
      </c>
      <c r="D20" s="4">
        <f t="shared" ref="D20:F20" si="31">+D18-D19</f>
        <v>4568</v>
      </c>
      <c r="E20" s="4">
        <f t="shared" si="31"/>
        <v>2027</v>
      </c>
      <c r="F20" s="4">
        <f t="shared" si="31"/>
        <v>1955</v>
      </c>
      <c r="G20" s="4">
        <f t="shared" ref="G20:H20" si="32">+G18-G19</f>
        <v>1790</v>
      </c>
      <c r="H20" s="4">
        <f t="shared" si="32"/>
        <v>1992</v>
      </c>
      <c r="I20" s="4">
        <f t="shared" ref="I20" si="33">+I18-I19</f>
        <v>2018</v>
      </c>
      <c r="J20" s="4">
        <f t="shared" ref="J20:L20" si="34">+J18-J19</f>
        <v>2148</v>
      </c>
      <c r="K20" s="4">
        <f t="shared" si="34"/>
        <v>1933</v>
      </c>
      <c r="L20" s="4">
        <f t="shared" si="34"/>
        <v>2121</v>
      </c>
      <c r="M20" s="4">
        <f t="shared" ref="M20" si="35">+M18-M19</f>
        <v>2220</v>
      </c>
      <c r="N20" s="4">
        <f>+N18-N19</f>
        <v>2885</v>
      </c>
      <c r="O20" s="4">
        <f t="shared" ref="O20" si="36">+O18-O19</f>
        <v>2746</v>
      </c>
      <c r="P20" s="4">
        <f t="shared" ref="P20:Q20" si="37">+P18-P19</f>
        <v>2840</v>
      </c>
      <c r="Q20" s="4">
        <f t="shared" si="37"/>
        <v>3221</v>
      </c>
      <c r="R20" s="4">
        <f t="shared" ref="R20:V20" si="38">+R18-R19</f>
        <v>4181</v>
      </c>
      <c r="S20" s="4">
        <f>+S18-S19</f>
        <v>4132.1420000000007</v>
      </c>
      <c r="T20" s="4">
        <f t="shared" si="38"/>
        <v>4544.1041400000004</v>
      </c>
      <c r="U20" s="4">
        <f t="shared" si="38"/>
        <v>4986.502371800002</v>
      </c>
      <c r="V20" s="4">
        <f t="shared" si="38"/>
        <v>5461.4943752460031</v>
      </c>
      <c r="AA20" s="4">
        <f t="shared" ref="AA20" si="39">+AA18-AA19</f>
        <v>7948</v>
      </c>
      <c r="AB20" s="4">
        <f>+AB18-AB19</f>
        <v>9181</v>
      </c>
      <c r="AC20" s="4">
        <f>+AC18-AC19</f>
        <v>12139</v>
      </c>
      <c r="AD20" s="4">
        <f t="shared" si="3"/>
        <v>19124.242887046006</v>
      </c>
    </row>
    <row r="21" spans="2:30" x14ac:dyDescent="0.2">
      <c r="B21" s="1" t="s">
        <v>25</v>
      </c>
      <c r="C21" s="5">
        <f t="shared" ref="C21:R21" si="40">+C20/C22</f>
        <v>17.922535211267604</v>
      </c>
      <c r="D21" s="5">
        <f t="shared" si="40"/>
        <v>10.196428571428571</v>
      </c>
      <c r="E21" s="5">
        <f t="shared" si="40"/>
        <v>4.5963718820861681</v>
      </c>
      <c r="F21" s="5">
        <f t="shared" si="40"/>
        <v>4.6217494089834519</v>
      </c>
      <c r="G21" s="5">
        <f t="shared" si="40"/>
        <v>4.2720763723150359</v>
      </c>
      <c r="H21" s="5">
        <f t="shared" si="40"/>
        <v>4.7203791469194316</v>
      </c>
      <c r="I21" s="5">
        <f t="shared" si="40"/>
        <v>4.8277511961722492</v>
      </c>
      <c r="J21" s="5">
        <f t="shared" si="40"/>
        <v>5.1634615384615383</v>
      </c>
      <c r="K21" s="5">
        <f t="shared" si="40"/>
        <v>4.602380952380952</v>
      </c>
      <c r="L21" s="5">
        <f t="shared" si="40"/>
        <v>5.0863309352517989</v>
      </c>
      <c r="M21" s="5">
        <f t="shared" si="40"/>
        <v>5.2606635071090047</v>
      </c>
      <c r="N21" s="5">
        <f t="shared" si="40"/>
        <v>6.772300469483568</v>
      </c>
      <c r="O21" s="5">
        <f t="shared" si="40"/>
        <v>6.41588785046729</v>
      </c>
      <c r="P21" s="5">
        <f t="shared" si="40"/>
        <v>6.6200466200466197</v>
      </c>
      <c r="Q21" s="5">
        <f t="shared" si="40"/>
        <v>7.508158508158508</v>
      </c>
      <c r="R21" s="5">
        <f t="shared" si="40"/>
        <v>9.7232558139534877</v>
      </c>
      <c r="S21" s="5">
        <f t="shared" ref="S21" si="41">+S20/S22</f>
        <v>9.6096325581395359</v>
      </c>
      <c r="T21" s="5">
        <f t="shared" ref="T21" si="42">+T20/T22</f>
        <v>10.567684046511628</v>
      </c>
      <c r="U21" s="5">
        <f t="shared" ref="U21" si="43">+U20/U22</f>
        <v>11.596517143720934</v>
      </c>
      <c r="V21" s="5">
        <f t="shared" ref="V21" si="44">+V20/V22</f>
        <v>12.701149709874425</v>
      </c>
      <c r="AA21" s="5">
        <f>+AA20/AA22</f>
        <v>18.980298507462688</v>
      </c>
      <c r="AB21" s="5">
        <f>+AB20/AB22</f>
        <v>21.7946587537092</v>
      </c>
      <c r="AC21" s="5">
        <f>+AC20/AC22</f>
        <v>28.296037296037294</v>
      </c>
      <c r="AD21" s="5">
        <f>+AD20/AD22</f>
        <v>43.704563478783321</v>
      </c>
    </row>
    <row r="22" spans="2:30" x14ac:dyDescent="0.2">
      <c r="B22" s="1" t="s">
        <v>1</v>
      </c>
      <c r="C22" s="1">
        <v>426</v>
      </c>
      <c r="D22" s="1">
        <v>448</v>
      </c>
      <c r="E22" s="1">
        <v>441</v>
      </c>
      <c r="F22" s="1">
        <v>423</v>
      </c>
      <c r="G22" s="1">
        <v>419</v>
      </c>
      <c r="H22" s="1">
        <v>422</v>
      </c>
      <c r="I22" s="1">
        <v>418</v>
      </c>
      <c r="J22" s="1">
        <v>416</v>
      </c>
      <c r="K22" s="1">
        <v>420</v>
      </c>
      <c r="L22" s="1">
        <v>417</v>
      </c>
      <c r="M22" s="1">
        <v>422</v>
      </c>
      <c r="N22" s="1">
        <v>426</v>
      </c>
      <c r="O22" s="1">
        <v>428</v>
      </c>
      <c r="P22" s="1">
        <v>429</v>
      </c>
      <c r="Q22" s="1">
        <v>429</v>
      </c>
      <c r="R22" s="1">
        <v>430</v>
      </c>
      <c r="S22" s="1">
        <v>430</v>
      </c>
      <c r="T22" s="1">
        <v>430</v>
      </c>
      <c r="U22" s="1">
        <v>430</v>
      </c>
      <c r="V22" s="1">
        <v>430</v>
      </c>
      <c r="AA22" s="2">
        <f>+AVERAGE(G22:J22)</f>
        <v>418.75</v>
      </c>
      <c r="AB22" s="2">
        <f>+AVERAGE(K22:N22)</f>
        <v>421.25</v>
      </c>
      <c r="AC22" s="2">
        <f>+AVERAGE(O22:R22)</f>
        <v>429</v>
      </c>
      <c r="AD22" s="2">
        <f>+AC22*1.02</f>
        <v>437.58</v>
      </c>
    </row>
    <row r="24" spans="2:30" x14ac:dyDescent="0.2">
      <c r="B24" s="1" t="s">
        <v>26</v>
      </c>
      <c r="C24" s="3">
        <f t="shared" ref="C24" si="45">+C10/C5</f>
        <v>0.62755772479819782</v>
      </c>
      <c r="D24" s="3">
        <f t="shared" ref="D24:J24" si="46">+D10/D5</f>
        <v>0.66134822497008372</v>
      </c>
      <c r="E24" s="3">
        <f t="shared" si="46"/>
        <v>0.66778589768911711</v>
      </c>
      <c r="F24" s="3">
        <f t="shared" si="46"/>
        <v>0.67909625275532692</v>
      </c>
      <c r="G24" s="3">
        <f t="shared" si="46"/>
        <v>0.6980480221109</v>
      </c>
      <c r="H24" s="3">
        <f t="shared" si="46"/>
        <v>0.70962479608482876</v>
      </c>
      <c r="I24" s="3">
        <f t="shared" si="46"/>
        <v>0.70027198549410696</v>
      </c>
      <c r="J24" s="3">
        <f t="shared" si="46"/>
        <v>0.68888504155124652</v>
      </c>
      <c r="K24" s="3">
        <f t="shared" ref="K24:R24" si="47">+K10/K5</f>
        <v>0.71935814271082277</v>
      </c>
      <c r="L24" s="3">
        <f t="shared" si="47"/>
        <v>0.72152560083594564</v>
      </c>
      <c r="M24" s="3">
        <f t="shared" si="47"/>
        <v>0.73337914447689401</v>
      </c>
      <c r="N24" s="3">
        <f t="shared" si="47"/>
        <v>0.72815834235348698</v>
      </c>
      <c r="O24" s="3">
        <f t="shared" si="47"/>
        <v>0.72516904583020281</v>
      </c>
      <c r="P24" s="3">
        <f t="shared" si="47"/>
        <v>0.74281391830559762</v>
      </c>
      <c r="Q24" s="3">
        <f t="shared" si="47"/>
        <v>0.74476246680436708</v>
      </c>
      <c r="R24" s="3">
        <f t="shared" si="47"/>
        <v>0.85540704738760631</v>
      </c>
      <c r="S24" s="3">
        <f t="shared" ref="S24:V24" si="48">+S10/S5</f>
        <v>0.8</v>
      </c>
      <c r="T24" s="3">
        <f t="shared" si="48"/>
        <v>0.8</v>
      </c>
      <c r="U24" s="3">
        <f t="shared" si="48"/>
        <v>0.8</v>
      </c>
      <c r="V24" s="3">
        <f t="shared" si="48"/>
        <v>0.8</v>
      </c>
      <c r="AA24" s="3">
        <f>+AA10/AA5</f>
        <v>0.69907509846439797</v>
      </c>
      <c r="AB24" s="3">
        <f>+AB10/AB5</f>
        <v>0.72567816476892166</v>
      </c>
      <c r="AC24" s="3">
        <f>+AC10/AC5</f>
        <v>0.73846994535519128</v>
      </c>
    </row>
    <row r="25" spans="2:30" x14ac:dyDescent="0.2">
      <c r="B25" s="1" t="s">
        <v>27</v>
      </c>
      <c r="C25" s="3">
        <f t="shared" ref="C25" si="49">+C15/C5</f>
        <v>0.37488267317439461</v>
      </c>
      <c r="D25" s="3">
        <f t="shared" ref="D25:J25" si="50">+D15/D5</f>
        <v>0.40546469884323894</v>
      </c>
      <c r="E25" s="3">
        <f t="shared" si="50"/>
        <v>0.42840213312265457</v>
      </c>
      <c r="F25" s="3">
        <f t="shared" si="50"/>
        <v>0.45830271858927257</v>
      </c>
      <c r="G25" s="3">
        <f t="shared" si="50"/>
        <v>0.32198998099844534</v>
      </c>
      <c r="H25" s="3">
        <f t="shared" si="50"/>
        <v>0.4112742432481421</v>
      </c>
      <c r="I25" s="3">
        <f t="shared" si="50"/>
        <v>0.39310970081595648</v>
      </c>
      <c r="J25" s="3">
        <f t="shared" si="50"/>
        <v>0.40772160664819945</v>
      </c>
      <c r="K25" s="3">
        <f t="shared" ref="K25" si="51">+K15/K5</f>
        <v>0.38699214749061112</v>
      </c>
      <c r="L25" s="3">
        <f t="shared" ref="L25:M25" si="52">+L15/L5</f>
        <v>0.40386624869383492</v>
      </c>
      <c r="M25" s="3">
        <f t="shared" si="52"/>
        <v>0.43995876997079542</v>
      </c>
      <c r="N25" s="3">
        <f t="shared" ref="N25:O25" si="53">+N15/N5</f>
        <v>0.47734652852945725</v>
      </c>
      <c r="O25" s="3">
        <f t="shared" si="53"/>
        <v>0.48159278737791134</v>
      </c>
      <c r="P25" s="3">
        <f t="shared" ref="P25" si="54">+P15/P5</f>
        <v>0.50257186081694405</v>
      </c>
      <c r="Q25" s="3">
        <f t="shared" ref="Q25" si="55">+Q15/Q5</f>
        <v>0.51209796400118024</v>
      </c>
      <c r="R25" s="3">
        <f>+R15/R5</f>
        <v>0.64439044147428104</v>
      </c>
      <c r="S25" s="3">
        <f t="shared" ref="S25:V25" si="56">+S15/S5</f>
        <v>0.60084890650294187</v>
      </c>
      <c r="T25" s="3">
        <f t="shared" si="56"/>
        <v>0.6120469169257885</v>
      </c>
      <c r="U25" s="3">
        <f t="shared" si="56"/>
        <v>0.62261499577633184</v>
      </c>
      <c r="V25" s="3">
        <f t="shared" si="56"/>
        <v>0.63258859753787278</v>
      </c>
      <c r="AA25" s="3">
        <f t="shared" ref="AA25:AB25" si="57">+AA15/AA5</f>
        <v>0.38305969819002522</v>
      </c>
      <c r="AB25" s="3">
        <f t="shared" si="57"/>
        <v>0.42841594105827191</v>
      </c>
      <c r="AC25" s="3">
        <f>+AC15/AC5</f>
        <v>0.50717668488160295</v>
      </c>
    </row>
    <row r="26" spans="2:30" x14ac:dyDescent="0.2">
      <c r="B26" s="1" t="s">
        <v>28</v>
      </c>
      <c r="C26" s="3">
        <f>+C19/C18</f>
        <v>-3.129259058950784</v>
      </c>
      <c r="D26" s="3">
        <f>+D19/D18</f>
        <v>-1.3656136716727085</v>
      </c>
      <c r="E26" s="3">
        <f t="shared" ref="E26:J26" si="58">+E19/E18</f>
        <v>1.5541525012141816E-2</v>
      </c>
      <c r="F26" s="3">
        <f t="shared" si="58"/>
        <v>0.13572060123784263</v>
      </c>
      <c r="G26" s="3">
        <f t="shared" si="58"/>
        <v>-0.12791430371770637</v>
      </c>
      <c r="H26" s="3">
        <f t="shared" si="58"/>
        <v>-1.8404907975460124E-2</v>
      </c>
      <c r="I26" s="3">
        <f t="shared" si="58"/>
        <v>-9.2582566323768267E-2</v>
      </c>
      <c r="J26" s="3">
        <f t="shared" si="58"/>
        <v>-4.8828125E-2</v>
      </c>
      <c r="K26" s="3">
        <f t="shared" ref="K26:R26" si="59">+K19/K18</f>
        <v>-4.0926225094238017E-2</v>
      </c>
      <c r="L26" s="3">
        <f t="shared" si="59"/>
        <v>-8.1039755351681952E-2</v>
      </c>
      <c r="M26" s="3">
        <f t="shared" si="59"/>
        <v>-3.4482758620689655E-2</v>
      </c>
      <c r="N26" s="3">
        <f t="shared" si="59"/>
        <v>-6.9310600444773912E-2</v>
      </c>
      <c r="O26" s="3">
        <f t="shared" si="59"/>
        <v>2.1802325581395349E-3</v>
      </c>
      <c r="P26" s="3">
        <f t="shared" si="59"/>
        <v>-2.4708789269325803E-3</v>
      </c>
      <c r="Q26" s="3">
        <f t="shared" si="59"/>
        <v>-4.8844024747639207E-2</v>
      </c>
      <c r="R26" s="3">
        <f t="shared" si="59"/>
        <v>4.1274936941068562E-2</v>
      </c>
      <c r="S26" s="3">
        <f t="shared" ref="S26:V26" si="60">+S19/S18</f>
        <v>4.3339934647453247E-2</v>
      </c>
      <c r="T26" s="3">
        <f t="shared" si="60"/>
        <v>4.1083886831972331E-2</v>
      </c>
      <c r="U26" s="3">
        <f t="shared" si="60"/>
        <v>3.9020308858892322E-2</v>
      </c>
      <c r="V26" s="3">
        <f t="shared" si="60"/>
        <v>3.7124820575486141E-2</v>
      </c>
      <c r="AA26" s="3">
        <f t="shared" ref="AA26" si="61">+AA19/AA18</f>
        <v>-6.8566819037375645E-2</v>
      </c>
      <c r="AB26" s="3">
        <f>+AB19/AB18</f>
        <v>-5.9794528454346067E-2</v>
      </c>
      <c r="AC26" s="3">
        <f>+AC19/AC18</f>
        <v>2.3833004602235373E-3</v>
      </c>
    </row>
    <row r="28" spans="2:30" x14ac:dyDescent="0.2">
      <c r="B28" s="1" t="s">
        <v>29</v>
      </c>
      <c r="G28" s="3">
        <f t="shared" ref="G28:M28" si="62">+G5/C5-1</f>
        <v>8.6727989487516366E-2</v>
      </c>
      <c r="H28" s="3">
        <f t="shared" si="62"/>
        <v>0.10031910650179499</v>
      </c>
      <c r="I28" s="3">
        <f t="shared" si="62"/>
        <v>8.9275133320166011E-2</v>
      </c>
      <c r="J28" s="3">
        <f t="shared" si="62"/>
        <v>6.098457016899328E-2</v>
      </c>
      <c r="K28" s="3">
        <f t="shared" si="62"/>
        <v>1.1919157021938132E-2</v>
      </c>
      <c r="L28" s="3">
        <f t="shared" si="62"/>
        <v>4.0783034257748874E-2</v>
      </c>
      <c r="M28" s="3">
        <f t="shared" si="62"/>
        <v>5.5485040797824015E-2</v>
      </c>
      <c r="N28" s="3">
        <f>+N5/J5-1</f>
        <v>0.11963296398891976</v>
      </c>
      <c r="O28" s="3">
        <f>+O5/K5-1</f>
        <v>0.13605326049846367</v>
      </c>
      <c r="P28" s="3">
        <f>+P5/L5-1</f>
        <v>0.15116684082201326</v>
      </c>
      <c r="Q28" s="3">
        <f>+Q5/M5-1</f>
        <v>0.16440474145335848</v>
      </c>
      <c r="R28" s="3">
        <f>+R5/N5-1</f>
        <v>0.14535333230245873</v>
      </c>
      <c r="S28" s="3">
        <f t="shared" ref="S28:V28" si="63">+S5/O5-1</f>
        <v>0.19090758827948928</v>
      </c>
      <c r="T28" s="3">
        <f t="shared" si="63"/>
        <v>0.28294618759455381</v>
      </c>
      <c r="U28" s="3">
        <f t="shared" si="63"/>
        <v>0.33872727958099769</v>
      </c>
      <c r="V28" s="3">
        <f t="shared" si="63"/>
        <v>0.31079601000000046</v>
      </c>
      <c r="AB28" s="3">
        <f>+AB5/AA5-1</f>
        <v>5.7131477629773775E-2</v>
      </c>
      <c r="AC28" s="3">
        <f>+AC5/AB5-1</f>
        <v>0.14911252511721362</v>
      </c>
    </row>
    <row r="29" spans="2:30" x14ac:dyDescent="0.2">
      <c r="B29" s="1" t="s">
        <v>45</v>
      </c>
      <c r="G29" s="3">
        <f t="shared" ref="G29:M29" si="64">+G3/C3-1</f>
        <v>-9.1816758026624923E-2</v>
      </c>
      <c r="H29" s="3">
        <f t="shared" si="64"/>
        <v>-6.9698883975573778E-2</v>
      </c>
      <c r="I29" s="3">
        <f t="shared" si="64"/>
        <v>-7.7357307129416686E-2</v>
      </c>
      <c r="J29" s="3"/>
      <c r="K29" s="3">
        <f t="shared" si="64"/>
        <v>-9.3770209096788126E-2</v>
      </c>
      <c r="L29" s="3">
        <f t="shared" si="64"/>
        <v>-3.7347215934812161E-2</v>
      </c>
      <c r="M29" s="3">
        <f t="shared" si="64"/>
        <v>-6.5261726716519419E-2</v>
      </c>
      <c r="N29" s="3"/>
      <c r="O29" s="3">
        <f t="shared" ref="O29:Q30" si="65">+O3/K3-1</f>
        <v>0.20861084681255937</v>
      </c>
      <c r="P29" s="3">
        <f t="shared" si="65"/>
        <v>0.17164354573242413</v>
      </c>
      <c r="Q29" s="3">
        <f t="shared" si="65"/>
        <v>0.22763636363636364</v>
      </c>
      <c r="AB29" s="3">
        <f>+AB3/AA3-1</f>
        <v>-3.7644201578627801E-2</v>
      </c>
      <c r="AC29" s="3">
        <f>+AC3/AB3-1</f>
        <v>0.19793518784055064</v>
      </c>
    </row>
    <row r="30" spans="2:30" x14ac:dyDescent="0.2">
      <c r="B30" s="1" t="s">
        <v>46</v>
      </c>
      <c r="G30" s="3">
        <f>+G4/C4-1</f>
        <v>4.2511415525114158</v>
      </c>
      <c r="H30" s="3">
        <f>+H4/D4-1</f>
        <v>3.1471698113207545</v>
      </c>
      <c r="I30" s="3">
        <f>+I4/E4-1</f>
        <v>2.9357142857142855</v>
      </c>
      <c r="J30" s="3"/>
      <c r="K30" s="3">
        <f t="shared" ref="K30:M30" si="66">+K4/G4-1</f>
        <v>0.43826086956521748</v>
      </c>
      <c r="L30" s="3">
        <f t="shared" si="66"/>
        <v>0.35486806187443132</v>
      </c>
      <c r="M30" s="3">
        <f t="shared" si="66"/>
        <v>0.53901996370235938</v>
      </c>
      <c r="N30" s="3"/>
      <c r="O30" s="3">
        <f t="shared" si="65"/>
        <v>-4.8367593712212775E-2</v>
      </c>
      <c r="P30" s="3">
        <f t="shared" si="65"/>
        <v>9.2679650772330424E-2</v>
      </c>
      <c r="Q30" s="3">
        <f t="shared" si="65"/>
        <v>1.0613207547169878E-2</v>
      </c>
      <c r="AB30" s="3">
        <f>+AB4/AA4-1</f>
        <v>0.44040178571428568</v>
      </c>
      <c r="AC30" s="3">
        <f>+AC4/AB4-1</f>
        <v>1.7201301720130235E-2</v>
      </c>
    </row>
    <row r="32" spans="2:30" x14ac:dyDescent="0.2">
      <c r="B32" s="1" t="s">
        <v>51</v>
      </c>
      <c r="G32" s="3">
        <f>+G11/C11-1</f>
        <v>0.22486486486486479</v>
      </c>
      <c r="H32" s="3">
        <f t="shared" ref="H32:R32" si="67">+H11/D11-1</f>
        <v>0.22970085470085477</v>
      </c>
      <c r="I32" s="3">
        <f t="shared" si="67"/>
        <v>0.28779979144942658</v>
      </c>
      <c r="J32" s="3">
        <f t="shared" si="67"/>
        <v>0.24156118143459926</v>
      </c>
      <c r="K32" s="3">
        <f>+K11/G11-1</f>
        <v>0.13768755516328324</v>
      </c>
      <c r="L32" s="3">
        <f t="shared" si="67"/>
        <v>0.10251954821894005</v>
      </c>
      <c r="M32" s="3">
        <f t="shared" si="67"/>
        <v>-5.6680161943319929E-3</v>
      </c>
      <c r="N32" s="3">
        <f>+N11/J11-1</f>
        <v>4.2480883602378228E-3</v>
      </c>
      <c r="O32" s="3">
        <f t="shared" si="67"/>
        <v>-6.0512024825446042E-2</v>
      </c>
      <c r="P32" s="3">
        <f t="shared" si="67"/>
        <v>-2.4428684003152124E-2</v>
      </c>
      <c r="Q32" s="3">
        <f t="shared" si="67"/>
        <v>-1.8729641693811083E-2</v>
      </c>
      <c r="R32" s="3">
        <f t="shared" si="67"/>
        <v>1.5228426395939021E-2</v>
      </c>
      <c r="S32" s="3">
        <f t="shared" ref="S32:S33" si="68">+S11/O11-1</f>
        <v>8.2576383154409072E-4</v>
      </c>
      <c r="T32" s="3">
        <f>+T11/P11-1</f>
        <v>-1.1211631663974098E-2</v>
      </c>
      <c r="U32" s="3">
        <f t="shared" ref="U32:U33" si="69">+U11/Q11-1</f>
        <v>2.602589211618267E-2</v>
      </c>
      <c r="V32" s="3">
        <f t="shared" ref="V32:V33" si="70">+V11/R11-1</f>
        <v>4.0604010000000024E-2</v>
      </c>
    </row>
    <row r="33" spans="2:22" x14ac:dyDescent="0.2">
      <c r="B33" s="1" t="s">
        <v>52</v>
      </c>
      <c r="G33" s="3">
        <f>+G12/C12-1</f>
        <v>0.61855670103092786</v>
      </c>
      <c r="H33" s="3">
        <f>+H12/D12-1</f>
        <v>0.4251700680272108</v>
      </c>
      <c r="I33" s="3">
        <f t="shared" ref="I33" si="71">+I12/E12-1</f>
        <v>0.75213675213675213</v>
      </c>
      <c r="J33" s="3">
        <f t="shared" ref="J33" si="72">+J12/F12-1</f>
        <v>0.72573839662447259</v>
      </c>
      <c r="K33" s="3">
        <f t="shared" ref="K33" si="73">+K12/G12-1</f>
        <v>0.27600849256900206</v>
      </c>
      <c r="L33" s="3">
        <f t="shared" ref="L33" si="74">+L12/H12-1</f>
        <v>0.19570405727923634</v>
      </c>
      <c r="M33" s="3">
        <f t="shared" ref="M33" si="75">+M12/I12-1</f>
        <v>4.3902439024390283E-2</v>
      </c>
      <c r="N33" s="3">
        <f t="shared" ref="N33" si="76">+N12/J12-1</f>
        <v>-9.7799511002445438E-3</v>
      </c>
      <c r="O33" s="3">
        <f t="shared" ref="O33" si="77">+O12/K12-1</f>
        <v>-0.43594009983361059</v>
      </c>
      <c r="P33" s="3">
        <f t="shared" ref="P33" si="78">+P12/L12-1</f>
        <v>-0.35129740518962072</v>
      </c>
      <c r="Q33" s="3">
        <f t="shared" ref="Q33" si="79">+Q12/M12-1</f>
        <v>-0.19158878504672894</v>
      </c>
      <c r="R33" s="3">
        <f t="shared" ref="R33" si="80">+R12/N12-1</f>
        <v>-0.16790123456790118</v>
      </c>
      <c r="S33" s="3">
        <f t="shared" si="68"/>
        <v>4.0412979351032163E-3</v>
      </c>
      <c r="T33" s="3">
        <f t="shared" ref="T33" si="81">+T12/P12-1</f>
        <v>5.7765230769230902E-2</v>
      </c>
      <c r="U33" s="3">
        <f t="shared" si="69"/>
        <v>3.5012630057804639E-3</v>
      </c>
      <c r="V33" s="3">
        <f t="shared" si="70"/>
        <v>4.0604010000000024E-2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2021-12-18T19:31:06Z</dcterms:created>
  <dcterms:modified xsi:type="dcterms:W3CDTF">2022-04-30T20:58:12Z</dcterms:modified>
</cp:coreProperties>
</file>