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xl\"/>
    </mc:Choice>
  </mc:AlternateContent>
  <xr:revisionPtr revIDLastSave="0" documentId="13_ncr:1_{BFB879FF-703E-46CD-B1B7-312C12951E0B}" xr6:coauthVersionLast="47" xr6:coauthVersionMax="47" xr10:uidLastSave="{00000000-0000-0000-0000-000000000000}"/>
  <bookViews>
    <workbookView xWindow="11625" yWindow="1905" windowWidth="14775" windowHeight="13905" activeTab="1" xr2:uid="{44EC7D12-A1D2-44E4-A781-208F1EAE8E5C}"/>
  </bookViews>
  <sheets>
    <sheet name="Main" sheetId="2" r:id="rId1"/>
    <sheet name="Model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13" i="1" l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H12" i="1" s="1"/>
  <c r="G11" i="1"/>
  <c r="F11" i="1"/>
  <c r="E11" i="1"/>
  <c r="D11" i="1"/>
  <c r="C11" i="1"/>
  <c r="I12" i="1"/>
  <c r="I14" i="1" s="1"/>
  <c r="I16" i="1" s="1"/>
  <c r="I17" i="1" s="1"/>
  <c r="P12" i="1"/>
  <c r="P14" i="1" s="1"/>
  <c r="P16" i="1" s="1"/>
  <c r="P17" i="1" s="1"/>
  <c r="Q12" i="1"/>
  <c r="Q14" i="1" s="1"/>
  <c r="Q16" i="1" s="1"/>
  <c r="Q17" i="1" s="1"/>
  <c r="G12" i="1"/>
  <c r="G14" i="1" s="1"/>
  <c r="G16" i="1" s="1"/>
  <c r="G24" i="1" s="1"/>
  <c r="U11" i="1"/>
  <c r="U12" i="1" s="1"/>
  <c r="U14" i="1" s="1"/>
  <c r="U16" i="1" s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U21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U6" i="1"/>
  <c r="S12" i="1"/>
  <c r="S14" i="1" s="1"/>
  <c r="S16" i="1" s="1"/>
  <c r="S17" i="1" s="1"/>
  <c r="K12" i="1"/>
  <c r="K14" i="1" s="1"/>
  <c r="K16" i="1" s="1"/>
  <c r="K17" i="1" s="1"/>
  <c r="AB64" i="1"/>
  <c r="AB48" i="1"/>
  <c r="AB40" i="1"/>
  <c r="AB39" i="1" s="1"/>
  <c r="AE64" i="1"/>
  <c r="AE40" i="1"/>
  <c r="AE39" i="1" s="1"/>
  <c r="U32" i="1"/>
  <c r="U33" i="1"/>
  <c r="T33" i="1"/>
  <c r="S33" i="1"/>
  <c r="Q33" i="1"/>
  <c r="P33" i="1"/>
  <c r="O33" i="1"/>
  <c r="M33" i="1"/>
  <c r="L33" i="1"/>
  <c r="K33" i="1"/>
  <c r="I33" i="1"/>
  <c r="H33" i="1"/>
  <c r="G33" i="1"/>
  <c r="T32" i="1"/>
  <c r="S32" i="1"/>
  <c r="Q32" i="1"/>
  <c r="P32" i="1"/>
  <c r="O32" i="1"/>
  <c r="M32" i="1"/>
  <c r="L32" i="1"/>
  <c r="K32" i="1"/>
  <c r="I32" i="1"/>
  <c r="H32" i="1"/>
  <c r="G32" i="1"/>
  <c r="U31" i="1"/>
  <c r="T31" i="1"/>
  <c r="S31" i="1"/>
  <c r="Q31" i="1"/>
  <c r="P31" i="1"/>
  <c r="O31" i="1"/>
  <c r="M31" i="1"/>
  <c r="L31" i="1"/>
  <c r="K31" i="1"/>
  <c r="I31" i="1"/>
  <c r="H31" i="1"/>
  <c r="G31" i="1"/>
  <c r="U30" i="1"/>
  <c r="T30" i="1"/>
  <c r="S30" i="1"/>
  <c r="Q30" i="1"/>
  <c r="P30" i="1"/>
  <c r="O30" i="1"/>
  <c r="M30" i="1"/>
  <c r="L30" i="1"/>
  <c r="K30" i="1"/>
  <c r="I30" i="1"/>
  <c r="H30" i="1"/>
  <c r="G30" i="1"/>
  <c r="AD64" i="1"/>
  <c r="AD48" i="1"/>
  <c r="AD40" i="1"/>
  <c r="D14" i="2"/>
  <c r="D13" i="2"/>
  <c r="D12" i="2"/>
  <c r="D11" i="2"/>
  <c r="D10" i="2"/>
  <c r="D9" i="2"/>
  <c r="D8" i="2"/>
  <c r="O10" i="2"/>
  <c r="O8" i="2"/>
  <c r="O7" i="2"/>
  <c r="O6" i="2"/>
  <c r="AA27" i="1"/>
  <c r="Z27" i="1"/>
  <c r="AE10" i="1"/>
  <c r="AE18" i="1"/>
  <c r="AD5" i="1"/>
  <c r="AD4" i="1"/>
  <c r="AD18" i="1"/>
  <c r="AC18" i="1"/>
  <c r="AD15" i="1"/>
  <c r="AD13" i="1"/>
  <c r="AD10" i="1"/>
  <c r="AD9" i="1"/>
  <c r="AD8" i="1"/>
  <c r="AD7" i="1"/>
  <c r="AB18" i="1"/>
  <c r="AB10" i="1"/>
  <c r="O27" i="1"/>
  <c r="U27" i="1"/>
  <c r="T27" i="1"/>
  <c r="S27" i="1"/>
  <c r="Q27" i="1"/>
  <c r="P27" i="1"/>
  <c r="M27" i="1"/>
  <c r="L27" i="1"/>
  <c r="K27" i="1"/>
  <c r="I27" i="1"/>
  <c r="H27" i="1"/>
  <c r="G27" i="1"/>
  <c r="T12" i="1"/>
  <c r="T14" i="1" s="1"/>
  <c r="T16" i="1" s="1"/>
  <c r="T17" i="1" s="1"/>
  <c r="R15" i="1"/>
  <c r="AE15" i="1" s="1"/>
  <c r="AE13" i="1"/>
  <c r="R9" i="1"/>
  <c r="AE9" i="1" s="1"/>
  <c r="AF9" i="1" s="1"/>
  <c r="R8" i="1"/>
  <c r="AE8" i="1" s="1"/>
  <c r="R7" i="1"/>
  <c r="AE7" i="1" s="1"/>
  <c r="R5" i="1"/>
  <c r="AE5" i="1" s="1"/>
  <c r="R4" i="1"/>
  <c r="AE4" i="1" s="1"/>
  <c r="AF4" i="1" s="1"/>
  <c r="R18" i="1"/>
  <c r="J18" i="1"/>
  <c r="L12" i="1"/>
  <c r="L14" i="1" s="1"/>
  <c r="L16" i="1" s="1"/>
  <c r="L17" i="1" s="1"/>
  <c r="J15" i="1"/>
  <c r="AC15" i="1" s="1"/>
  <c r="J13" i="1"/>
  <c r="AC13" i="1" s="1"/>
  <c r="J10" i="1"/>
  <c r="AC10" i="1" s="1"/>
  <c r="J9" i="1"/>
  <c r="AC9" i="1" s="1"/>
  <c r="J8" i="1"/>
  <c r="AC8" i="1" s="1"/>
  <c r="J7" i="1"/>
  <c r="AC7" i="1" s="1"/>
  <c r="AC31" i="1" s="1"/>
  <c r="J5" i="1"/>
  <c r="AC5" i="1" s="1"/>
  <c r="J4" i="1"/>
  <c r="N27" i="1" s="1"/>
  <c r="F15" i="1"/>
  <c r="AB15" i="1" s="1"/>
  <c r="F13" i="1"/>
  <c r="AB13" i="1" s="1"/>
  <c r="F9" i="1"/>
  <c r="AB9" i="1" s="1"/>
  <c r="F8" i="1"/>
  <c r="AB8" i="1" s="1"/>
  <c r="F7" i="1"/>
  <c r="AB7" i="1" s="1"/>
  <c r="F5" i="1"/>
  <c r="AB5" i="1" s="1"/>
  <c r="F4" i="1"/>
  <c r="C12" i="1"/>
  <c r="C23" i="1" s="1"/>
  <c r="AG2" i="1"/>
  <c r="AH2" i="1" s="1"/>
  <c r="AI2" i="1" s="1"/>
  <c r="AJ2" i="1" s="1"/>
  <c r="AK2" i="1" s="1"/>
  <c r="AL2" i="1" s="1"/>
  <c r="AM2" i="1" s="1"/>
  <c r="AN2" i="1" s="1"/>
  <c r="AO2" i="1" s="1"/>
  <c r="AP2" i="1" s="1"/>
  <c r="AQ2" i="1" s="1"/>
  <c r="AR2" i="1" s="1"/>
  <c r="M12" i="1" l="1"/>
  <c r="M14" i="1" s="1"/>
  <c r="M16" i="1" s="1"/>
  <c r="M17" i="1" s="1"/>
  <c r="O12" i="1"/>
  <c r="O14" i="1" s="1"/>
  <c r="O16" i="1" s="1"/>
  <c r="O17" i="1" s="1"/>
  <c r="E12" i="1"/>
  <c r="E14" i="1" s="1"/>
  <c r="E16" i="1" s="1"/>
  <c r="E17" i="1" s="1"/>
  <c r="N12" i="1"/>
  <c r="N14" i="1" s="1"/>
  <c r="N16" i="1" s="1"/>
  <c r="N17" i="1" s="1"/>
  <c r="H14" i="1"/>
  <c r="H16" i="1" s="1"/>
  <c r="H17" i="1" s="1"/>
  <c r="H23" i="1"/>
  <c r="G23" i="1"/>
  <c r="P23" i="1"/>
  <c r="I23" i="1"/>
  <c r="Q23" i="1"/>
  <c r="O23" i="1"/>
  <c r="K23" i="1"/>
  <c r="S23" i="1"/>
  <c r="L23" i="1"/>
  <c r="T23" i="1"/>
  <c r="E23" i="1"/>
  <c r="M23" i="1"/>
  <c r="U23" i="1"/>
  <c r="AD31" i="1"/>
  <c r="AC32" i="1"/>
  <c r="D12" i="1"/>
  <c r="AC30" i="1"/>
  <c r="AD32" i="1"/>
  <c r="AD30" i="1"/>
  <c r="AE33" i="1"/>
  <c r="N30" i="1"/>
  <c r="AE30" i="1"/>
  <c r="AE50" i="1"/>
  <c r="AE31" i="1"/>
  <c r="AF5" i="1"/>
  <c r="AE32" i="1"/>
  <c r="AC33" i="1"/>
  <c r="N31" i="1"/>
  <c r="AF7" i="1"/>
  <c r="AF27" i="1"/>
  <c r="J33" i="1"/>
  <c r="AF8" i="1"/>
  <c r="AD33" i="1"/>
  <c r="J32" i="1"/>
  <c r="J31" i="1"/>
  <c r="R31" i="1"/>
  <c r="AB50" i="1"/>
  <c r="J30" i="1"/>
  <c r="R30" i="1"/>
  <c r="N33" i="1"/>
  <c r="R33" i="1"/>
  <c r="R32" i="1"/>
  <c r="N32" i="1"/>
  <c r="AD50" i="1"/>
  <c r="R27" i="1"/>
  <c r="Q24" i="1"/>
  <c r="Q25" i="1"/>
  <c r="P24" i="1"/>
  <c r="T28" i="1"/>
  <c r="H25" i="1"/>
  <c r="I25" i="1"/>
  <c r="I24" i="1"/>
  <c r="P28" i="1"/>
  <c r="P25" i="1"/>
  <c r="O24" i="1"/>
  <c r="Q28" i="1"/>
  <c r="AC4" i="1"/>
  <c r="AD27" i="1" s="1"/>
  <c r="AD39" i="1"/>
  <c r="C14" i="1"/>
  <c r="AE27" i="1"/>
  <c r="G17" i="1"/>
  <c r="S28" i="1"/>
  <c r="S24" i="1"/>
  <c r="AB11" i="1"/>
  <c r="M25" i="1"/>
  <c r="L24" i="1"/>
  <c r="T24" i="1"/>
  <c r="AB4" i="1"/>
  <c r="O28" i="1"/>
  <c r="J27" i="1"/>
  <c r="E25" i="1"/>
  <c r="N25" i="1"/>
  <c r="S25" i="1"/>
  <c r="M24" i="1"/>
  <c r="K28" i="1"/>
  <c r="K25" i="1"/>
  <c r="AD11" i="1"/>
  <c r="L25" i="1"/>
  <c r="K24" i="1"/>
  <c r="G25" i="1"/>
  <c r="O25" i="1"/>
  <c r="T25" i="1"/>
  <c r="M28" i="1"/>
  <c r="N24" i="1" l="1"/>
  <c r="L28" i="1"/>
  <c r="E24" i="1"/>
  <c r="AD16" i="1"/>
  <c r="AD12" i="1"/>
  <c r="AD21" i="1" s="1"/>
  <c r="AD14" i="1"/>
  <c r="AD25" i="1" s="1"/>
  <c r="I28" i="1"/>
  <c r="N23" i="1"/>
  <c r="H24" i="1"/>
  <c r="U25" i="1"/>
  <c r="D14" i="1"/>
  <c r="D16" i="1" s="1"/>
  <c r="D23" i="1"/>
  <c r="AC11" i="1"/>
  <c r="R12" i="1"/>
  <c r="AF11" i="1"/>
  <c r="AF12" i="1" s="1"/>
  <c r="AD24" i="1"/>
  <c r="C16" i="1"/>
  <c r="C25" i="1"/>
  <c r="AB27" i="1"/>
  <c r="AC27" i="1"/>
  <c r="F12" i="1"/>
  <c r="F23" i="1" s="1"/>
  <c r="D25" i="1" l="1"/>
  <c r="U17" i="1"/>
  <c r="U24" i="1"/>
  <c r="U28" i="1"/>
  <c r="AE12" i="1"/>
  <c r="AE21" i="1" s="1"/>
  <c r="R23" i="1"/>
  <c r="AE11" i="1"/>
  <c r="J12" i="1"/>
  <c r="J23" i="1" s="1"/>
  <c r="D17" i="1"/>
  <c r="D24" i="1"/>
  <c r="H28" i="1"/>
  <c r="R14" i="1"/>
  <c r="R25" i="1" s="1"/>
  <c r="C24" i="1"/>
  <c r="C17" i="1"/>
  <c r="G28" i="1"/>
  <c r="F14" i="1"/>
  <c r="AB12" i="1"/>
  <c r="AB21" i="1" s="1"/>
  <c r="J14" i="1" l="1"/>
  <c r="J25" i="1" s="1"/>
  <c r="AC12" i="1"/>
  <c r="AC21" i="1" s="1"/>
  <c r="AE14" i="1"/>
  <c r="AE25" i="1" s="1"/>
  <c r="R16" i="1"/>
  <c r="AE16" i="1" s="1"/>
  <c r="F16" i="1"/>
  <c r="F25" i="1"/>
  <c r="AB14" i="1"/>
  <c r="AB25" i="1" s="1"/>
  <c r="J16" i="1"/>
  <c r="AC14" i="1"/>
  <c r="AC25" i="1" s="1"/>
  <c r="R24" i="1" l="1"/>
  <c r="R28" i="1"/>
  <c r="R17" i="1"/>
  <c r="J28" i="1"/>
  <c r="AE24" i="1"/>
  <c r="AE28" i="1"/>
  <c r="J24" i="1"/>
  <c r="N28" i="1"/>
  <c r="AC16" i="1"/>
  <c r="J17" i="1"/>
  <c r="F24" i="1"/>
  <c r="F17" i="1"/>
  <c r="AB16" i="1"/>
  <c r="AB24" i="1" s="1"/>
  <c r="AC28" i="1" l="1"/>
  <c r="AC24" i="1"/>
  <c r="AD28" i="1"/>
  <c r="AD17" i="1"/>
  <c r="AE17" i="1"/>
  <c r="AC17" i="1"/>
  <c r="AB17" i="1"/>
  <c r="AI57" i="1" l="1"/>
  <c r="AI59" i="1" s="1"/>
  <c r="AI60" i="1" s="1"/>
</calcChain>
</file>

<file path=xl/sharedStrings.xml><?xml version="1.0" encoding="utf-8"?>
<sst xmlns="http://schemas.openxmlformats.org/spreadsheetml/2006/main" count="107" uniqueCount="104">
  <si>
    <t>Q117</t>
  </si>
  <si>
    <t>Q217</t>
  </si>
  <si>
    <t>Q317</t>
  </si>
  <si>
    <t>Q417</t>
  </si>
  <si>
    <t>Q118</t>
  </si>
  <si>
    <t>Q218</t>
  </si>
  <si>
    <t>Q318</t>
  </si>
  <si>
    <t>Q418</t>
  </si>
  <si>
    <t xml:space="preserve">Q119 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</si>
  <si>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</si>
  <si>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</si>
  <si>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</si>
  <si>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</si>
  <si>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</si>
  <si>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</si>
  <si>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</si>
  <si>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</si>
  <si>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</si>
  <si>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</si>
  <si>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</si>
  <si>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Revenue</t>
  </si>
  <si>
    <t>Revenue Costs</t>
  </si>
  <si>
    <t>R&amp;D</t>
  </si>
  <si>
    <t>SAM</t>
  </si>
  <si>
    <t>G&amp;A</t>
  </si>
  <si>
    <t>Other Income</t>
  </si>
  <si>
    <t>Tax</t>
  </si>
  <si>
    <t>Pre-tax Net Income</t>
  </si>
  <si>
    <t>Net Income</t>
  </si>
  <si>
    <t>Net Income %</t>
  </si>
  <si>
    <t>Tax %</t>
  </si>
  <si>
    <t>Price per Share</t>
  </si>
  <si>
    <t>European Fines</t>
  </si>
  <si>
    <t>COGS</t>
  </si>
  <si>
    <t>Operating Income</t>
  </si>
  <si>
    <t>S/O(Thousands)</t>
  </si>
  <si>
    <t>Revenue Y/Y</t>
  </si>
  <si>
    <t>Income Y/Y</t>
  </si>
  <si>
    <t>maturity</t>
  </si>
  <si>
    <t>discount</t>
  </si>
  <si>
    <t>npv</t>
  </si>
  <si>
    <t>netcash</t>
  </si>
  <si>
    <t xml:space="preserve"> </t>
  </si>
  <si>
    <t>net</t>
  </si>
  <si>
    <t>per share</t>
  </si>
  <si>
    <t>current $</t>
  </si>
  <si>
    <t>GOOGL</t>
  </si>
  <si>
    <t>Price</t>
  </si>
  <si>
    <t>S/O</t>
  </si>
  <si>
    <t>MC</t>
  </si>
  <si>
    <t>Cash</t>
  </si>
  <si>
    <t>Debt</t>
  </si>
  <si>
    <t>EV</t>
  </si>
  <si>
    <t>Services</t>
  </si>
  <si>
    <t>Name</t>
  </si>
  <si>
    <t>Notes</t>
  </si>
  <si>
    <t>% of Revenue</t>
  </si>
  <si>
    <t>Competition</t>
  </si>
  <si>
    <t xml:space="preserve">  Google Search</t>
  </si>
  <si>
    <t xml:space="preserve">  Youtube Ads</t>
  </si>
  <si>
    <t xml:space="preserve">  Google Network Members</t>
  </si>
  <si>
    <t>Google Cloud</t>
  </si>
  <si>
    <t>Other Bets</t>
  </si>
  <si>
    <t>Hedging gains</t>
  </si>
  <si>
    <t xml:space="preserve">  Google Other</t>
  </si>
  <si>
    <t>Bing, Yahoo, Yandex</t>
  </si>
  <si>
    <t>???</t>
  </si>
  <si>
    <t>AdMob, AdSense, and Google Ad Manager.</t>
  </si>
  <si>
    <t>Google Play, hardware, YT Premium</t>
  </si>
  <si>
    <t>R&amp;D Services</t>
  </si>
  <si>
    <t>Servers</t>
  </si>
  <si>
    <t>Currency Exchange</t>
  </si>
  <si>
    <t>A/R</t>
  </si>
  <si>
    <t>Income Tax</t>
  </si>
  <si>
    <t>Inventory</t>
  </si>
  <si>
    <t>Other</t>
  </si>
  <si>
    <t>Deferred Income tax</t>
  </si>
  <si>
    <t>PP&amp;E</t>
  </si>
  <si>
    <t>Operating Lease</t>
  </si>
  <si>
    <t>Intangibles</t>
  </si>
  <si>
    <t>Other Assets</t>
  </si>
  <si>
    <t>Other noncurrent Assets</t>
  </si>
  <si>
    <t>Assets</t>
  </si>
  <si>
    <t>A/P</t>
  </si>
  <si>
    <t>Compensation</t>
  </si>
  <si>
    <t>Expenses</t>
  </si>
  <si>
    <t>Revenue Share</t>
  </si>
  <si>
    <t>D/R</t>
  </si>
  <si>
    <t>Income tax</t>
  </si>
  <si>
    <t>Deferred Revenue</t>
  </si>
  <si>
    <t>Deferred IC Tax</t>
  </si>
  <si>
    <t>IC Tax Payable</t>
  </si>
  <si>
    <t>Liabilities</t>
  </si>
  <si>
    <t>Net Cash</t>
  </si>
  <si>
    <t>COGS Y/Y</t>
  </si>
  <si>
    <t>R&amp;D Y/Y</t>
  </si>
  <si>
    <t>G&amp;A Y/Y</t>
  </si>
  <si>
    <t>SAM Y/Y</t>
  </si>
  <si>
    <t>Adobe, Microsoft</t>
  </si>
  <si>
    <t>Apple, Netflix, Amazon</t>
  </si>
  <si>
    <t>IBM, Amazon</t>
  </si>
  <si>
    <t>Operating Margin %</t>
  </si>
  <si>
    <t>Gross Profit</t>
  </si>
  <si>
    <t>Gross 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</si>
</sst>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#,##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i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3" fontId="0" fillId="0" borderId="0" xfId="0" applyNumberFormat="1"/>
    <xf numFmtId="9" fontId="0" fillId="0" borderId="0" xfId="0" applyNumberFormat="1"/>
    <xf numFmtId="10" fontId="0" fillId="0" borderId="0" xfId="0" applyNumberFormat="1"/>
    <xf numFmtId="0" fontId="1" fillId="0" borderId="0" xfId="0" applyFont="1"/>
    <xf numFmtId="0" fontId="2" fillId="0" borderId="0" xfId="0" applyFont="1"/>
    <xf numFmtId="3" fontId="2" fillId="0" borderId="0" xfId="0" applyNumberFormat="1" applyFont="1"/>
    <xf numFmtId="3" fontId="1" fillId="0" borderId="0" xfId="0" applyNumberFormat="1" applyFont="1"/>
    <xf numFmtId="164" fontId="1" fillId="0" borderId="0" xfId="0" applyNumberFormat="1" applyFont="1"/>
    <xf numFmtId="4" fontId="1" fillId="0" borderId="0" xfId="0" applyNumberFormat="1" applyFont="1"/>
    <xf numFmtId="4" fontId="2" fillId="0" borderId="0" xfId="0" applyNumberFormat="1" applyFont="1"/>
    <xf numFmtId="9" fontId="1" fillId="0" borderId="0" xfId="0" applyNumberFormat="1" applyFont="1"/>
    <xf numFmtId="0" fontId="3" fillId="0" borderId="0" xfId="0" applyFont="1"/>
    <xf numFmtId="9" fontId="2" fillId="0" borderId="0" xfId="0" applyNumberFormat="1" applyFont="1"/>
    <xf numFmtId="10" fontId="1" fillId="0" borderId="0" xfId="0" applyNumberFormat="1" applyFont="1"/>
    <xf numFmtId="8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600075</xdr:colOff>
      <xdr:row>0</xdr:row>
      <xdr:rowOff>0</xdr:rowOff>
    </xdr:from>
    <xdr:to>
      <xdr:col>22</xdr:col>
      <xdr:colOff>600075</xdr:colOff>
      <xdr:row>57</xdr:row>
      <xdr:rowOff>123264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8E68ED38-58D6-4182-A887-651426D2AABA}"/>
            </a:ext>
          </a:extLst>
        </xdr:cNvPr>
        <xdr:cNvCxnSpPr/>
      </xdr:nvCxnSpPr>
      <xdr:spPr>
        <a:xfrm>
          <a:off x="14401800" y="0"/>
          <a:ext cx="0" cy="869576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0</xdr:colOff>
      <xdr:row>0</xdr:row>
      <xdr:rowOff>38100</xdr:rowOff>
    </xdr:from>
    <xdr:to>
      <xdr:col>31</xdr:col>
      <xdr:colOff>0</xdr:colOff>
      <xdr:row>51</xdr:row>
      <xdr:rowOff>152400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E5015288-08E2-4D8E-BC28-0ECEDC716EF9}"/>
            </a:ext>
          </a:extLst>
        </xdr:cNvPr>
        <xdr:cNvCxnSpPr/>
      </xdr:nvCxnSpPr>
      <xdr:spPr>
        <a:xfrm>
          <a:off x="19288125" y="38100"/>
          <a:ext cx="0" cy="75438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35761-179A-4E8D-B26F-35218E3A7DF3}">
  <dimension ref="B4:O15"/>
  <sheetViews>
    <sheetView workbookViewId="0">
      <selection activeCell="N5" sqref="N5"/>
    </sheetView>
  </sheetViews>
  <sheetFormatPr defaultRowHeight="15" x14ac:dyDescent="0.25"/>
  <cols>
    <col min="2" max="2" width="24.28515625" bestFit="1" customWidth="1"/>
    <col min="3" max="3" width="33.28515625" bestFit="1" customWidth="1"/>
    <col min="4" max="4" width="13.28515625" bestFit="1" customWidth="1"/>
    <col min="5" max="5" width="22" bestFit="1" customWidth="1"/>
  </cols>
  <sheetData>
    <row r="4" spans="2:15" x14ac:dyDescent="0.25">
      <c r="N4" t="s">
        <v>46</v>
      </c>
    </row>
    <row r="5" spans="2:15" x14ac:dyDescent="0.25">
      <c r="N5" t="s">
        <v>47</v>
      </c>
      <c r="O5">
        <v>2922.4</v>
      </c>
    </row>
    <row r="6" spans="2:15" x14ac:dyDescent="0.25">
      <c r="B6" t="s">
        <v>54</v>
      </c>
      <c r="C6" t="s">
        <v>55</v>
      </c>
      <c r="D6" t="s">
        <v>56</v>
      </c>
      <c r="E6" t="s">
        <v>57</v>
      </c>
      <c r="N6" t="s">
        <v>48</v>
      </c>
      <c r="O6" s="1">
        <f>300+45+317</f>
        <v>662</v>
      </c>
    </row>
    <row r="7" spans="2:15" x14ac:dyDescent="0.25">
      <c r="B7" t="s">
        <v>53</v>
      </c>
      <c r="D7" s="2"/>
      <c r="N7" t="s">
        <v>49</v>
      </c>
      <c r="O7" s="1">
        <f>+O5*O6</f>
        <v>1934628.8</v>
      </c>
    </row>
    <row r="8" spans="2:15" x14ac:dyDescent="0.25">
      <c r="B8" t="s">
        <v>58</v>
      </c>
      <c r="D8" s="2">
        <f>104062/182527</f>
        <v>0.57011839344316184</v>
      </c>
      <c r="E8" t="s">
        <v>65</v>
      </c>
      <c r="N8" t="s">
        <v>50</v>
      </c>
      <c r="O8" s="1">
        <f>26465+110229+20703</f>
        <v>157397</v>
      </c>
    </row>
    <row r="9" spans="2:15" x14ac:dyDescent="0.25">
      <c r="B9" t="s">
        <v>59</v>
      </c>
      <c r="D9" s="2">
        <f>19772/182527</f>
        <v>0.10832370005533427</v>
      </c>
      <c r="E9" t="s">
        <v>66</v>
      </c>
      <c r="N9" t="s">
        <v>51</v>
      </c>
      <c r="O9" s="1">
        <v>13932</v>
      </c>
    </row>
    <row r="10" spans="2:15" x14ac:dyDescent="0.25">
      <c r="B10" t="s">
        <v>60</v>
      </c>
      <c r="C10" t="s">
        <v>67</v>
      </c>
      <c r="D10" s="2">
        <f>23090/182527</f>
        <v>0.12650183260558712</v>
      </c>
      <c r="E10" t="s">
        <v>98</v>
      </c>
      <c r="N10" t="s">
        <v>52</v>
      </c>
      <c r="O10" s="1">
        <f>+O7-O8+O9</f>
        <v>1791163.8</v>
      </c>
    </row>
    <row r="11" spans="2:15" x14ac:dyDescent="0.25">
      <c r="B11" t="s">
        <v>64</v>
      </c>
      <c r="C11" t="s">
        <v>68</v>
      </c>
      <c r="D11" s="2">
        <f>21711/182527</f>
        <v>0.11894678595495461</v>
      </c>
      <c r="E11" t="s">
        <v>99</v>
      </c>
    </row>
    <row r="12" spans="2:15" x14ac:dyDescent="0.25">
      <c r="B12" t="s">
        <v>61</v>
      </c>
      <c r="C12" t="s">
        <v>70</v>
      </c>
      <c r="D12" s="2">
        <f>13059/182527</f>
        <v>7.1545579558092778E-2</v>
      </c>
      <c r="E12" t="s">
        <v>100</v>
      </c>
    </row>
    <row r="13" spans="2:15" x14ac:dyDescent="0.25">
      <c r="B13" t="s">
        <v>62</v>
      </c>
      <c r="C13" t="s">
        <v>69</v>
      </c>
      <c r="D13" s="3">
        <f>657/182527</f>
        <v>3.5994674760446398E-3</v>
      </c>
    </row>
    <row r="14" spans="2:15" x14ac:dyDescent="0.25">
      <c r="B14" t="s">
        <v>63</v>
      </c>
      <c r="C14" t="s">
        <v>71</v>
      </c>
      <c r="D14" s="3">
        <f>176/182527</f>
        <v>9.6424090682474377E-4</v>
      </c>
    </row>
    <row r="15" spans="2:15" x14ac:dyDescent="0.25">
      <c r="D15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F8AC9-BFFA-4BC2-9341-A71C4038ADB2}">
  <dimension ref="A1:CN64"/>
  <sheetViews>
    <sheetView tabSelected="1" zoomScale="85" zoomScaleNormal="85" workbookViewId="0">
      <pane xSplit="2" ySplit="2" topLeftCell="G3" activePane="bottomRight" state="frozen"/>
      <selection pane="topRight" activeCell="C1" sqref="C1"/>
      <selection pane="bottomLeft" activeCell="A4" sqref="A4"/>
      <selection pane="bottomRight" activeCell="J25" sqref="J25"/>
    </sheetView>
  </sheetViews>
  <sheetFormatPr defaultRowHeight="14.25" x14ac:dyDescent="0.2"/>
  <cols>
    <col min="1" max="1" width="3.42578125" style="4" customWidth="1"/>
    <col min="2" max="2" width="18.5703125" style="4" bestFit="1" customWidth="1"/>
    <col min="3" max="3" width="9.28515625" style="7" bestFit="1" customWidth="1"/>
    <col min="4" max="13" width="9.28515625" style="4" bestFit="1" customWidth="1"/>
    <col min="14" max="14" width="10" style="4" bestFit="1" customWidth="1"/>
    <col min="15" max="17" width="9.28515625" style="4" bestFit="1" customWidth="1"/>
    <col min="18" max="18" width="9.7109375" style="4" customWidth="1"/>
    <col min="19" max="21" width="10.42578125" style="4" bestFit="1" customWidth="1"/>
    <col min="22" max="22" width="10" style="4" customWidth="1"/>
    <col min="23" max="24" width="9.140625" style="4"/>
    <col min="25" max="26" width="9.28515625" style="4" bestFit="1" customWidth="1"/>
    <col min="27" max="27" width="9.140625" style="4" customWidth="1"/>
    <col min="28" max="30" width="9.28515625" style="4" bestFit="1" customWidth="1"/>
    <col min="31" max="31" width="9.5703125" style="4" customWidth="1"/>
    <col min="32" max="32" width="8.85546875" style="4" customWidth="1"/>
    <col min="33" max="33" width="9.28515625" style="4" bestFit="1" customWidth="1"/>
    <col min="34" max="34" width="13.7109375" style="4" bestFit="1" customWidth="1"/>
    <col min="35" max="35" width="9" style="4" customWidth="1"/>
    <col min="36" max="44" width="9.28515625" style="4" bestFit="1" customWidth="1"/>
    <col min="45" max="16384" width="9.140625" style="4"/>
  </cols>
  <sheetData>
    <row r="1" spans="1:92" x14ac:dyDescent="0.2">
      <c r="C1" s="4"/>
    </row>
    <row r="2" spans="1:92" x14ac:dyDescent="0.2">
      <c r="C2" s="4" t="s">
        <v>0</v>
      </c>
      <c r="D2" s="4" t="s">
        <v>1</v>
      </c>
      <c r="E2" s="4" t="s">
        <v>2</v>
      </c>
      <c r="F2" s="4" t="s">
        <v>3</v>
      </c>
      <c r="G2" s="4" t="s">
        <v>4</v>
      </c>
      <c r="H2" s="4" t="s">
        <v>5</v>
      </c>
      <c r="I2" s="4" t="s">
        <v>6</v>
      </c>
      <c r="J2" s="4" t="s">
        <v>7</v>
      </c>
      <c r="K2" s="4" t="s">
        <v>8</v>
      </c>
      <c r="L2" s="4" t="s">
        <v>9</v>
      </c>
      <c r="M2" s="4" t="s">
        <v>10</v>
      </c>
      <c r="N2" s="4" t="s">
        <v>11</v>
      </c>
      <c r="O2" s="4" t="s">
        <v>12</v>
      </c>
      <c r="P2" s="4" t="s">
        <v>13</v>
      </c>
      <c r="Q2" s="4" t="s">
        <v>14</v>
      </c>
      <c r="R2" s="4" t="s">
        <v>15</v>
      </c>
      <c r="S2" s="4" t="s">
        <v>16</v>
      </c>
      <c r="T2" s="4" t="s">
        <v>17</v>
      </c>
      <c r="U2" s="4" t="s">
        <v>18</v>
      </c>
      <c r="V2" s="4" t="s">
        <v>19</v>
      </c>
      <c r="Y2" s="4">
        <v>2014</v>
      </c>
      <c r="Z2" s="4">
        <v>2015</v>
      </c>
      <c r="AA2" s="4">
        <v>2016</v>
      </c>
      <c r="AB2" s="4">
        <v>2017</v>
      </c>
      <c r="AC2" s="4">
        <v>2018</v>
      </c>
      <c r="AD2" s="4">
        <v>2019</v>
      </c>
      <c r="AE2" s="4">
        <v>2020</v>
      </c>
      <c r="AF2" s="4">
        <v>2021</v>
      </c>
      <c r="AG2" s="4">
        <f>AF2+1</f>
        <v>2022</v>
      </c>
      <c r="AH2" s="4">
        <f>AG2+1</f>
        <v>2023</v>
      </c>
      <c r="AI2" s="4">
        <f>AH2+1</f>
        <v>2024</v>
      </c>
      <c r="AJ2" s="4">
        <f>+AI2+1</f>
        <v>2025</v>
      </c>
      <c r="AK2" s="4">
        <f t="shared" ref="AK2:AR2" si="0">+AJ2+1</f>
        <v>2026</v>
      </c>
      <c r="AL2" s="4">
        <f t="shared" si="0"/>
        <v>2027</v>
      </c>
      <c r="AM2" s="4">
        <f t="shared" si="0"/>
        <v>2028</v>
      </c>
      <c r="AN2" s="4">
        <f t="shared" si="0"/>
        <v>2029</v>
      </c>
      <c r="AO2" s="4">
        <f t="shared" si="0"/>
        <v>2030</v>
      </c>
      <c r="AP2" s="4">
        <f t="shared" si="0"/>
        <v>2031</v>
      </c>
      <c r="AQ2" s="4">
        <f t="shared" si="0"/>
        <v>2032</v>
      </c>
      <c r="AR2" s="4">
        <f t="shared" si="0"/>
        <v>2033</v>
      </c>
    </row>
    <row r="4" spans="1:92" s="5" customFormat="1" ht="15" x14ac:dyDescent="0.25">
      <c r="B4" s="5" t="s">
        <v>20</v>
      </c>
      <c r="C4" s="6">
        <v>24750</v>
      </c>
      <c r="D4" s="6">
        <v>26010</v>
      </c>
      <c r="E4" s="6">
        <v>27772</v>
      </c>
      <c r="F4" s="6">
        <f>110855-SUM(C4:E4)</f>
        <v>32323</v>
      </c>
      <c r="G4" s="6">
        <v>31146</v>
      </c>
      <c r="H4" s="6">
        <v>32657</v>
      </c>
      <c r="I4" s="6">
        <v>33740</v>
      </c>
      <c r="J4" s="6">
        <f>136819-SUM(G4:I4)</f>
        <v>39276</v>
      </c>
      <c r="K4" s="6">
        <v>36339</v>
      </c>
      <c r="L4" s="6">
        <v>38944</v>
      </c>
      <c r="M4" s="6">
        <v>40499</v>
      </c>
      <c r="N4" s="6">
        <v>46173</v>
      </c>
      <c r="O4" s="6">
        <v>41159</v>
      </c>
      <c r="P4" s="6">
        <v>38297</v>
      </c>
      <c r="Q4" s="6">
        <v>46173</v>
      </c>
      <c r="R4" s="6">
        <f>182527-SUM(O4:Q4)</f>
        <v>56898</v>
      </c>
      <c r="S4" s="6">
        <v>55314</v>
      </c>
      <c r="T4" s="6">
        <v>61880</v>
      </c>
      <c r="U4" s="6">
        <v>65118</v>
      </c>
      <c r="V4" s="6"/>
      <c r="W4" s="6"/>
      <c r="X4" s="6"/>
      <c r="Y4" s="6">
        <v>66001</v>
      </c>
      <c r="Z4" s="6">
        <v>74989</v>
      </c>
      <c r="AA4" s="6">
        <v>90272</v>
      </c>
      <c r="AB4" s="6">
        <f t="shared" ref="AB4:AB16" si="1">+SUM(C4:F4)</f>
        <v>110855</v>
      </c>
      <c r="AC4" s="6">
        <f t="shared" ref="AC4:AC16" si="2">+SUM(G4:J4)</f>
        <v>136819</v>
      </c>
      <c r="AD4" s="6">
        <f t="shared" ref="AD4:AD16" si="3">+SUM(K4:N4)</f>
        <v>161955</v>
      </c>
      <c r="AE4" s="6">
        <f t="shared" ref="AE4:AE16" si="4">+SUM(O4:R4)</f>
        <v>182527</v>
      </c>
      <c r="AF4" s="6">
        <f>+AE4*1.36</f>
        <v>248236.72000000003</v>
      </c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</row>
    <row r="5" spans="1:92" x14ac:dyDescent="0.2">
      <c r="B5" s="4" t="s">
        <v>33</v>
      </c>
      <c r="C5" s="7">
        <v>9795</v>
      </c>
      <c r="D5" s="7">
        <v>10373</v>
      </c>
      <c r="E5" s="7">
        <v>11148</v>
      </c>
      <c r="F5" s="7">
        <f>45583-SUM(C5:E5)</f>
        <v>14267</v>
      </c>
      <c r="G5" s="7">
        <v>13467</v>
      </c>
      <c r="H5" s="7">
        <v>13883</v>
      </c>
      <c r="I5" s="7">
        <v>14281</v>
      </c>
      <c r="J5" s="7">
        <f>59549-SUM(G5:I5)</f>
        <v>17918</v>
      </c>
      <c r="K5" s="7">
        <v>16012</v>
      </c>
      <c r="L5" s="7">
        <v>17296</v>
      </c>
      <c r="M5" s="7">
        <v>17568</v>
      </c>
      <c r="N5" s="7">
        <v>21117</v>
      </c>
      <c r="O5" s="7">
        <v>18982</v>
      </c>
      <c r="P5" s="7">
        <v>18553</v>
      </c>
      <c r="Q5" s="7">
        <v>21117</v>
      </c>
      <c r="R5" s="7">
        <f>84732-SUM(O5:Q5)</f>
        <v>26080</v>
      </c>
      <c r="S5" s="7">
        <v>24103</v>
      </c>
      <c r="T5" s="7">
        <v>26227</v>
      </c>
      <c r="U5" s="7">
        <v>27621</v>
      </c>
      <c r="V5" s="7"/>
      <c r="W5" s="7"/>
      <c r="X5" s="7"/>
      <c r="AB5" s="7">
        <f t="shared" si="1"/>
        <v>45583</v>
      </c>
      <c r="AC5" s="7">
        <f t="shared" si="2"/>
        <v>59549</v>
      </c>
      <c r="AD5" s="7">
        <f t="shared" si="3"/>
        <v>71993</v>
      </c>
      <c r="AE5" s="7">
        <f t="shared" si="4"/>
        <v>84732</v>
      </c>
      <c r="AF5" s="7">
        <f>+AE5*1.36</f>
        <v>115235.52</v>
      </c>
      <c r="AG5" s="7"/>
      <c r="AH5" s="7"/>
      <c r="AI5" s="7"/>
    </row>
    <row r="6" spans="1:92" x14ac:dyDescent="0.2">
      <c r="B6" s="4" t="s">
        <v>102</v>
      </c>
      <c r="C6" s="7">
        <f t="shared" ref="C6:T6" si="5">+C4-C5</f>
        <v>14955</v>
      </c>
      <c r="D6" s="7">
        <f t="shared" si="5"/>
        <v>15637</v>
      </c>
      <c r="E6" s="7">
        <f t="shared" si="5"/>
        <v>16624</v>
      </c>
      <c r="F6" s="7">
        <f t="shared" si="5"/>
        <v>18056</v>
      </c>
      <c r="G6" s="7">
        <f t="shared" si="5"/>
        <v>17679</v>
      </c>
      <c r="H6" s="7">
        <f t="shared" si="5"/>
        <v>18774</v>
      </c>
      <c r="I6" s="7">
        <f t="shared" si="5"/>
        <v>19459</v>
      </c>
      <c r="J6" s="7">
        <f t="shared" si="5"/>
        <v>21358</v>
      </c>
      <c r="K6" s="7">
        <f t="shared" si="5"/>
        <v>20327</v>
      </c>
      <c r="L6" s="7">
        <f t="shared" si="5"/>
        <v>21648</v>
      </c>
      <c r="M6" s="7">
        <f t="shared" si="5"/>
        <v>22931</v>
      </c>
      <c r="N6" s="7">
        <f t="shared" si="5"/>
        <v>25056</v>
      </c>
      <c r="O6" s="7">
        <f t="shared" si="5"/>
        <v>22177</v>
      </c>
      <c r="P6" s="7">
        <f t="shared" si="5"/>
        <v>19744</v>
      </c>
      <c r="Q6" s="7">
        <f t="shared" si="5"/>
        <v>25056</v>
      </c>
      <c r="R6" s="7">
        <f t="shared" si="5"/>
        <v>30818</v>
      </c>
      <c r="S6" s="7">
        <f t="shared" si="5"/>
        <v>31211</v>
      </c>
      <c r="T6" s="7">
        <f t="shared" si="5"/>
        <v>35653</v>
      </c>
      <c r="U6" s="7">
        <f>+U4-U5</f>
        <v>37497</v>
      </c>
      <c r="V6" s="7"/>
      <c r="W6" s="7"/>
      <c r="X6" s="7"/>
      <c r="AB6" s="7"/>
      <c r="AC6" s="7"/>
      <c r="AD6" s="7"/>
      <c r="AE6" s="7"/>
      <c r="AF6" s="7"/>
      <c r="AG6" s="7"/>
      <c r="AH6" s="7"/>
      <c r="AI6" s="7"/>
    </row>
    <row r="7" spans="1:92" x14ac:dyDescent="0.2">
      <c r="B7" s="4" t="s">
        <v>22</v>
      </c>
      <c r="C7" s="7">
        <v>3942</v>
      </c>
      <c r="D7" s="7">
        <v>4172</v>
      </c>
      <c r="E7" s="7">
        <v>4205</v>
      </c>
      <c r="F7" s="7">
        <f>16625-SUM(C7:E7)</f>
        <v>4306</v>
      </c>
      <c r="G7" s="7">
        <v>5039</v>
      </c>
      <c r="H7" s="7">
        <v>5114</v>
      </c>
      <c r="I7" s="7">
        <v>5232</v>
      </c>
      <c r="J7" s="7">
        <f>21419-SUM(G7:I7)</f>
        <v>6034</v>
      </c>
      <c r="K7" s="7">
        <v>6029</v>
      </c>
      <c r="L7" s="7">
        <v>6213</v>
      </c>
      <c r="M7" s="7">
        <v>6554</v>
      </c>
      <c r="N7" s="7">
        <v>6856</v>
      </c>
      <c r="O7" s="7">
        <v>6820</v>
      </c>
      <c r="P7" s="7">
        <v>6875</v>
      </c>
      <c r="Q7" s="7">
        <v>6856</v>
      </c>
      <c r="R7" s="7">
        <f>27573-SUM(O7:Q7)</f>
        <v>7022</v>
      </c>
      <c r="S7" s="7">
        <v>7485</v>
      </c>
      <c r="T7" s="7">
        <v>7675</v>
      </c>
      <c r="U7" s="7">
        <v>7694</v>
      </c>
      <c r="V7" s="7"/>
      <c r="W7" s="7"/>
      <c r="X7" s="7"/>
      <c r="AB7" s="7">
        <f t="shared" si="1"/>
        <v>16625</v>
      </c>
      <c r="AC7" s="7">
        <f t="shared" si="2"/>
        <v>21419</v>
      </c>
      <c r="AD7" s="7">
        <f t="shared" si="3"/>
        <v>25652</v>
      </c>
      <c r="AE7" s="7">
        <f t="shared" si="4"/>
        <v>27573</v>
      </c>
      <c r="AF7" s="7">
        <f t="shared" ref="AF7:AF9" si="6">+AE7*1.36</f>
        <v>37499.280000000006</v>
      </c>
      <c r="AG7" s="8"/>
      <c r="AH7" s="7"/>
      <c r="AI7" s="7"/>
    </row>
    <row r="8" spans="1:92" x14ac:dyDescent="0.2">
      <c r="B8" s="4" t="s">
        <v>23</v>
      </c>
      <c r="C8" s="7">
        <v>2644</v>
      </c>
      <c r="D8" s="7">
        <v>2897</v>
      </c>
      <c r="E8" s="7">
        <v>3042</v>
      </c>
      <c r="F8" s="7">
        <f>12893-SUM(C8:E8)</f>
        <v>4310</v>
      </c>
      <c r="G8" s="7">
        <v>3604</v>
      </c>
      <c r="H8" s="7">
        <v>3780</v>
      </c>
      <c r="I8" s="7">
        <v>3849</v>
      </c>
      <c r="J8" s="7">
        <f>16333-SUM(G8:I8)</f>
        <v>5100</v>
      </c>
      <c r="K8" s="7">
        <v>3905</v>
      </c>
      <c r="L8" s="7">
        <v>4212</v>
      </c>
      <c r="M8" s="7">
        <v>4609</v>
      </c>
      <c r="N8" s="7">
        <v>4231</v>
      </c>
      <c r="O8" s="7">
        <v>4500</v>
      </c>
      <c r="P8" s="7">
        <v>3901</v>
      </c>
      <c r="Q8" s="7">
        <v>4231</v>
      </c>
      <c r="R8" s="7">
        <f>17946-SUM(O8:Q8)</f>
        <v>5314</v>
      </c>
      <c r="S8" s="7">
        <v>4516</v>
      </c>
      <c r="T8" s="7">
        <v>5276</v>
      </c>
      <c r="U8" s="7">
        <v>5516</v>
      </c>
      <c r="V8" s="7"/>
      <c r="W8" s="7"/>
      <c r="X8" s="7"/>
      <c r="AB8" s="7">
        <f t="shared" si="1"/>
        <v>12893</v>
      </c>
      <c r="AC8" s="7">
        <f t="shared" si="2"/>
        <v>16333</v>
      </c>
      <c r="AD8" s="7">
        <f t="shared" si="3"/>
        <v>16957</v>
      </c>
      <c r="AE8" s="7">
        <f t="shared" si="4"/>
        <v>17946</v>
      </c>
      <c r="AF8" s="7">
        <f t="shared" si="6"/>
        <v>24406.560000000001</v>
      </c>
      <c r="AG8" s="7"/>
      <c r="AH8" s="7"/>
      <c r="AI8" s="7"/>
    </row>
    <row r="9" spans="1:92" x14ac:dyDescent="0.2">
      <c r="B9" s="4" t="s">
        <v>24</v>
      </c>
      <c r="C9" s="7">
        <v>1801</v>
      </c>
      <c r="D9" s="7">
        <v>1700</v>
      </c>
      <c r="E9" s="7">
        <v>1595</v>
      </c>
      <c r="F9" s="7">
        <f>6872-SUM(C9:E9)</f>
        <v>1776</v>
      </c>
      <c r="G9" s="7">
        <v>2035</v>
      </c>
      <c r="H9" s="7">
        <v>2002</v>
      </c>
      <c r="I9" s="7">
        <v>2068</v>
      </c>
      <c r="J9" s="7">
        <f>8126-SUM(G9:I9)</f>
        <v>2021</v>
      </c>
      <c r="K9" s="7">
        <v>2088</v>
      </c>
      <c r="L9" s="7">
        <v>2043</v>
      </c>
      <c r="M9" s="7">
        <v>2591</v>
      </c>
      <c r="N9" s="7">
        <v>2756</v>
      </c>
      <c r="O9" s="7">
        <v>2880</v>
      </c>
      <c r="P9" s="7">
        <v>2585</v>
      </c>
      <c r="Q9" s="7">
        <v>2756</v>
      </c>
      <c r="R9" s="7">
        <f>11052-SUM(O9:Q9)</f>
        <v>2831</v>
      </c>
      <c r="S9" s="7">
        <v>2773</v>
      </c>
      <c r="T9" s="7">
        <v>3341</v>
      </c>
      <c r="U9" s="7">
        <v>3256</v>
      </c>
      <c r="V9" s="7"/>
      <c r="W9" s="7"/>
      <c r="X9" s="7"/>
      <c r="AB9" s="7">
        <f t="shared" si="1"/>
        <v>6872</v>
      </c>
      <c r="AC9" s="7">
        <f t="shared" si="2"/>
        <v>8126</v>
      </c>
      <c r="AD9" s="7">
        <f t="shared" si="3"/>
        <v>9478</v>
      </c>
      <c r="AE9" s="7">
        <f t="shared" si="4"/>
        <v>11052</v>
      </c>
      <c r="AF9" s="7">
        <f t="shared" si="6"/>
        <v>15030.720000000001</v>
      </c>
      <c r="AG9" s="7"/>
      <c r="AH9" s="7"/>
      <c r="AI9" s="7"/>
    </row>
    <row r="10" spans="1:92" x14ac:dyDescent="0.2">
      <c r="B10" s="4" t="s">
        <v>32</v>
      </c>
      <c r="C10" s="7">
        <v>0</v>
      </c>
      <c r="D10" s="7">
        <v>2736</v>
      </c>
      <c r="E10" s="7">
        <v>0</v>
      </c>
      <c r="F10" s="7">
        <v>0</v>
      </c>
      <c r="G10" s="7">
        <v>0</v>
      </c>
      <c r="H10" s="7">
        <v>5071</v>
      </c>
      <c r="I10" s="7">
        <v>0</v>
      </c>
      <c r="J10" s="7">
        <f>5071-SUM(G10:I10)</f>
        <v>0</v>
      </c>
      <c r="K10" s="7">
        <v>1697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  <c r="V10" s="7"/>
      <c r="W10" s="7"/>
      <c r="X10" s="7"/>
      <c r="AB10" s="7">
        <f t="shared" si="1"/>
        <v>2736</v>
      </c>
      <c r="AC10" s="7">
        <f t="shared" si="2"/>
        <v>5071</v>
      </c>
      <c r="AD10" s="7">
        <f t="shared" si="3"/>
        <v>1697</v>
      </c>
      <c r="AE10" s="7">
        <f t="shared" si="4"/>
        <v>0</v>
      </c>
      <c r="AF10" s="7"/>
      <c r="AG10" s="7"/>
      <c r="AH10" s="7"/>
      <c r="AI10" s="7"/>
    </row>
    <row r="11" spans="1:92" s="5" customFormat="1" ht="15" x14ac:dyDescent="0.25">
      <c r="A11" s="4"/>
      <c r="B11" s="4" t="s">
        <v>21</v>
      </c>
      <c r="C11" s="7">
        <f t="shared" ref="C11:T11" si="7">+SUM(C7:C10)</f>
        <v>8387</v>
      </c>
      <c r="D11" s="7">
        <f t="shared" si="7"/>
        <v>11505</v>
      </c>
      <c r="E11" s="7">
        <f t="shared" si="7"/>
        <v>8842</v>
      </c>
      <c r="F11" s="7">
        <f t="shared" si="7"/>
        <v>10392</v>
      </c>
      <c r="G11" s="7">
        <f t="shared" si="7"/>
        <v>10678</v>
      </c>
      <c r="H11" s="7">
        <f t="shared" si="7"/>
        <v>15967</v>
      </c>
      <c r="I11" s="7">
        <f t="shared" si="7"/>
        <v>11149</v>
      </c>
      <c r="J11" s="7">
        <f t="shared" si="7"/>
        <v>13155</v>
      </c>
      <c r="K11" s="7">
        <f t="shared" si="7"/>
        <v>13719</v>
      </c>
      <c r="L11" s="7">
        <f t="shared" si="7"/>
        <v>12468</v>
      </c>
      <c r="M11" s="7">
        <f t="shared" si="7"/>
        <v>13754</v>
      </c>
      <c r="N11" s="7">
        <f t="shared" si="7"/>
        <v>13843</v>
      </c>
      <c r="O11" s="7">
        <f t="shared" si="7"/>
        <v>14200</v>
      </c>
      <c r="P11" s="7">
        <f t="shared" si="7"/>
        <v>13361</v>
      </c>
      <c r="Q11" s="7">
        <f t="shared" si="7"/>
        <v>13843</v>
      </c>
      <c r="R11" s="7">
        <f t="shared" si="7"/>
        <v>15167</v>
      </c>
      <c r="S11" s="7">
        <f t="shared" si="7"/>
        <v>14774</v>
      </c>
      <c r="T11" s="7">
        <f t="shared" si="7"/>
        <v>16292</v>
      </c>
      <c r="U11" s="7">
        <f>+SUM(U7:U10)</f>
        <v>16466</v>
      </c>
      <c r="V11" s="7"/>
      <c r="W11" s="7"/>
      <c r="X11" s="7"/>
      <c r="AB11" s="7">
        <f t="shared" si="1"/>
        <v>39126</v>
      </c>
      <c r="AC11" s="7">
        <f t="shared" si="2"/>
        <v>50949</v>
      </c>
      <c r="AD11" s="7">
        <f t="shared" si="3"/>
        <v>53784</v>
      </c>
      <c r="AE11" s="7">
        <f t="shared" si="4"/>
        <v>56571</v>
      </c>
      <c r="AF11" s="7">
        <f>+SUM(AF5:AF9)</f>
        <v>192172.08000000002</v>
      </c>
      <c r="AG11" s="7"/>
      <c r="AH11" s="7"/>
      <c r="AI11" s="7"/>
    </row>
    <row r="12" spans="1:92" ht="15" x14ac:dyDescent="0.25">
      <c r="B12" s="5" t="s">
        <v>34</v>
      </c>
      <c r="C12" s="6">
        <f t="shared" ref="C12:T12" si="8">+C4-C11</f>
        <v>16363</v>
      </c>
      <c r="D12" s="6">
        <f t="shared" si="8"/>
        <v>14505</v>
      </c>
      <c r="E12" s="6">
        <f t="shared" si="8"/>
        <v>18930</v>
      </c>
      <c r="F12" s="6">
        <f t="shared" si="8"/>
        <v>21931</v>
      </c>
      <c r="G12" s="6">
        <f t="shared" si="8"/>
        <v>20468</v>
      </c>
      <c r="H12" s="6">
        <f t="shared" si="8"/>
        <v>16690</v>
      </c>
      <c r="I12" s="6">
        <f t="shared" si="8"/>
        <v>22591</v>
      </c>
      <c r="J12" s="6">
        <f t="shared" si="8"/>
        <v>26121</v>
      </c>
      <c r="K12" s="6">
        <f t="shared" si="8"/>
        <v>22620</v>
      </c>
      <c r="L12" s="6">
        <f t="shared" si="8"/>
        <v>26476</v>
      </c>
      <c r="M12" s="6">
        <f t="shared" si="8"/>
        <v>26745</v>
      </c>
      <c r="N12" s="6">
        <f t="shared" si="8"/>
        <v>32330</v>
      </c>
      <c r="O12" s="6">
        <f t="shared" si="8"/>
        <v>26959</v>
      </c>
      <c r="P12" s="6">
        <f t="shared" si="8"/>
        <v>24936</v>
      </c>
      <c r="Q12" s="6">
        <f t="shared" si="8"/>
        <v>32330</v>
      </c>
      <c r="R12" s="6">
        <f t="shared" si="8"/>
        <v>41731</v>
      </c>
      <c r="S12" s="6">
        <f t="shared" si="8"/>
        <v>40540</v>
      </c>
      <c r="T12" s="6">
        <f t="shared" si="8"/>
        <v>45588</v>
      </c>
      <c r="U12" s="6">
        <f>+U4-U11</f>
        <v>48652</v>
      </c>
      <c r="V12" s="6"/>
      <c r="W12" s="6"/>
      <c r="X12" s="6"/>
      <c r="AB12" s="6">
        <f t="shared" si="1"/>
        <v>71729</v>
      </c>
      <c r="AC12" s="6">
        <f t="shared" si="2"/>
        <v>85870</v>
      </c>
      <c r="AD12" s="6">
        <f t="shared" si="3"/>
        <v>108171</v>
      </c>
      <c r="AE12" s="6">
        <f t="shared" si="4"/>
        <v>125956</v>
      </c>
      <c r="AF12" s="6">
        <f>+AF4-AF11</f>
        <v>56064.640000000014</v>
      </c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</row>
    <row r="13" spans="1:92" x14ac:dyDescent="0.2">
      <c r="B13" s="4" t="s">
        <v>25</v>
      </c>
      <c r="C13" s="7">
        <v>251</v>
      </c>
      <c r="D13" s="7">
        <v>245</v>
      </c>
      <c r="E13" s="7">
        <v>197</v>
      </c>
      <c r="F13" s="7">
        <f>1047-SUM(C13:E13)</f>
        <v>354</v>
      </c>
      <c r="G13" s="7">
        <v>3542</v>
      </c>
      <c r="H13" s="7">
        <v>1408</v>
      </c>
      <c r="I13" s="7">
        <v>1773</v>
      </c>
      <c r="J13" s="7">
        <f>26321-SUM(G13:I13)</f>
        <v>19598</v>
      </c>
      <c r="K13" s="7">
        <v>1538</v>
      </c>
      <c r="L13" s="7">
        <v>2967</v>
      </c>
      <c r="M13" s="7">
        <v>-549</v>
      </c>
      <c r="N13" s="7">
        <v>2146</v>
      </c>
      <c r="O13" s="7">
        <v>-220</v>
      </c>
      <c r="P13" s="7">
        <v>1894</v>
      </c>
      <c r="Q13" s="7">
        <v>2146</v>
      </c>
      <c r="R13" s="7">
        <f>6858-SUM(O13:Q13)</f>
        <v>3038</v>
      </c>
      <c r="S13" s="7">
        <v>4846</v>
      </c>
      <c r="T13" s="7">
        <v>2624</v>
      </c>
      <c r="U13" s="7">
        <v>2033</v>
      </c>
      <c r="V13" s="7"/>
      <c r="W13" s="7"/>
      <c r="X13" s="7"/>
      <c r="AB13" s="7">
        <f t="shared" si="1"/>
        <v>1047</v>
      </c>
      <c r="AC13" s="7">
        <f t="shared" si="2"/>
        <v>26321</v>
      </c>
      <c r="AD13" s="7">
        <f t="shared" si="3"/>
        <v>6102</v>
      </c>
      <c r="AE13" s="7">
        <f t="shared" si="4"/>
        <v>6858</v>
      </c>
      <c r="AF13" s="7"/>
      <c r="AG13" s="7"/>
      <c r="AH13" s="7"/>
      <c r="AI13" s="7"/>
    </row>
    <row r="14" spans="1:92" x14ac:dyDescent="0.2">
      <c r="B14" s="4" t="s">
        <v>27</v>
      </c>
      <c r="C14" s="7">
        <f t="shared" ref="C14:U14" si="9">+C12+C13</f>
        <v>16614</v>
      </c>
      <c r="D14" s="7">
        <f t="shared" si="9"/>
        <v>14750</v>
      </c>
      <c r="E14" s="7">
        <f t="shared" si="9"/>
        <v>19127</v>
      </c>
      <c r="F14" s="7">
        <f t="shared" si="9"/>
        <v>22285</v>
      </c>
      <c r="G14" s="7">
        <f t="shared" si="9"/>
        <v>24010</v>
      </c>
      <c r="H14" s="7">
        <f t="shared" si="9"/>
        <v>18098</v>
      </c>
      <c r="I14" s="7">
        <f t="shared" si="9"/>
        <v>24364</v>
      </c>
      <c r="J14" s="7">
        <f t="shared" si="9"/>
        <v>45719</v>
      </c>
      <c r="K14" s="7">
        <f t="shared" si="9"/>
        <v>24158</v>
      </c>
      <c r="L14" s="7">
        <f t="shared" si="9"/>
        <v>29443</v>
      </c>
      <c r="M14" s="7">
        <f t="shared" si="9"/>
        <v>26196</v>
      </c>
      <c r="N14" s="7">
        <f t="shared" si="9"/>
        <v>34476</v>
      </c>
      <c r="O14" s="7">
        <f t="shared" si="9"/>
        <v>26739</v>
      </c>
      <c r="P14" s="7">
        <f t="shared" si="9"/>
        <v>26830</v>
      </c>
      <c r="Q14" s="7">
        <f t="shared" si="9"/>
        <v>34476</v>
      </c>
      <c r="R14" s="7">
        <f t="shared" si="9"/>
        <v>44769</v>
      </c>
      <c r="S14" s="7">
        <f t="shared" si="9"/>
        <v>45386</v>
      </c>
      <c r="T14" s="7">
        <f t="shared" si="9"/>
        <v>48212</v>
      </c>
      <c r="U14" s="7">
        <f>+U12+U13</f>
        <v>50685</v>
      </c>
      <c r="V14" s="7"/>
      <c r="W14" s="7"/>
      <c r="X14" s="7"/>
      <c r="AB14" s="7">
        <f t="shared" si="1"/>
        <v>72776</v>
      </c>
      <c r="AC14" s="7">
        <f t="shared" si="2"/>
        <v>112191</v>
      </c>
      <c r="AD14" s="7">
        <f t="shared" si="3"/>
        <v>114273</v>
      </c>
      <c r="AE14" s="7">
        <f t="shared" si="4"/>
        <v>132814</v>
      </c>
      <c r="AF14" s="7"/>
      <c r="AG14" s="7"/>
      <c r="AH14" s="7"/>
      <c r="AI14" s="7"/>
    </row>
    <row r="15" spans="1:92" s="5" customFormat="1" ht="15" x14ac:dyDescent="0.25">
      <c r="B15" s="4" t="s">
        <v>26</v>
      </c>
      <c r="C15" s="7">
        <v>1393</v>
      </c>
      <c r="D15" s="7">
        <v>853</v>
      </c>
      <c r="E15" s="7">
        <v>1247</v>
      </c>
      <c r="F15" s="7">
        <f>14531-SUM(C15:E15)</f>
        <v>11038</v>
      </c>
      <c r="G15" s="7">
        <v>1142</v>
      </c>
      <c r="H15" s="7">
        <v>1020</v>
      </c>
      <c r="I15" s="7">
        <v>891</v>
      </c>
      <c r="J15" s="7">
        <f>4177-SUM(G15:I15)</f>
        <v>1124</v>
      </c>
      <c r="K15" s="7">
        <v>1489</v>
      </c>
      <c r="L15" s="7">
        <v>2200</v>
      </c>
      <c r="M15" s="7">
        <v>1560</v>
      </c>
      <c r="N15" s="7">
        <v>2112</v>
      </c>
      <c r="O15" s="7">
        <v>921</v>
      </c>
      <c r="P15" s="7">
        <v>1318</v>
      </c>
      <c r="Q15" s="7">
        <v>2112</v>
      </c>
      <c r="R15" s="7">
        <f>7813-SUM(O15:Q15)</f>
        <v>3462</v>
      </c>
      <c r="S15" s="7">
        <v>3353</v>
      </c>
      <c r="T15" s="7">
        <v>3460</v>
      </c>
      <c r="U15" s="7">
        <v>4128</v>
      </c>
      <c r="V15" s="7"/>
      <c r="W15" s="7"/>
      <c r="X15" s="7"/>
      <c r="AB15" s="7">
        <f t="shared" si="1"/>
        <v>14531</v>
      </c>
      <c r="AC15" s="7">
        <f t="shared" si="2"/>
        <v>4177</v>
      </c>
      <c r="AD15" s="7">
        <f t="shared" si="3"/>
        <v>7361</v>
      </c>
      <c r="AE15" s="7">
        <f t="shared" si="4"/>
        <v>7813</v>
      </c>
      <c r="AF15" s="7"/>
      <c r="AG15" s="7"/>
      <c r="AH15" s="7"/>
      <c r="AI15" s="7"/>
    </row>
    <row r="16" spans="1:92" ht="15" x14ac:dyDescent="0.25">
      <c r="B16" s="5" t="s">
        <v>28</v>
      </c>
      <c r="C16" s="6">
        <f t="shared" ref="C16:U16" si="10">+C14-C15</f>
        <v>15221</v>
      </c>
      <c r="D16" s="6">
        <f t="shared" si="10"/>
        <v>13897</v>
      </c>
      <c r="E16" s="6">
        <f t="shared" si="10"/>
        <v>17880</v>
      </c>
      <c r="F16" s="6">
        <f t="shared" si="10"/>
        <v>11247</v>
      </c>
      <c r="G16" s="6">
        <f t="shared" si="10"/>
        <v>22868</v>
      </c>
      <c r="H16" s="6">
        <f t="shared" si="10"/>
        <v>17078</v>
      </c>
      <c r="I16" s="6">
        <f t="shared" si="10"/>
        <v>23473</v>
      </c>
      <c r="J16" s="6">
        <f t="shared" si="10"/>
        <v>44595</v>
      </c>
      <c r="K16" s="6">
        <f t="shared" si="10"/>
        <v>22669</v>
      </c>
      <c r="L16" s="6">
        <f t="shared" si="10"/>
        <v>27243</v>
      </c>
      <c r="M16" s="6">
        <f t="shared" si="10"/>
        <v>24636</v>
      </c>
      <c r="N16" s="6">
        <f t="shared" si="10"/>
        <v>32364</v>
      </c>
      <c r="O16" s="6">
        <f t="shared" si="10"/>
        <v>25818</v>
      </c>
      <c r="P16" s="6">
        <f t="shared" si="10"/>
        <v>25512</v>
      </c>
      <c r="Q16" s="6">
        <f t="shared" si="10"/>
        <v>32364</v>
      </c>
      <c r="R16" s="6">
        <f t="shared" si="10"/>
        <v>41307</v>
      </c>
      <c r="S16" s="6">
        <f t="shared" si="10"/>
        <v>42033</v>
      </c>
      <c r="T16" s="6">
        <f t="shared" si="10"/>
        <v>44752</v>
      </c>
      <c r="U16" s="6">
        <f>+U14-U15</f>
        <v>46557</v>
      </c>
      <c r="V16" s="6"/>
      <c r="W16" s="6"/>
      <c r="X16" s="6"/>
      <c r="AB16" s="6">
        <f t="shared" si="1"/>
        <v>58245</v>
      </c>
      <c r="AC16" s="6">
        <f t="shared" si="2"/>
        <v>108014</v>
      </c>
      <c r="AD16" s="6">
        <f t="shared" si="3"/>
        <v>106912</v>
      </c>
      <c r="AE16" s="6">
        <f t="shared" si="4"/>
        <v>125001</v>
      </c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</row>
    <row r="17" spans="1:35" s="5" customFormat="1" ht="15" x14ac:dyDescent="0.25">
      <c r="A17" s="4"/>
      <c r="B17" s="4" t="s">
        <v>35</v>
      </c>
      <c r="C17" s="7">
        <f t="shared" ref="C17:U17" si="11">+C16*C18</f>
        <v>117658.33</v>
      </c>
      <c r="D17" s="7">
        <f t="shared" si="11"/>
        <v>69623.97</v>
      </c>
      <c r="E17" s="7">
        <f t="shared" si="11"/>
        <v>171111.6</v>
      </c>
      <c r="F17" s="7">
        <f t="shared" si="11"/>
        <v>-48924.45</v>
      </c>
      <c r="G17" s="7">
        <f t="shared" si="11"/>
        <v>304830.44</v>
      </c>
      <c r="H17" s="7">
        <f t="shared" si="11"/>
        <v>77534.12</v>
      </c>
      <c r="I17" s="7">
        <f t="shared" si="11"/>
        <v>306557.38</v>
      </c>
      <c r="J17" s="7">
        <f t="shared" si="11"/>
        <v>459774.45</v>
      </c>
      <c r="K17" s="7">
        <f t="shared" si="11"/>
        <v>215355.5</v>
      </c>
      <c r="L17" s="7">
        <f t="shared" si="11"/>
        <v>387123.03</v>
      </c>
      <c r="M17" s="7">
        <f t="shared" si="11"/>
        <v>249316.31999999998</v>
      </c>
      <c r="N17" s="7">
        <f t="shared" si="11"/>
        <v>530769.6</v>
      </c>
      <c r="O17" s="7">
        <f t="shared" si="11"/>
        <v>254823.65999999997</v>
      </c>
      <c r="P17" s="7">
        <f t="shared" si="11"/>
        <v>258436.56000000003</v>
      </c>
      <c r="Q17" s="7">
        <f t="shared" si="11"/>
        <v>530769.6</v>
      </c>
      <c r="R17" s="7">
        <f t="shared" si="11"/>
        <v>501191.6</v>
      </c>
      <c r="S17" s="7">
        <f t="shared" si="11"/>
        <v>1105047.57</v>
      </c>
      <c r="T17" s="7">
        <f t="shared" si="11"/>
        <v>1219939.52</v>
      </c>
      <c r="U17" s="7">
        <f t="shared" si="11"/>
        <v>1303130.43</v>
      </c>
      <c r="V17" s="7"/>
      <c r="W17" s="7"/>
      <c r="X17" s="7"/>
      <c r="AB17" s="7">
        <f t="shared" ref="AB17:AE18" si="12">+AVERAGE(C17:F17)</f>
        <v>77367.362500000003</v>
      </c>
      <c r="AC17" s="7">
        <f t="shared" si="12"/>
        <v>124160.39</v>
      </c>
      <c r="AD17" s="7">
        <f t="shared" si="12"/>
        <v>126137.92750000001</v>
      </c>
      <c r="AE17" s="7">
        <f t="shared" si="12"/>
        <v>159999.3725</v>
      </c>
      <c r="AF17" s="6"/>
      <c r="AG17" s="6"/>
      <c r="AH17" s="6"/>
      <c r="AI17" s="6"/>
    </row>
    <row r="18" spans="1:35" s="9" customFormat="1" ht="15" x14ac:dyDescent="0.25">
      <c r="B18" s="9" t="s">
        <v>31</v>
      </c>
      <c r="C18" s="9">
        <v>7.73</v>
      </c>
      <c r="D18" s="9">
        <v>5.01</v>
      </c>
      <c r="E18" s="9">
        <v>9.57</v>
      </c>
      <c r="F18" s="9">
        <v>-4.3499999999999996</v>
      </c>
      <c r="G18" s="9">
        <v>13.33</v>
      </c>
      <c r="H18" s="9">
        <v>4.54</v>
      </c>
      <c r="I18" s="9">
        <v>13.06</v>
      </c>
      <c r="J18" s="9">
        <f>AVERAGE(G18:I18)</f>
        <v>10.31</v>
      </c>
      <c r="K18" s="9">
        <v>9.5</v>
      </c>
      <c r="L18" s="9">
        <v>14.21</v>
      </c>
      <c r="M18" s="9">
        <v>10.119999999999999</v>
      </c>
      <c r="N18" s="9">
        <v>16.399999999999999</v>
      </c>
      <c r="O18" s="9">
        <v>9.8699999999999992</v>
      </c>
      <c r="P18" s="9">
        <v>10.130000000000001</v>
      </c>
      <c r="Q18" s="9">
        <v>16.399999999999999</v>
      </c>
      <c r="R18" s="9">
        <f>AVERAGE(O18:Q18)</f>
        <v>12.133333333333333</v>
      </c>
      <c r="S18" s="9">
        <v>26.29</v>
      </c>
      <c r="T18" s="9">
        <v>27.26</v>
      </c>
      <c r="U18" s="9">
        <v>27.99</v>
      </c>
      <c r="AB18" s="9">
        <f t="shared" si="12"/>
        <v>4.49</v>
      </c>
      <c r="AC18" s="9">
        <f t="shared" si="12"/>
        <v>5.8900000000000006</v>
      </c>
      <c r="AD18" s="9">
        <f t="shared" si="12"/>
        <v>5.7725</v>
      </c>
      <c r="AE18" s="9">
        <f t="shared" si="12"/>
        <v>6.6449999999999996</v>
      </c>
      <c r="AF18" s="10"/>
      <c r="AG18" s="10"/>
      <c r="AH18" s="10"/>
      <c r="AI18" s="10"/>
    </row>
    <row r="20" spans="1:35" x14ac:dyDescent="0.2">
      <c r="D20" s="7"/>
    </row>
    <row r="21" spans="1:35" x14ac:dyDescent="0.2">
      <c r="B21" s="4" t="s">
        <v>103</v>
      </c>
      <c r="C21" s="11">
        <f t="shared" ref="C21:T21" si="13">+C6/C4</f>
        <v>0.60424242424242425</v>
      </c>
      <c r="D21" s="11">
        <f t="shared" si="13"/>
        <v>0.60119184928873515</v>
      </c>
      <c r="E21" s="11">
        <f t="shared" si="13"/>
        <v>0.59858850640933314</v>
      </c>
      <c r="F21" s="11">
        <f t="shared" si="13"/>
        <v>0.55861151502026418</v>
      </c>
      <c r="G21" s="11">
        <f t="shared" si="13"/>
        <v>0.56761702947408976</v>
      </c>
      <c r="H21" s="11">
        <f t="shared" si="13"/>
        <v>0.57488440456869894</v>
      </c>
      <c r="I21" s="11">
        <f t="shared" si="13"/>
        <v>0.57673384706579722</v>
      </c>
      <c r="J21" s="11">
        <f t="shared" si="13"/>
        <v>0.54379264690905382</v>
      </c>
      <c r="K21" s="11">
        <f t="shared" si="13"/>
        <v>0.55937147417375277</v>
      </c>
      <c r="L21" s="11">
        <f t="shared" si="13"/>
        <v>0.55587510271158591</v>
      </c>
      <c r="M21" s="11">
        <f t="shared" si="13"/>
        <v>0.56621151139534309</v>
      </c>
      <c r="N21" s="11">
        <f t="shared" si="13"/>
        <v>0.54265479825872265</v>
      </c>
      <c r="O21" s="11">
        <f t="shared" si="13"/>
        <v>0.53881289632887097</v>
      </c>
      <c r="P21" s="11">
        <f t="shared" si="13"/>
        <v>0.51554952085019712</v>
      </c>
      <c r="Q21" s="11">
        <f t="shared" si="13"/>
        <v>0.54265479825872265</v>
      </c>
      <c r="R21" s="11">
        <f t="shared" si="13"/>
        <v>0.54163590987380927</v>
      </c>
      <c r="S21" s="11">
        <f t="shared" si="13"/>
        <v>0.56425136493473627</v>
      </c>
      <c r="T21" s="11">
        <f t="shared" si="13"/>
        <v>0.57616354234001288</v>
      </c>
      <c r="U21" s="11">
        <f>+U6/U4</f>
        <v>0.57583156730857832</v>
      </c>
      <c r="V21" s="11"/>
      <c r="W21" s="11"/>
      <c r="X21" s="11"/>
      <c r="AB21" s="11">
        <f>+AB12/AB4</f>
        <v>0.64705245591087457</v>
      </c>
      <c r="AC21" s="11">
        <f>+AC12/AC4</f>
        <v>0.62761750926406423</v>
      </c>
      <c r="AD21" s="11">
        <f>+AD12/AD4</f>
        <v>0.66790775215337594</v>
      </c>
      <c r="AE21" s="11">
        <f>+AE12/AE4</f>
        <v>0.69006777079555348</v>
      </c>
      <c r="AF21" s="11"/>
      <c r="AG21" s="11"/>
      <c r="AH21" s="11"/>
      <c r="AI21" s="11"/>
    </row>
    <row r="22" spans="1:35" s="5" customFormat="1" ht="15" x14ac:dyDescent="0.25">
      <c r="B22" s="12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AB22" s="13"/>
      <c r="AC22" s="13"/>
      <c r="AD22" s="13"/>
      <c r="AE22" s="13"/>
      <c r="AF22" s="13"/>
      <c r="AG22" s="13"/>
      <c r="AH22" s="13"/>
      <c r="AI22" s="13"/>
    </row>
    <row r="23" spans="1:35" x14ac:dyDescent="0.2">
      <c r="B23" s="4" t="s">
        <v>101</v>
      </c>
      <c r="C23" s="11">
        <f t="shared" ref="C23:T23" si="14">+C12/C4</f>
        <v>0.66113131313131313</v>
      </c>
      <c r="D23" s="11">
        <f t="shared" si="14"/>
        <v>0.55767012687427908</v>
      </c>
      <c r="E23" s="11">
        <f t="shared" si="14"/>
        <v>0.68162177732968454</v>
      </c>
      <c r="F23" s="11">
        <f t="shared" si="14"/>
        <v>0.67849518918417229</v>
      </c>
      <c r="G23" s="11">
        <f t="shared" si="14"/>
        <v>0.65716303859243563</v>
      </c>
      <c r="H23" s="11">
        <f t="shared" si="14"/>
        <v>0.51106960222923115</v>
      </c>
      <c r="I23" s="11">
        <f t="shared" si="14"/>
        <v>0.66956135151155893</v>
      </c>
      <c r="J23" s="11">
        <f t="shared" si="14"/>
        <v>0.66506263366941643</v>
      </c>
      <c r="K23" s="11">
        <f t="shared" si="14"/>
        <v>0.62247172459341205</v>
      </c>
      <c r="L23" s="11">
        <f t="shared" si="14"/>
        <v>0.67984798685291703</v>
      </c>
      <c r="M23" s="11">
        <f t="shared" si="14"/>
        <v>0.66038667621422753</v>
      </c>
      <c r="N23" s="11">
        <f t="shared" si="14"/>
        <v>0.70019275334069697</v>
      </c>
      <c r="O23" s="11">
        <f t="shared" si="14"/>
        <v>0.6549964770767025</v>
      </c>
      <c r="P23" s="11">
        <f t="shared" si="14"/>
        <v>0.6511214977674491</v>
      </c>
      <c r="Q23" s="11">
        <f t="shared" si="14"/>
        <v>0.70019275334069697</v>
      </c>
      <c r="R23" s="11">
        <f t="shared" si="14"/>
        <v>0.73343527013251786</v>
      </c>
      <c r="S23" s="11">
        <f t="shared" si="14"/>
        <v>0.73290667823697442</v>
      </c>
      <c r="T23" s="11">
        <f t="shared" si="14"/>
        <v>0.73671622495151912</v>
      </c>
      <c r="U23" s="11">
        <f>+U12/U4</f>
        <v>0.74713596854940267</v>
      </c>
      <c r="V23" s="11"/>
      <c r="W23" s="11"/>
      <c r="X23" s="11"/>
      <c r="AB23" s="11"/>
      <c r="AC23" s="11"/>
      <c r="AD23" s="11"/>
      <c r="AE23" s="11"/>
      <c r="AF23" s="11"/>
      <c r="AG23" s="11"/>
      <c r="AH23" s="11"/>
      <c r="AI23" s="11"/>
    </row>
    <row r="24" spans="1:35" x14ac:dyDescent="0.2">
      <c r="B24" s="4" t="s">
        <v>29</v>
      </c>
      <c r="C24" s="11">
        <f t="shared" ref="C24:U24" si="15">+C16/C4</f>
        <v>0.61498989898989898</v>
      </c>
      <c r="D24" s="11">
        <f t="shared" si="15"/>
        <v>0.5342945021145713</v>
      </c>
      <c r="E24" s="11">
        <f t="shared" si="15"/>
        <v>0.64381391329396509</v>
      </c>
      <c r="F24" s="11">
        <f t="shared" si="15"/>
        <v>0.34795656343779968</v>
      </c>
      <c r="G24" s="11">
        <f t="shared" si="15"/>
        <v>0.7342194824375522</v>
      </c>
      <c r="H24" s="11">
        <f t="shared" si="15"/>
        <v>0.52295066907554277</v>
      </c>
      <c r="I24" s="11">
        <f t="shared" si="15"/>
        <v>0.69570243034973323</v>
      </c>
      <c r="J24" s="11">
        <f t="shared" si="15"/>
        <v>1.1354262144821266</v>
      </c>
      <c r="K24" s="11">
        <f t="shared" si="15"/>
        <v>0.62382013814359227</v>
      </c>
      <c r="L24" s="11">
        <f t="shared" si="15"/>
        <v>0.69954293344289231</v>
      </c>
      <c r="M24" s="11">
        <f t="shared" si="15"/>
        <v>0.6083113163287982</v>
      </c>
      <c r="N24" s="11">
        <f t="shared" si="15"/>
        <v>0.70092911441751671</v>
      </c>
      <c r="O24" s="11">
        <f t="shared" si="15"/>
        <v>0.62727471512913335</v>
      </c>
      <c r="P24" s="11">
        <f t="shared" si="15"/>
        <v>0.66616184035303028</v>
      </c>
      <c r="Q24" s="11">
        <f t="shared" si="15"/>
        <v>0.70092911441751671</v>
      </c>
      <c r="R24" s="11">
        <f t="shared" si="15"/>
        <v>0.72598333860592634</v>
      </c>
      <c r="S24" s="11">
        <f t="shared" si="15"/>
        <v>0.75989803666341249</v>
      </c>
      <c r="T24" s="11">
        <f t="shared" si="15"/>
        <v>0.72320620555914672</v>
      </c>
      <c r="U24" s="11">
        <f t="shared" si="15"/>
        <v>0.71496360453330876</v>
      </c>
      <c r="V24" s="11"/>
      <c r="W24" s="11"/>
      <c r="X24" s="11"/>
      <c r="AB24" s="11">
        <f>+AB16/AB4</f>
        <v>0.52541608407379004</v>
      </c>
      <c r="AC24" s="11">
        <f>+AC16/AC4</f>
        <v>0.78946637528413455</v>
      </c>
      <c r="AD24" s="11">
        <f>+AD16/AD4</f>
        <v>0.66013398783612731</v>
      </c>
      <c r="AE24" s="11">
        <f>+AE16/AE4</f>
        <v>0.68483566814772612</v>
      </c>
      <c r="AF24" s="11"/>
      <c r="AG24" s="11"/>
      <c r="AH24" s="11"/>
      <c r="AI24" s="11"/>
    </row>
    <row r="25" spans="1:35" x14ac:dyDescent="0.2">
      <c r="B25" s="4" t="s">
        <v>30</v>
      </c>
      <c r="C25" s="11">
        <f t="shared" ref="C25:E25" si="16">+C15/C14</f>
        <v>8.3844950042133146E-2</v>
      </c>
      <c r="D25" s="11">
        <f t="shared" si="16"/>
        <v>5.783050847457627E-2</v>
      </c>
      <c r="E25" s="11">
        <f t="shared" si="16"/>
        <v>6.519579651801119E-2</v>
      </c>
      <c r="F25" s="11">
        <f>+F15/F14</f>
        <v>0.49531074713933138</v>
      </c>
      <c r="G25" s="11">
        <f t="shared" ref="G25:U25" si="17">+G15/G14</f>
        <v>4.7563515201999168E-2</v>
      </c>
      <c r="H25" s="11">
        <f t="shared" si="17"/>
        <v>5.6359818764504369E-2</v>
      </c>
      <c r="I25" s="11">
        <f t="shared" si="17"/>
        <v>3.6570349696273187E-2</v>
      </c>
      <c r="J25" s="11">
        <f t="shared" si="17"/>
        <v>2.4584964675517837E-2</v>
      </c>
      <c r="K25" s="11">
        <f t="shared" si="17"/>
        <v>6.1635897011341999E-2</v>
      </c>
      <c r="L25" s="11">
        <f t="shared" si="17"/>
        <v>7.4720646673233027E-2</v>
      </c>
      <c r="M25" s="11">
        <f t="shared" si="17"/>
        <v>5.955107650022904E-2</v>
      </c>
      <c r="N25" s="11">
        <f t="shared" si="17"/>
        <v>6.1260006961364424E-2</v>
      </c>
      <c r="O25" s="11">
        <f t="shared" si="17"/>
        <v>3.4444070458880288E-2</v>
      </c>
      <c r="P25" s="11">
        <f t="shared" si="17"/>
        <v>4.9124114796869178E-2</v>
      </c>
      <c r="Q25" s="11">
        <f t="shared" si="17"/>
        <v>6.1260006961364424E-2</v>
      </c>
      <c r="R25" s="11">
        <f t="shared" si="17"/>
        <v>7.7330295516987196E-2</v>
      </c>
      <c r="S25" s="11">
        <f t="shared" si="17"/>
        <v>7.3877407129951972E-2</v>
      </c>
      <c r="T25" s="11">
        <f t="shared" si="17"/>
        <v>7.1766365220277115E-2</v>
      </c>
      <c r="U25" s="11">
        <f t="shared" si="17"/>
        <v>8.1444214264575321E-2</v>
      </c>
      <c r="V25" s="11"/>
      <c r="W25" s="11"/>
      <c r="X25" s="11"/>
      <c r="AB25" s="11">
        <f>+AB15/AB14</f>
        <v>0.19966747279322852</v>
      </c>
      <c r="AC25" s="11">
        <f>+AC15/AC14</f>
        <v>3.7231150448788226E-2</v>
      </c>
      <c r="AD25" s="11">
        <f t="shared" ref="AD25:AE25" si="18">+AD15/AD14</f>
        <v>6.4415916270685117E-2</v>
      </c>
      <c r="AE25" s="11">
        <f t="shared" si="18"/>
        <v>5.8826629722770189E-2</v>
      </c>
      <c r="AF25" s="11"/>
      <c r="AG25" s="11"/>
      <c r="AH25" s="11"/>
      <c r="AI25" s="11"/>
    </row>
    <row r="26" spans="1:35" x14ac:dyDescent="0.2">
      <c r="D26" s="11"/>
      <c r="E26" s="11"/>
      <c r="F26" s="11"/>
      <c r="G26" s="11"/>
      <c r="H26" s="11"/>
      <c r="I26" s="11"/>
      <c r="J26" s="11"/>
      <c r="K26" s="11"/>
      <c r="L26" s="11"/>
    </row>
    <row r="27" spans="1:35" x14ac:dyDescent="0.2">
      <c r="B27" s="4" t="s">
        <v>36</v>
      </c>
      <c r="D27" s="11"/>
      <c r="E27" s="11"/>
      <c r="F27" s="11"/>
      <c r="G27" s="11">
        <f t="shared" ref="G27:U27" si="19">+G4/C4-1</f>
        <v>0.25842424242424245</v>
      </c>
      <c r="H27" s="11">
        <f t="shared" si="19"/>
        <v>0.25555555555555554</v>
      </c>
      <c r="I27" s="11">
        <f t="shared" si="19"/>
        <v>0.21489269768111763</v>
      </c>
      <c r="J27" s="11">
        <f t="shared" si="19"/>
        <v>0.21510998360300704</v>
      </c>
      <c r="K27" s="11">
        <f t="shared" si="19"/>
        <v>0.16673088036987083</v>
      </c>
      <c r="L27" s="11">
        <f t="shared" si="19"/>
        <v>0.19251615273907574</v>
      </c>
      <c r="M27" s="11">
        <f t="shared" si="19"/>
        <v>0.2003260225251926</v>
      </c>
      <c r="N27" s="11">
        <f t="shared" si="19"/>
        <v>0.1756034219370608</v>
      </c>
      <c r="O27" s="11">
        <f t="shared" si="19"/>
        <v>0.13263986350752632</v>
      </c>
      <c r="P27" s="11">
        <f t="shared" si="19"/>
        <v>-1.6613599013968749E-2</v>
      </c>
      <c r="Q27" s="11">
        <f t="shared" si="19"/>
        <v>0.14010222474628997</v>
      </c>
      <c r="R27" s="11">
        <f t="shared" si="19"/>
        <v>0.23227860437918268</v>
      </c>
      <c r="S27" s="11">
        <f t="shared" si="19"/>
        <v>0.34391020189994892</v>
      </c>
      <c r="T27" s="11">
        <f t="shared" si="19"/>
        <v>0.61579235971486024</v>
      </c>
      <c r="U27" s="11">
        <f t="shared" si="19"/>
        <v>0.41030472353973102</v>
      </c>
      <c r="V27" s="11"/>
      <c r="W27" s="11"/>
      <c r="X27" s="11"/>
      <c r="Z27" s="11">
        <f t="shared" ref="Z27:AF27" si="20">+Z4/Y4-1</f>
        <v>0.13617975485219924</v>
      </c>
      <c r="AA27" s="11">
        <f t="shared" si="20"/>
        <v>0.20380322447292265</v>
      </c>
      <c r="AB27" s="11">
        <f t="shared" si="20"/>
        <v>0.22801090038993266</v>
      </c>
      <c r="AC27" s="11">
        <f t="shared" si="20"/>
        <v>0.23421586757475987</v>
      </c>
      <c r="AD27" s="11">
        <f t="shared" si="20"/>
        <v>0.18371717378434282</v>
      </c>
      <c r="AE27" s="11">
        <f t="shared" si="20"/>
        <v>0.12702293847056279</v>
      </c>
      <c r="AF27" s="11">
        <f t="shared" si="20"/>
        <v>0.3600000000000001</v>
      </c>
      <c r="AG27" s="11"/>
      <c r="AH27" s="11"/>
      <c r="AI27" s="11"/>
    </row>
    <row r="28" spans="1:35" x14ac:dyDescent="0.2">
      <c r="B28" s="4" t="s">
        <v>37</v>
      </c>
      <c r="G28" s="11">
        <f>+G16/C16-1</f>
        <v>0.50239800275934554</v>
      </c>
      <c r="H28" s="11">
        <f>+H16/D16-1</f>
        <v>0.22889832337914662</v>
      </c>
      <c r="I28" s="11">
        <f t="shared" ref="I28:S28" si="21">+I16/E16-1</f>
        <v>0.31280760626398219</v>
      </c>
      <c r="J28" s="11">
        <f>J16/F16-1</f>
        <v>2.9650573486263005</v>
      </c>
      <c r="K28" s="11">
        <f t="shared" si="21"/>
        <v>-8.7021164946650131E-3</v>
      </c>
      <c r="L28" s="11">
        <f>+L16/H16-1</f>
        <v>0.59521021196861468</v>
      </c>
      <c r="M28" s="11">
        <f t="shared" si="21"/>
        <v>4.9546287223618535E-2</v>
      </c>
      <c r="N28" s="11">
        <f>+N16/J16-1</f>
        <v>-0.27426841574167504</v>
      </c>
      <c r="O28" s="11">
        <f t="shared" si="21"/>
        <v>0.13891217080594642</v>
      </c>
      <c r="P28" s="11">
        <f t="shared" si="21"/>
        <v>-6.3539257790992232E-2</v>
      </c>
      <c r="Q28" s="11">
        <f t="shared" si="21"/>
        <v>0.31368728689722358</v>
      </c>
      <c r="R28" s="11">
        <f>+R16/N16-1</f>
        <v>0.27632554690396738</v>
      </c>
      <c r="S28" s="11">
        <f t="shared" si="21"/>
        <v>0.62805019753660241</v>
      </c>
      <c r="T28" s="11">
        <f>+T16/P16-1</f>
        <v>0.75415490749451242</v>
      </c>
      <c r="U28" s="11">
        <f>+U16/Q16-1</f>
        <v>0.4385428253615129</v>
      </c>
      <c r="V28" s="11"/>
      <c r="W28" s="11"/>
      <c r="X28" s="11"/>
      <c r="Y28" s="11"/>
      <c r="Z28" s="11"/>
      <c r="AA28" s="11"/>
      <c r="AB28" s="11"/>
      <c r="AC28" s="11">
        <f>+AC16/AB16-1</f>
        <v>0.8544767791226715</v>
      </c>
      <c r="AD28" s="11">
        <f>+AD16/AC16-1</f>
        <v>-1.0202381172810915E-2</v>
      </c>
      <c r="AE28" s="11">
        <f>+AE16/AD16-1</f>
        <v>0.16919522598024539</v>
      </c>
      <c r="AF28" s="11"/>
      <c r="AG28" s="11"/>
    </row>
    <row r="29" spans="1:35" x14ac:dyDescent="0.2">
      <c r="V29" s="11"/>
      <c r="W29" s="11"/>
      <c r="X29" s="11"/>
      <c r="Y29" s="11"/>
    </row>
    <row r="30" spans="1:35" x14ac:dyDescent="0.2">
      <c r="B30" s="4" t="s">
        <v>94</v>
      </c>
      <c r="G30" s="11">
        <f t="shared" ref="G30:U30" si="22">+G5/C5-1</f>
        <v>0.37488514548238894</v>
      </c>
      <c r="H30" s="11">
        <f t="shared" si="22"/>
        <v>0.33837848259905523</v>
      </c>
      <c r="I30" s="11">
        <f t="shared" si="22"/>
        <v>0.28103695730175815</v>
      </c>
      <c r="J30" s="11">
        <f t="shared" si="22"/>
        <v>0.25590523585897529</v>
      </c>
      <c r="K30" s="11">
        <f t="shared" si="22"/>
        <v>0.18898047078042612</v>
      </c>
      <c r="L30" s="11">
        <f t="shared" si="22"/>
        <v>0.24584023626017437</v>
      </c>
      <c r="M30" s="11">
        <f t="shared" si="22"/>
        <v>0.23016595476507251</v>
      </c>
      <c r="N30" s="11">
        <f t="shared" si="22"/>
        <v>0.17853555084272799</v>
      </c>
      <c r="O30" s="11">
        <f t="shared" si="22"/>
        <v>0.18548588558581058</v>
      </c>
      <c r="P30" s="11">
        <f t="shared" si="22"/>
        <v>7.2675763182238562E-2</v>
      </c>
      <c r="Q30" s="11">
        <f t="shared" si="22"/>
        <v>0.20201502732240439</v>
      </c>
      <c r="R30" s="11">
        <f t="shared" si="22"/>
        <v>0.23502391438177761</v>
      </c>
      <c r="S30" s="11">
        <f t="shared" si="22"/>
        <v>0.26978189864081759</v>
      </c>
      <c r="T30" s="11">
        <f t="shared" si="22"/>
        <v>0.41362582870694764</v>
      </c>
      <c r="U30" s="11">
        <f t="shared" si="22"/>
        <v>0.30799829521238808</v>
      </c>
      <c r="V30" s="11"/>
      <c r="W30" s="11"/>
      <c r="X30" s="11"/>
      <c r="Y30" s="11"/>
      <c r="AB30" s="11"/>
      <c r="AC30" s="11">
        <f>+AC5/AB5-1</f>
        <v>0.30638615273237835</v>
      </c>
      <c r="AD30" s="11">
        <f>+AD5/AC5-1</f>
        <v>0.20897076357285593</v>
      </c>
      <c r="AE30" s="11">
        <f>+AE5/AD5-1</f>
        <v>0.17694775880988423</v>
      </c>
    </row>
    <row r="31" spans="1:35" x14ac:dyDescent="0.2">
      <c r="B31" s="4" t="s">
        <v>95</v>
      </c>
      <c r="G31" s="11">
        <f t="shared" ref="G31:U33" si="23">+G7/C7-1</f>
        <v>0.27828513444951808</v>
      </c>
      <c r="H31" s="11">
        <f t="shared" si="23"/>
        <v>0.22579098753595406</v>
      </c>
      <c r="I31" s="11">
        <f t="shared" si="23"/>
        <v>0.24423305588585009</v>
      </c>
      <c r="J31" s="11">
        <f t="shared" si="23"/>
        <v>0.4013005109150023</v>
      </c>
      <c r="K31" s="11">
        <f t="shared" si="23"/>
        <v>0.19646755308592967</v>
      </c>
      <c r="L31" s="11">
        <f t="shared" si="23"/>
        <v>0.21490027375831056</v>
      </c>
      <c r="M31" s="11">
        <f t="shared" si="23"/>
        <v>0.25267584097859319</v>
      </c>
      <c r="N31" s="11">
        <f t="shared" si="23"/>
        <v>0.13622804110043085</v>
      </c>
      <c r="O31" s="11">
        <f t="shared" si="23"/>
        <v>0.1311992038480676</v>
      </c>
      <c r="P31" s="11">
        <f t="shared" si="23"/>
        <v>0.10655078062127799</v>
      </c>
      <c r="Q31" s="11">
        <f t="shared" si="23"/>
        <v>4.607873054623135E-2</v>
      </c>
      <c r="R31" s="11">
        <f t="shared" si="23"/>
        <v>2.421236872812127E-2</v>
      </c>
      <c r="S31" s="11">
        <f t="shared" si="23"/>
        <v>9.7507331378299034E-2</v>
      </c>
      <c r="T31" s="11">
        <f t="shared" si="23"/>
        <v>0.11636363636363645</v>
      </c>
      <c r="U31" s="11">
        <f t="shared" si="23"/>
        <v>0.12222870478413062</v>
      </c>
      <c r="V31" s="11"/>
      <c r="W31" s="11"/>
      <c r="X31" s="11"/>
      <c r="Y31" s="11"/>
      <c r="AB31" s="11"/>
      <c r="AC31" s="11">
        <f t="shared" ref="AC31:AD31" si="24">+AC7/AB7-1</f>
        <v>0.28836090225563904</v>
      </c>
      <c r="AD31" s="11">
        <f t="shared" si="24"/>
        <v>0.19762827396236982</v>
      </c>
      <c r="AE31" s="11">
        <f>+AE7/AD7-1</f>
        <v>7.4886948386090779E-2</v>
      </c>
    </row>
    <row r="32" spans="1:35" x14ac:dyDescent="0.2">
      <c r="B32" s="4" t="s">
        <v>97</v>
      </c>
      <c r="G32" s="11">
        <f t="shared" si="23"/>
        <v>0.36308623298033282</v>
      </c>
      <c r="H32" s="11">
        <f t="shared" si="23"/>
        <v>0.30479806696582679</v>
      </c>
      <c r="I32" s="11">
        <f t="shared" si="23"/>
        <v>0.26528599605522674</v>
      </c>
      <c r="J32" s="11">
        <f t="shared" si="23"/>
        <v>0.18329466357308588</v>
      </c>
      <c r="K32" s="11">
        <f t="shared" si="23"/>
        <v>8.3518312985571663E-2</v>
      </c>
      <c r="L32" s="11">
        <f t="shared" si="23"/>
        <v>0.11428571428571432</v>
      </c>
      <c r="M32" s="11">
        <f t="shared" si="23"/>
        <v>0.19745388412574694</v>
      </c>
      <c r="N32" s="11">
        <f t="shared" si="23"/>
        <v>-0.17039215686274511</v>
      </c>
      <c r="O32" s="11">
        <f t="shared" si="23"/>
        <v>0.15236875800256078</v>
      </c>
      <c r="P32" s="11">
        <f t="shared" si="23"/>
        <v>-7.3836657169990549E-2</v>
      </c>
      <c r="Q32" s="11">
        <f t="shared" si="23"/>
        <v>-8.2013451941852944E-2</v>
      </c>
      <c r="R32" s="11">
        <f t="shared" si="23"/>
        <v>0.2559678562987473</v>
      </c>
      <c r="S32" s="11">
        <f t="shared" si="23"/>
        <v>3.555555555555534E-3</v>
      </c>
      <c r="T32" s="11">
        <f t="shared" si="23"/>
        <v>0.35247372468597793</v>
      </c>
      <c r="U32" s="11">
        <f t="shared" si="23"/>
        <v>0.30371070668872613</v>
      </c>
      <c r="AB32" s="11"/>
      <c r="AC32" s="11">
        <f>+AC8/AB8-1</f>
        <v>0.2668114480725976</v>
      </c>
      <c r="AD32" s="11">
        <f t="shared" ref="AD32" si="25">+AD8/AC8-1</f>
        <v>3.820486132370049E-2</v>
      </c>
      <c r="AE32" s="11">
        <f>+AE8/AD8-1</f>
        <v>5.8323995989856714E-2</v>
      </c>
      <c r="AF32" s="11"/>
    </row>
    <row r="33" spans="2:35" x14ac:dyDescent="0.2">
      <c r="B33" s="4" t="s">
        <v>96</v>
      </c>
      <c r="G33" s="11">
        <f t="shared" si="23"/>
        <v>0.12992781787895624</v>
      </c>
      <c r="H33" s="11">
        <f t="shared" si="23"/>
        <v>0.17764705882352949</v>
      </c>
      <c r="I33" s="11">
        <f t="shared" si="23"/>
        <v>0.29655172413793096</v>
      </c>
      <c r="J33" s="11">
        <f t="shared" si="23"/>
        <v>0.13795045045045051</v>
      </c>
      <c r="K33" s="11">
        <f t="shared" si="23"/>
        <v>2.604422604422596E-2</v>
      </c>
      <c r="L33" s="11">
        <f t="shared" si="23"/>
        <v>2.0479520479520508E-2</v>
      </c>
      <c r="M33" s="11">
        <f t="shared" si="23"/>
        <v>0.25290135396518365</v>
      </c>
      <c r="N33" s="11">
        <f t="shared" si="23"/>
        <v>0.36368134586838208</v>
      </c>
      <c r="O33" s="11">
        <f t="shared" si="23"/>
        <v>0.3793103448275863</v>
      </c>
      <c r="P33" s="11">
        <f t="shared" si="23"/>
        <v>0.26529613313754274</v>
      </c>
      <c r="Q33" s="11">
        <f t="shared" si="23"/>
        <v>6.3681976071015001E-2</v>
      </c>
      <c r="R33" s="11">
        <f t="shared" si="23"/>
        <v>2.7213352685050873E-2</v>
      </c>
      <c r="S33" s="11">
        <f t="shared" si="23"/>
        <v>-3.7152777777777812E-2</v>
      </c>
      <c r="T33" s="11">
        <f t="shared" si="23"/>
        <v>0.29245647969052224</v>
      </c>
      <c r="U33" s="11">
        <f t="shared" si="23"/>
        <v>0.1814223512336719</v>
      </c>
      <c r="AB33" s="11"/>
      <c r="AC33" s="11">
        <f t="shared" ref="AC33:AD33" si="26">+AC9/AB9-1</f>
        <v>0.18247962747380675</v>
      </c>
      <c r="AD33" s="11">
        <f t="shared" si="26"/>
        <v>0.1663795225203053</v>
      </c>
      <c r="AE33" s="11">
        <f>+AE9/AD9-1</f>
        <v>0.16606879088415272</v>
      </c>
      <c r="AF33" s="11"/>
    </row>
    <row r="34" spans="2:35" x14ac:dyDescent="0.2">
      <c r="AD34" s="7"/>
      <c r="AF34" s="11"/>
    </row>
    <row r="35" spans="2:35" x14ac:dyDescent="0.2">
      <c r="AD35" s="7"/>
      <c r="AF35" s="11"/>
    </row>
    <row r="36" spans="2:35" x14ac:dyDescent="0.2">
      <c r="AD36" s="7"/>
      <c r="AF36" s="11"/>
    </row>
    <row r="37" spans="2:35" x14ac:dyDescent="0.2">
      <c r="AD37" s="7"/>
      <c r="AF37" s="11"/>
    </row>
    <row r="38" spans="2:35" x14ac:dyDescent="0.2">
      <c r="AD38" s="7"/>
      <c r="AF38" s="11"/>
    </row>
    <row r="39" spans="2:35" ht="15" x14ac:dyDescent="0.25">
      <c r="B39" s="5" t="s">
        <v>93</v>
      </c>
      <c r="C39" s="6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6">
        <f>+AB40-AB52</f>
        <v>88276</v>
      </c>
      <c r="AD39" s="6">
        <f>+AD40-AD52</f>
        <v>128199</v>
      </c>
      <c r="AE39" s="6">
        <f>+AE40-AE52</f>
        <v>143465</v>
      </c>
      <c r="AF39" s="11"/>
    </row>
    <row r="40" spans="2:35" ht="15" x14ac:dyDescent="0.25">
      <c r="B40" s="5" t="s">
        <v>50</v>
      </c>
      <c r="C40" s="6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6">
        <f>86333+5878</f>
        <v>92211</v>
      </c>
      <c r="AD40" s="6">
        <f>18498+101177+13078</f>
        <v>132753</v>
      </c>
      <c r="AE40" s="6">
        <f>136694+20703</f>
        <v>157397</v>
      </c>
    </row>
    <row r="41" spans="2:35" x14ac:dyDescent="0.2">
      <c r="B41" s="4" t="s">
        <v>72</v>
      </c>
      <c r="N41" s="11"/>
      <c r="AB41" s="7">
        <v>14137</v>
      </c>
      <c r="AD41" s="7">
        <v>25326</v>
      </c>
      <c r="AE41" s="7">
        <v>30930</v>
      </c>
      <c r="AI41" s="11"/>
    </row>
    <row r="42" spans="2:35" x14ac:dyDescent="0.2">
      <c r="B42" s="4" t="s">
        <v>73</v>
      </c>
      <c r="AB42" s="7">
        <v>95</v>
      </c>
      <c r="AD42" s="7">
        <v>2166</v>
      </c>
      <c r="AE42" s="7">
        <v>454</v>
      </c>
      <c r="AI42" s="14"/>
    </row>
    <row r="43" spans="2:35" x14ac:dyDescent="0.2">
      <c r="B43" s="4" t="s">
        <v>74</v>
      </c>
      <c r="AB43" s="7">
        <v>268</v>
      </c>
      <c r="AD43" s="7">
        <v>999</v>
      </c>
      <c r="AE43" s="7">
        <v>728</v>
      </c>
      <c r="AI43" s="14"/>
    </row>
    <row r="44" spans="2:35" x14ac:dyDescent="0.2">
      <c r="B44" s="4" t="s">
        <v>80</v>
      </c>
      <c r="AB44" s="7">
        <v>4575</v>
      </c>
      <c r="AD44" s="7">
        <v>4412</v>
      </c>
      <c r="AE44" s="7">
        <v>5490</v>
      </c>
      <c r="AI44" s="15"/>
    </row>
    <row r="45" spans="2:35" x14ac:dyDescent="0.2">
      <c r="B45" s="4" t="s">
        <v>76</v>
      </c>
      <c r="AB45" s="7">
        <v>383</v>
      </c>
      <c r="AD45" s="7">
        <v>721</v>
      </c>
      <c r="AE45" s="7">
        <v>1084</v>
      </c>
      <c r="AI45" s="7"/>
    </row>
    <row r="46" spans="2:35" x14ac:dyDescent="0.2">
      <c r="B46" s="4" t="s">
        <v>77</v>
      </c>
      <c r="AB46" s="7">
        <v>34234</v>
      </c>
      <c r="AD46" s="7">
        <v>73646</v>
      </c>
      <c r="AE46" s="7">
        <v>84749</v>
      </c>
      <c r="AI46" s="15"/>
    </row>
    <row r="47" spans="2:35" x14ac:dyDescent="0.2">
      <c r="B47" s="4" t="s">
        <v>78</v>
      </c>
      <c r="AB47" s="7">
        <v>0</v>
      </c>
      <c r="AD47" s="7">
        <v>10941</v>
      </c>
      <c r="AE47" s="7">
        <v>12211</v>
      </c>
    </row>
    <row r="48" spans="2:35" x14ac:dyDescent="0.2">
      <c r="B48" s="4" t="s">
        <v>79</v>
      </c>
      <c r="AB48" s="7">
        <f>16468+3307</f>
        <v>19775</v>
      </c>
      <c r="AD48" s="7">
        <f>1979+20624</f>
        <v>22603</v>
      </c>
      <c r="AE48" s="7">
        <v>1445</v>
      </c>
      <c r="AI48" s="7"/>
    </row>
    <row r="49" spans="2:35" x14ac:dyDescent="0.2">
      <c r="B49" s="4" t="s">
        <v>81</v>
      </c>
      <c r="AB49" s="7">
        <v>1819</v>
      </c>
      <c r="AD49" s="7">
        <v>2342</v>
      </c>
      <c r="AE49" s="7">
        <v>21175</v>
      </c>
    </row>
    <row r="50" spans="2:35" x14ac:dyDescent="0.2">
      <c r="B50" s="4" t="s">
        <v>82</v>
      </c>
      <c r="AB50" s="7">
        <f>SUM(AB40:AB49)</f>
        <v>167497</v>
      </c>
      <c r="AD50" s="7">
        <f>SUM(AD40:AD49)</f>
        <v>275909</v>
      </c>
      <c r="AE50" s="7">
        <f>SUM(AE40:AE49)</f>
        <v>315663</v>
      </c>
    </row>
    <row r="51" spans="2:35" x14ac:dyDescent="0.2">
      <c r="AC51" s="7"/>
      <c r="AD51" s="7"/>
      <c r="AE51" s="7"/>
    </row>
    <row r="52" spans="2:35" s="5" customFormat="1" ht="15" x14ac:dyDescent="0.25">
      <c r="B52" s="5" t="s">
        <v>51</v>
      </c>
      <c r="C52" s="6"/>
      <c r="AB52" s="6">
        <v>3935</v>
      </c>
      <c r="AD52" s="6">
        <v>4554</v>
      </c>
      <c r="AE52" s="6">
        <v>13932</v>
      </c>
    </row>
    <row r="53" spans="2:35" x14ac:dyDescent="0.2">
      <c r="B53" s="4" t="s">
        <v>83</v>
      </c>
      <c r="AB53" s="7">
        <v>2041</v>
      </c>
      <c r="AD53" s="7">
        <v>5561</v>
      </c>
      <c r="AE53" s="7">
        <v>5589</v>
      </c>
    </row>
    <row r="54" spans="2:35" x14ac:dyDescent="0.2">
      <c r="B54" s="4" t="s">
        <v>84</v>
      </c>
      <c r="AB54" s="7">
        <v>3976</v>
      </c>
      <c r="AD54" s="7">
        <v>8495</v>
      </c>
      <c r="AE54" s="7">
        <v>11086</v>
      </c>
    </row>
    <row r="55" spans="2:35" x14ac:dyDescent="0.2">
      <c r="B55" s="4" t="s">
        <v>85</v>
      </c>
      <c r="M55" s="4" t="s">
        <v>42</v>
      </c>
      <c r="AB55" s="7">
        <v>6144</v>
      </c>
      <c r="AD55" s="7">
        <v>23067</v>
      </c>
      <c r="AE55" s="7">
        <v>28631</v>
      </c>
      <c r="AH55" s="4" t="s">
        <v>38</v>
      </c>
      <c r="AI55" s="11">
        <v>-0.05</v>
      </c>
    </row>
    <row r="56" spans="2:35" x14ac:dyDescent="0.2">
      <c r="B56" s="4" t="s">
        <v>86</v>
      </c>
      <c r="AB56" s="7">
        <v>2942</v>
      </c>
      <c r="AD56" s="7">
        <v>5916</v>
      </c>
      <c r="AE56" s="7">
        <v>7500</v>
      </c>
      <c r="AH56" s="4" t="s">
        <v>39</v>
      </c>
      <c r="AI56" s="11">
        <v>0.04</v>
      </c>
    </row>
    <row r="57" spans="2:35" x14ac:dyDescent="0.2">
      <c r="B57" s="4" t="s">
        <v>87</v>
      </c>
      <c r="AB57" s="7">
        <v>1099</v>
      </c>
      <c r="AD57" s="7">
        <v>1908</v>
      </c>
      <c r="AE57" s="7">
        <v>2543</v>
      </c>
      <c r="AH57" s="4" t="s">
        <v>40</v>
      </c>
      <c r="AI57" s="7">
        <f>+NPV(AI56,AF16:CN16)</f>
        <v>0</v>
      </c>
    </row>
    <row r="58" spans="2:35" x14ac:dyDescent="0.2">
      <c r="B58" s="4" t="s">
        <v>88</v>
      </c>
      <c r="AB58" s="7">
        <v>554</v>
      </c>
      <c r="AD58" s="7">
        <v>274</v>
      </c>
      <c r="AE58" s="7">
        <v>1485</v>
      </c>
      <c r="AH58" s="4" t="s">
        <v>41</v>
      </c>
      <c r="AI58" s="7">
        <v>122762</v>
      </c>
    </row>
    <row r="59" spans="2:35" x14ac:dyDescent="0.2">
      <c r="B59" s="4" t="s">
        <v>89</v>
      </c>
      <c r="AB59" s="7">
        <v>202</v>
      </c>
      <c r="AD59" s="7">
        <v>358</v>
      </c>
      <c r="AE59" s="7">
        <v>481</v>
      </c>
      <c r="AH59" s="4" t="s">
        <v>43</v>
      </c>
      <c r="AI59" s="7">
        <f>+AI57+AI58</f>
        <v>122762</v>
      </c>
    </row>
    <row r="60" spans="2:35" x14ac:dyDescent="0.2">
      <c r="B60" s="4" t="s">
        <v>91</v>
      </c>
      <c r="AB60" s="7">
        <v>4677</v>
      </c>
      <c r="AD60" s="7">
        <v>9885</v>
      </c>
      <c r="AE60" s="7">
        <v>8849</v>
      </c>
      <c r="AH60" s="4" t="s">
        <v>44</v>
      </c>
      <c r="AI60" s="7">
        <f>+AI59/662</f>
        <v>185.44108761329306</v>
      </c>
    </row>
    <row r="61" spans="2:35" x14ac:dyDescent="0.2">
      <c r="B61" s="4" t="s">
        <v>90</v>
      </c>
      <c r="AB61" s="7">
        <v>226</v>
      </c>
      <c r="AD61" s="7">
        <v>1701</v>
      </c>
      <c r="AE61" s="7">
        <v>3561</v>
      </c>
      <c r="AH61" s="4" t="s">
        <v>45</v>
      </c>
      <c r="AI61" s="7">
        <v>2922.4</v>
      </c>
    </row>
    <row r="62" spans="2:35" x14ac:dyDescent="0.2">
      <c r="B62" s="4" t="s">
        <v>78</v>
      </c>
      <c r="AB62" s="7">
        <v>0</v>
      </c>
      <c r="AD62" s="7">
        <v>10214</v>
      </c>
      <c r="AE62" s="7">
        <v>11146</v>
      </c>
    </row>
    <row r="63" spans="2:35" x14ac:dyDescent="0.2">
      <c r="B63" s="4" t="s">
        <v>75</v>
      </c>
      <c r="AB63" s="7">
        <v>2665</v>
      </c>
      <c r="AD63" s="7">
        <v>2534</v>
      </c>
      <c r="AE63" s="7">
        <v>2269</v>
      </c>
    </row>
    <row r="64" spans="2:35" x14ac:dyDescent="0.2">
      <c r="B64" s="4" t="s">
        <v>92</v>
      </c>
      <c r="AB64" s="7">
        <f>+SUM(AB52:AB63)</f>
        <v>28461</v>
      </c>
      <c r="AD64" s="7">
        <f>+SUM(AD52:AD63)</f>
        <v>74467</v>
      </c>
      <c r="AE64" s="7">
        <f>+SUM(AE52:AE63)</f>
        <v>97072</v>
      </c>
    </row>
  </sheetData>
  <pageMargins left="0.7" right="0.7" top="0.75" bottom="0.75" header="0.3" footer="0.3"/>
  <pageSetup orientation="portrait" horizontalDpi="300" verticalDpi="3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7EC77FB32B1D8439E8C1FB95A50701D" ma:contentTypeVersion="4" ma:contentTypeDescription="Create a new document." ma:contentTypeScope="" ma:versionID="00f9f787c87b8f619b7b3879064ae08e">
  <xsd:schema xmlns:xsd="http://www.w3.org/2001/XMLSchema" xmlns:xs="http://www.w3.org/2001/XMLSchema" xmlns:p="http://schemas.microsoft.com/office/2006/metadata/properties" xmlns:ns3="a9d2bb99-bba0-4ba4-8acb-26e5cf3984f4" targetNamespace="http://schemas.microsoft.com/office/2006/metadata/properties" ma:root="true" ma:fieldsID="73f31bb0fd4c66fbd21aca7d016d11d9" ns3:_="">
    <xsd:import namespace="a9d2bb99-bba0-4ba4-8acb-26e5cf3984f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d2bb99-bba0-4ba4-8acb-26e5cf3984f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426443E-80B5-468D-B594-55094A7D073B}">
  <ds:schemaRefs>
    <ds:schemaRef ds:uri="http://schemas.microsoft.com/office/infopath/2007/PartnerControls"/>
    <ds:schemaRef ds:uri="http://schemas.microsoft.com/office/2006/metadata/properties"/>
    <ds:schemaRef ds:uri="http://purl.org/dc/terms/"/>
    <ds:schemaRef ds:uri="http://www.w3.org/XML/1998/namespace"/>
    <ds:schemaRef ds:uri="http://purl.org/dc/elements/1.1/"/>
    <ds:schemaRef ds:uri="http://schemas.microsoft.com/office/2006/documentManagement/types"/>
    <ds:schemaRef ds:uri="http://schemas.openxmlformats.org/package/2006/metadata/core-properties"/>
    <ds:schemaRef ds:uri="http://purl.org/dc/dcmitype/"/>
    <ds:schemaRef ds:uri="a9d2bb99-bba0-4ba4-8acb-26e5cf3984f4"/>
  </ds:schemaRefs>
</ds:datastoreItem>
</file>

<file path=customXml/itemProps2.xml><?xml version="1.0" encoding="utf-8"?>
<ds:datastoreItem xmlns:ds="http://schemas.openxmlformats.org/officeDocument/2006/customXml" ds:itemID="{FE164FFF-D7C4-4D2B-94F1-546E53CC895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6A9EA93-9A51-4126-AB66-6817652C0CE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9d2bb99-bba0-4ba4-8acb-26e5cf3984f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Case</dc:creator>
  <cp:lastModifiedBy>Josh Case</cp:lastModifiedBy>
  <dcterms:created xsi:type="dcterms:W3CDTF">2021-11-11T01:12:43Z</dcterms:created>
  <dcterms:modified xsi:type="dcterms:W3CDTF">2022-04-10T19:10:23Z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0x010100F7EC77FB32B1D8439E8C1FB95A50701D</vt:lpwstr>
  </property>
</Properties>
</file>