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12CC6CE6-C14D-49ED-919C-A94FBE061D24}" xr6:coauthVersionLast="47" xr6:coauthVersionMax="47" xr10:uidLastSave="{00000000-0000-0000-0000-000000000000}"/>
  <bookViews>
    <workbookView xWindow="12735" yWindow="840" windowWidth="12570" windowHeight="14280" xr2:uid="{112E57E2-FCCD-489A-A118-2E110252C10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I83" i="2"/>
  <c r="I82" i="2"/>
  <c r="M83" i="2"/>
  <c r="M82" i="2"/>
  <c r="I73" i="2"/>
  <c r="M73" i="2"/>
  <c r="I66" i="2"/>
  <c r="M66" i="2"/>
  <c r="J34" i="2"/>
  <c r="J41" i="2" s="1"/>
  <c r="J49" i="2"/>
  <c r="J51" i="2" s="1"/>
  <c r="M49" i="2"/>
  <c r="M51" i="2" s="1"/>
  <c r="M41" i="2"/>
  <c r="M34" i="2"/>
  <c r="M33" i="2" s="1"/>
  <c r="I16" i="2"/>
  <c r="M16" i="2"/>
  <c r="I14" i="2"/>
  <c r="M14" i="2"/>
  <c r="I6" i="2"/>
  <c r="I9" i="2" s="1"/>
  <c r="I25" i="2" s="1"/>
  <c r="M6" i="2"/>
  <c r="M9" i="2" s="1"/>
  <c r="M15" i="2" s="1"/>
  <c r="V3" i="2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J33" i="2" l="1"/>
  <c r="M17" i="2"/>
  <c r="M26" i="2"/>
  <c r="I15" i="2"/>
  <c r="M25" i="2"/>
  <c r="M30" i="2"/>
  <c r="I17" i="2" l="1"/>
  <c r="I26" i="2"/>
  <c r="M27" i="2"/>
  <c r="M20" i="2"/>
  <c r="M22" i="2" l="1"/>
  <c r="M54" i="2"/>
  <c r="I20" i="2"/>
  <c r="I27" i="2"/>
  <c r="I22" i="2" l="1"/>
  <c r="I54" i="2"/>
  <c r="K10" i="1" l="1"/>
  <c r="K13" i="1" s="1"/>
</calcChain>
</file>

<file path=xl/sharedStrings.xml><?xml version="1.0" encoding="utf-8"?>
<sst xmlns="http://schemas.openxmlformats.org/spreadsheetml/2006/main" count="95" uniqueCount="85">
  <si>
    <t>Price</t>
  </si>
  <si>
    <t>Shares</t>
  </si>
  <si>
    <t>MC</t>
  </si>
  <si>
    <t>Cash</t>
  </si>
  <si>
    <t>Debt</t>
  </si>
  <si>
    <t>EV</t>
  </si>
  <si>
    <t>Q322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</si>
  <si>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</si>
  <si>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</si>
  <si>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</si>
  <si>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</si>
  <si>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</si>
  <si>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</si>
  <si>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</si>
  <si>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</si>
  <si>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</si>
  <si>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</si>
  <si>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</si>
  <si>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Q123</t>
  </si>
  <si>
    <t>Q223</t>
  </si>
  <si>
    <t>Q323</t>
  </si>
  <si>
    <t>Q423</t>
  </si>
  <si>
    <t>Revenue</t>
  </si>
  <si>
    <t>Product Sales</t>
  </si>
  <si>
    <t>Service Sales</t>
  </si>
  <si>
    <t>Main</t>
  </si>
  <si>
    <t>COGS</t>
  </si>
  <si>
    <t>Gross Profit</t>
  </si>
  <si>
    <t>Gross Margin %</t>
  </si>
  <si>
    <t>Operating Margin %</t>
  </si>
  <si>
    <t>Revenue Growth Y/Y</t>
  </si>
  <si>
    <t>Fulfillment</t>
  </si>
  <si>
    <t>R&amp;D</t>
  </si>
  <si>
    <t>S&amp;M</t>
  </si>
  <si>
    <t>sG&amp;A</t>
  </si>
  <si>
    <t>Other</t>
  </si>
  <si>
    <t>Operating Expense</t>
  </si>
  <si>
    <t>Operating Income</t>
  </si>
  <si>
    <t>Interest Income</t>
  </si>
  <si>
    <t>Pretax Income</t>
  </si>
  <si>
    <t>Taxes</t>
  </si>
  <si>
    <t>Investment</t>
  </si>
  <si>
    <t>Net Income</t>
  </si>
  <si>
    <t>EPS</t>
  </si>
  <si>
    <t>Tax Rate %</t>
  </si>
  <si>
    <t>Inventory</t>
  </si>
  <si>
    <t>A/R</t>
  </si>
  <si>
    <t>PP&amp;E</t>
  </si>
  <si>
    <t>Operating Lease</t>
  </si>
  <si>
    <t>Intangibles</t>
  </si>
  <si>
    <t>OA</t>
  </si>
  <si>
    <t>Total Assets</t>
  </si>
  <si>
    <t>A/P</t>
  </si>
  <si>
    <t>A/E</t>
  </si>
  <si>
    <t>Unearned Revenue</t>
  </si>
  <si>
    <t>LT Lease Liabiltity</t>
  </si>
  <si>
    <t>OLTL</t>
  </si>
  <si>
    <t>Total Liabilties</t>
  </si>
  <si>
    <t>Equity</t>
  </si>
  <si>
    <t>L + S/E</t>
  </si>
  <si>
    <t>Net Cash</t>
  </si>
  <si>
    <t>Model NI</t>
  </si>
  <si>
    <t>Reported NI</t>
  </si>
  <si>
    <t>D&amp;A</t>
  </si>
  <si>
    <t>SBC</t>
  </si>
  <si>
    <t>Other Operating Expense</t>
  </si>
  <si>
    <t>Other Expense</t>
  </si>
  <si>
    <t>D/T</t>
  </si>
  <si>
    <t>Unearned Rev</t>
  </si>
  <si>
    <t>CFFO</t>
  </si>
  <si>
    <t>Capex</t>
  </si>
  <si>
    <t>PP&amp;E Sales</t>
  </si>
  <si>
    <t>Acqusitions</t>
  </si>
  <si>
    <t>Maturity of Securities</t>
  </si>
  <si>
    <t>CFFI</t>
  </si>
  <si>
    <t>Marketable Securities Purchase</t>
  </si>
  <si>
    <t>Common Stock Repurchase</t>
  </si>
  <si>
    <t>ST Debt Proceeds</t>
  </si>
  <si>
    <t>ST Debt Repayment</t>
  </si>
  <si>
    <t>LT Debt Proceeds</t>
  </si>
  <si>
    <t>LT Debt Repayment</t>
  </si>
  <si>
    <t>Finance Lease Principal</t>
  </si>
  <si>
    <t>Finance Obligation Principal</t>
  </si>
  <si>
    <t>CFFF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</si>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</sst>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2" fillId="0" borderId="0" xfId="0" applyFont="1"/>
    <xf numFmtId="0" fontId="4" fillId="0" borderId="0" xfId="1" applyFont="1"/>
    <xf numFmtId="3" fontId="2" fillId="0" borderId="0" xfId="0" applyNumberFormat="1" applyFont="1"/>
    <xf numFmtId="9" fontId="1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0</xdr:row>
      <xdr:rowOff>9525</xdr:rowOff>
    </xdr:from>
    <xdr:to>
      <xdr:col>13</xdr:col>
      <xdr:colOff>28575</xdr:colOff>
      <xdr:row>51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10129F9-99BA-39A7-67B4-6936E2267D25}"/>
            </a:ext>
          </a:extLst>
        </xdr:cNvPr>
        <xdr:cNvCxnSpPr/>
      </xdr:nvCxnSpPr>
      <xdr:spPr>
        <a:xfrm>
          <a:off x="8172450" y="9525"/>
          <a:ext cx="0" cy="7210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5CE7-9AC3-43B5-BBBE-6D9813874164}">
  <dimension ref="J8:L13"/>
  <sheetViews>
    <sheetView tabSelected="1" workbookViewId="0">
      <selection activeCell="F12" sqref="F12"/>
    </sheetView>
  </sheetViews>
  <sheetFormatPr defaultRowHeight="15" x14ac:dyDescent="0.2"/>
  <cols>
    <col min="1" max="10" width="9.140625" style="1"/>
    <col min="11" max="11" width="12.85546875" style="1" bestFit="1" customWidth="1"/>
    <col min="12" max="12" width="9.140625" style="2"/>
    <col min="13" max="16384" width="9.140625" style="1"/>
  </cols>
  <sheetData>
    <row r="8" spans="10:12" x14ac:dyDescent="0.2">
      <c r="J8" s="1" t="s">
        <v>0</v>
      </c>
      <c r="K8" s="1">
        <v>119.01</v>
      </c>
    </row>
    <row r="9" spans="10:12" x14ac:dyDescent="0.2">
      <c r="J9" s="1" t="s">
        <v>1</v>
      </c>
      <c r="K9" s="3">
        <v>10187.554818000001</v>
      </c>
      <c r="L9" s="2" t="s">
        <v>6</v>
      </c>
    </row>
    <row r="10" spans="10:12" x14ac:dyDescent="0.2">
      <c r="J10" s="1" t="s">
        <v>2</v>
      </c>
      <c r="K10" s="3">
        <f>+K8*K9</f>
        <v>1212420.89889018</v>
      </c>
    </row>
    <row r="11" spans="10:12" x14ac:dyDescent="0.2">
      <c r="J11" s="1" t="s">
        <v>3</v>
      </c>
      <c r="K11" s="3">
        <f>36220+59829</f>
        <v>96049</v>
      </c>
      <c r="L11" s="2" t="s">
        <v>6</v>
      </c>
    </row>
    <row r="12" spans="10:12" x14ac:dyDescent="0.2">
      <c r="J12" s="1" t="s">
        <v>4</v>
      </c>
      <c r="K12" s="3">
        <v>48744</v>
      </c>
      <c r="L12" s="2" t="s">
        <v>6</v>
      </c>
    </row>
    <row r="13" spans="10:12" x14ac:dyDescent="0.2">
      <c r="J13" s="1" t="s">
        <v>5</v>
      </c>
      <c r="K13" s="3">
        <f>+K10-K11+K12</f>
        <v>1165115.89889018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6D35-CABA-49F3-8532-88AD2A4FBE83}">
  <dimension ref="A1:AJ8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9" sqref="J19"/>
    </sheetView>
  </sheetViews>
  <sheetFormatPr defaultRowHeight="15" x14ac:dyDescent="0.2"/>
  <cols>
    <col min="1" max="1" width="6.140625" style="1" bestFit="1" customWidth="1"/>
    <col min="2" max="2" width="33.7109375" style="1" bestFit="1" customWidth="1"/>
    <col min="3" max="8" width="9.140625" style="1"/>
    <col min="9" max="10" width="9.5703125" style="1" bestFit="1" customWidth="1"/>
    <col min="11" max="12" width="9.140625" style="1"/>
    <col min="13" max="13" width="9.5703125" style="1" bestFit="1" customWidth="1"/>
    <col min="14" max="16384" width="9.140625" style="1"/>
  </cols>
  <sheetData>
    <row r="1" spans="1:36" x14ac:dyDescent="0.2">
      <c r="A1" s="5" t="s">
        <v>25</v>
      </c>
    </row>
    <row r="3" spans="1:36" x14ac:dyDescent="0.2"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U3" s="1">
        <v>2019</v>
      </c>
      <c r="V3" s="1">
        <f>+U3+1</f>
        <v>2020</v>
      </c>
      <c r="W3" s="1">
        <f t="shared" ref="W3:AJ3" si="0">+V3+1</f>
        <v>2021</v>
      </c>
      <c r="X3" s="1">
        <f t="shared" si="0"/>
        <v>2022</v>
      </c>
      <c r="Y3" s="1">
        <f t="shared" si="0"/>
        <v>2023</v>
      </c>
      <c r="Z3" s="1">
        <f t="shared" si="0"/>
        <v>2024</v>
      </c>
      <c r="AA3" s="1">
        <f t="shared" si="0"/>
        <v>2025</v>
      </c>
      <c r="AB3" s="1">
        <f t="shared" si="0"/>
        <v>2026</v>
      </c>
      <c r="AC3" s="1">
        <f t="shared" si="0"/>
        <v>2027</v>
      </c>
      <c r="AD3" s="1">
        <f t="shared" si="0"/>
        <v>2028</v>
      </c>
      <c r="AE3" s="1">
        <f t="shared" si="0"/>
        <v>2029</v>
      </c>
      <c r="AF3" s="1">
        <f t="shared" si="0"/>
        <v>2030</v>
      </c>
      <c r="AG3" s="1">
        <f t="shared" si="0"/>
        <v>2031</v>
      </c>
      <c r="AH3" s="1">
        <f t="shared" si="0"/>
        <v>2032</v>
      </c>
      <c r="AI3" s="1">
        <f t="shared" si="0"/>
        <v>2033</v>
      </c>
      <c r="AJ3" s="1">
        <f t="shared" si="0"/>
        <v>2034</v>
      </c>
    </row>
    <row r="4" spans="1:36" s="3" customFormat="1" x14ac:dyDescent="0.2">
      <c r="B4" s="3" t="s">
        <v>23</v>
      </c>
      <c r="I4" s="3">
        <v>56575</v>
      </c>
      <c r="M4" s="3">
        <v>58004</v>
      </c>
    </row>
    <row r="5" spans="1:36" s="3" customFormat="1" x14ac:dyDescent="0.2">
      <c r="B5" s="3" t="s">
        <v>24</v>
      </c>
      <c r="I5" s="3">
        <v>64659</v>
      </c>
      <c r="M5" s="3">
        <v>55076</v>
      </c>
    </row>
    <row r="6" spans="1:36" s="6" customFormat="1" ht="15.75" x14ac:dyDescent="0.25">
      <c r="B6" s="6" t="s">
        <v>22</v>
      </c>
      <c r="I6" s="6">
        <f>+SUM(I4:I5)</f>
        <v>121234</v>
      </c>
      <c r="M6" s="6">
        <f>+SUM(M4:M5)</f>
        <v>113080</v>
      </c>
    </row>
    <row r="7" spans="1:36" s="3" customFormat="1" x14ac:dyDescent="0.2">
      <c r="B7" s="3" t="s">
        <v>26</v>
      </c>
      <c r="I7" s="3">
        <v>66424</v>
      </c>
      <c r="M7" s="3">
        <v>64176</v>
      </c>
    </row>
    <row r="8" spans="1:36" s="3" customFormat="1" x14ac:dyDescent="0.2">
      <c r="B8" s="3" t="s">
        <v>31</v>
      </c>
      <c r="I8" s="3">
        <v>20342</v>
      </c>
      <c r="M8" s="3">
        <v>17638</v>
      </c>
    </row>
    <row r="9" spans="1:36" s="3" customFormat="1" x14ac:dyDescent="0.2">
      <c r="B9" s="3" t="s">
        <v>27</v>
      </c>
      <c r="I9" s="3">
        <f>+I6-SUM(I7:I8)</f>
        <v>34468</v>
      </c>
      <c r="M9" s="3">
        <f>+M6-SUM(M7:M8)</f>
        <v>31266</v>
      </c>
    </row>
    <row r="10" spans="1:36" s="3" customFormat="1" x14ac:dyDescent="0.2">
      <c r="B10" s="3" t="s">
        <v>32</v>
      </c>
      <c r="I10" s="3">
        <v>18072</v>
      </c>
      <c r="M10" s="3">
        <v>13871</v>
      </c>
    </row>
    <row r="11" spans="1:36" s="3" customFormat="1" x14ac:dyDescent="0.2">
      <c r="B11" s="3" t="s">
        <v>33</v>
      </c>
      <c r="I11" s="3">
        <v>10086</v>
      </c>
      <c r="M11" s="3">
        <v>7524</v>
      </c>
    </row>
    <row r="12" spans="1:36" s="3" customFormat="1" x14ac:dyDescent="0.2">
      <c r="B12" s="3" t="s">
        <v>34</v>
      </c>
      <c r="I12" s="3">
        <v>2903</v>
      </c>
      <c r="M12" s="3">
        <v>2158</v>
      </c>
    </row>
    <row r="13" spans="1:36" s="3" customFormat="1" x14ac:dyDescent="0.2">
      <c r="B13" s="3" t="s">
        <v>35</v>
      </c>
      <c r="I13" s="3">
        <v>90</v>
      </c>
      <c r="M13" s="3">
        <v>11</v>
      </c>
    </row>
    <row r="14" spans="1:36" x14ac:dyDescent="0.2">
      <c r="B14" s="1" t="s">
        <v>36</v>
      </c>
      <c r="I14" s="3">
        <f>+SUM(I10:I13)</f>
        <v>31151</v>
      </c>
      <c r="M14" s="3">
        <f>+SUM(M10:M13)</f>
        <v>23564</v>
      </c>
    </row>
    <row r="15" spans="1:36" x14ac:dyDescent="0.2">
      <c r="B15" s="1" t="s">
        <v>37</v>
      </c>
      <c r="I15" s="3">
        <f>+I9-I14</f>
        <v>3317</v>
      </c>
      <c r="M15" s="3">
        <f>+M9-M14</f>
        <v>7702</v>
      </c>
    </row>
    <row r="16" spans="1:36" x14ac:dyDescent="0.2">
      <c r="B16" s="1" t="s">
        <v>38</v>
      </c>
      <c r="I16" s="1">
        <f>159+-584+-5545</f>
        <v>-5970</v>
      </c>
      <c r="M16" s="1">
        <f>106+-435+1261</f>
        <v>932</v>
      </c>
    </row>
    <row r="17" spans="2:13" x14ac:dyDescent="0.2">
      <c r="B17" s="1" t="s">
        <v>39</v>
      </c>
      <c r="I17" s="3">
        <f>+I15+I16</f>
        <v>-2653</v>
      </c>
      <c r="M17" s="3">
        <f>+M15+M16</f>
        <v>8634</v>
      </c>
    </row>
    <row r="18" spans="2:13" x14ac:dyDescent="0.2">
      <c r="B18" s="1" t="s">
        <v>40</v>
      </c>
      <c r="I18" s="3">
        <v>-637</v>
      </c>
      <c r="M18" s="3">
        <v>868</v>
      </c>
    </row>
    <row r="19" spans="2:13" x14ac:dyDescent="0.2">
      <c r="B19" s="1" t="s">
        <v>41</v>
      </c>
      <c r="I19" s="3">
        <v>-12</v>
      </c>
      <c r="M19" s="1">
        <v>12</v>
      </c>
    </row>
    <row r="20" spans="2:13" s="4" customFormat="1" ht="15.75" x14ac:dyDescent="0.25">
      <c r="B20" s="4" t="s">
        <v>42</v>
      </c>
      <c r="I20" s="6">
        <f>+I17-I18+I19</f>
        <v>-2028</v>
      </c>
      <c r="M20" s="6">
        <f>+M17-M18+M19</f>
        <v>7778</v>
      </c>
    </row>
    <row r="21" spans="2:13" s="3" customFormat="1" x14ac:dyDescent="0.2">
      <c r="B21" s="3" t="s">
        <v>1</v>
      </c>
      <c r="I21" s="3">
        <v>10175</v>
      </c>
      <c r="M21" s="3">
        <v>10286</v>
      </c>
    </row>
    <row r="22" spans="2:13" s="8" customFormat="1" x14ac:dyDescent="0.2">
      <c r="B22" s="8" t="s">
        <v>43</v>
      </c>
      <c r="I22" s="8">
        <f>+I20/I21</f>
        <v>-0.19931203931203931</v>
      </c>
      <c r="M22" s="8">
        <f>+M20/M21</f>
        <v>0.75617343962667705</v>
      </c>
    </row>
    <row r="25" spans="2:13" x14ac:dyDescent="0.2">
      <c r="B25" s="1" t="s">
        <v>28</v>
      </c>
      <c r="I25" s="7">
        <f>+I9/I6</f>
        <v>0.2843096821023805</v>
      </c>
      <c r="M25" s="7">
        <f>+M9/M6</f>
        <v>0.27649451715599577</v>
      </c>
    </row>
    <row r="26" spans="2:13" x14ac:dyDescent="0.2">
      <c r="B26" s="1" t="s">
        <v>29</v>
      </c>
      <c r="I26" s="7">
        <f>+I15/I6</f>
        <v>2.7360311463780786E-2</v>
      </c>
      <c r="M26" s="7">
        <f>+M15/M6</f>
        <v>6.8111071807569867E-2</v>
      </c>
    </row>
    <row r="27" spans="2:13" x14ac:dyDescent="0.2">
      <c r="B27" s="1" t="s">
        <v>44</v>
      </c>
      <c r="I27" s="7">
        <f>+I18/I17</f>
        <v>0.24010554089709762</v>
      </c>
      <c r="M27" s="7">
        <f>+M18/M17</f>
        <v>0.1005327773917072</v>
      </c>
    </row>
    <row r="30" spans="2:13" x14ac:dyDescent="0.2">
      <c r="B30" s="1" t="s">
        <v>30</v>
      </c>
      <c r="M30" s="7">
        <f>+M6/I6-1</f>
        <v>-6.7258359866044226E-2</v>
      </c>
    </row>
    <row r="33" spans="2:13" s="4" customFormat="1" ht="15.75" x14ac:dyDescent="0.25">
      <c r="B33" s="4" t="s">
        <v>60</v>
      </c>
      <c r="J33" s="6">
        <f>+J34-J47</f>
        <v>2657</v>
      </c>
      <c r="M33" s="6">
        <f>+M34-M47</f>
        <v>47305</v>
      </c>
    </row>
    <row r="34" spans="2:13" s="3" customFormat="1" x14ac:dyDescent="0.2">
      <c r="B34" s="3" t="s">
        <v>3</v>
      </c>
      <c r="J34" s="3">
        <f>37478+23232</f>
        <v>60710</v>
      </c>
      <c r="M34" s="3">
        <f>36220+59829</f>
        <v>96049</v>
      </c>
    </row>
    <row r="35" spans="2:13" s="3" customFormat="1" x14ac:dyDescent="0.2">
      <c r="B35" s="3" t="s">
        <v>45</v>
      </c>
      <c r="J35" s="3">
        <v>38153</v>
      </c>
      <c r="M35" s="3">
        <v>32640</v>
      </c>
    </row>
    <row r="36" spans="2:13" s="3" customFormat="1" x14ac:dyDescent="0.2">
      <c r="B36" s="3" t="s">
        <v>46</v>
      </c>
      <c r="J36" s="3">
        <v>34804</v>
      </c>
      <c r="M36" s="3">
        <v>32891</v>
      </c>
    </row>
    <row r="37" spans="2:13" s="3" customFormat="1" x14ac:dyDescent="0.2">
      <c r="B37" s="3" t="s">
        <v>47</v>
      </c>
      <c r="J37" s="3">
        <v>173706</v>
      </c>
      <c r="M37" s="3">
        <v>160281</v>
      </c>
    </row>
    <row r="38" spans="2:13" s="3" customFormat="1" x14ac:dyDescent="0.2">
      <c r="B38" s="3" t="s">
        <v>48</v>
      </c>
      <c r="J38" s="3">
        <v>58430</v>
      </c>
      <c r="M38" s="3">
        <v>56082</v>
      </c>
    </row>
    <row r="39" spans="2:13" s="3" customFormat="1" x14ac:dyDescent="0.2">
      <c r="B39" s="3" t="s">
        <v>49</v>
      </c>
      <c r="J39" s="3">
        <v>20195</v>
      </c>
      <c r="M39" s="3">
        <v>15371</v>
      </c>
    </row>
    <row r="40" spans="2:13" s="3" customFormat="1" x14ac:dyDescent="0.2">
      <c r="B40" s="3" t="s">
        <v>50</v>
      </c>
      <c r="J40" s="3">
        <v>33730</v>
      </c>
      <c r="M40" s="3">
        <v>27235</v>
      </c>
    </row>
    <row r="41" spans="2:13" s="6" customFormat="1" ht="15.75" x14ac:dyDescent="0.25">
      <c r="B41" s="6" t="s">
        <v>51</v>
      </c>
      <c r="J41" s="6">
        <f>+SUM(J34:J40)</f>
        <v>419728</v>
      </c>
      <c r="M41" s="6">
        <f>+SUM(M34:M40)</f>
        <v>420549</v>
      </c>
    </row>
    <row r="43" spans="2:13" s="3" customFormat="1" x14ac:dyDescent="0.2">
      <c r="B43" s="3" t="s">
        <v>52</v>
      </c>
      <c r="J43" s="3">
        <v>71219</v>
      </c>
      <c r="M43" s="3">
        <v>78664</v>
      </c>
    </row>
    <row r="44" spans="2:13" s="3" customFormat="1" x14ac:dyDescent="0.2">
      <c r="B44" s="3" t="s">
        <v>53</v>
      </c>
      <c r="J44" s="3">
        <v>56254</v>
      </c>
      <c r="M44" s="3">
        <v>51775</v>
      </c>
    </row>
    <row r="45" spans="2:13" s="3" customFormat="1" x14ac:dyDescent="0.2">
      <c r="B45" s="3" t="s">
        <v>54</v>
      </c>
      <c r="J45" s="3">
        <v>12818</v>
      </c>
      <c r="M45" s="3">
        <v>11827</v>
      </c>
    </row>
    <row r="46" spans="2:13" s="3" customFormat="1" x14ac:dyDescent="0.2">
      <c r="B46" s="3" t="s">
        <v>55</v>
      </c>
      <c r="J46" s="3">
        <v>66524</v>
      </c>
      <c r="M46" s="3">
        <v>67651</v>
      </c>
    </row>
    <row r="47" spans="2:13" s="3" customFormat="1" x14ac:dyDescent="0.2">
      <c r="B47" s="3" t="s">
        <v>4</v>
      </c>
      <c r="J47" s="3">
        <v>58053</v>
      </c>
      <c r="M47" s="3">
        <v>48744</v>
      </c>
    </row>
    <row r="48" spans="2:13" s="3" customFormat="1" x14ac:dyDescent="0.2">
      <c r="B48" s="3" t="s">
        <v>56</v>
      </c>
      <c r="J48" s="3">
        <v>23458</v>
      </c>
      <c r="M48" s="3">
        <v>23643</v>
      </c>
    </row>
    <row r="49" spans="2:13" s="6" customFormat="1" ht="15.75" x14ac:dyDescent="0.25">
      <c r="B49" s="6" t="s">
        <v>57</v>
      </c>
      <c r="J49" s="6">
        <f>+SUM(J43:J48)</f>
        <v>288326</v>
      </c>
      <c r="M49" s="6">
        <f>+SUM(M43:M48)</f>
        <v>282304</v>
      </c>
    </row>
    <row r="50" spans="2:13" s="3" customFormat="1" x14ac:dyDescent="0.2">
      <c r="B50" s="3" t="s">
        <v>58</v>
      </c>
      <c r="J50" s="3">
        <v>131402</v>
      </c>
      <c r="M50" s="3">
        <v>138245</v>
      </c>
    </row>
    <row r="51" spans="2:13" s="3" customFormat="1" x14ac:dyDescent="0.2">
      <c r="B51" s="3" t="s">
        <v>59</v>
      </c>
      <c r="J51" s="3">
        <f>+SUM(J49:J50)</f>
        <v>419728</v>
      </c>
      <c r="M51" s="3">
        <f>+SUM(M49:M50)</f>
        <v>420549</v>
      </c>
    </row>
    <row r="54" spans="2:13" s="3" customFormat="1" x14ac:dyDescent="0.2">
      <c r="B54" s="3" t="s">
        <v>61</v>
      </c>
      <c r="I54" s="3">
        <f>+I20</f>
        <v>-2028</v>
      </c>
      <c r="M54" s="3">
        <f>+M20</f>
        <v>7778</v>
      </c>
    </row>
    <row r="55" spans="2:13" s="3" customFormat="1" x14ac:dyDescent="0.2">
      <c r="B55" s="3" t="s">
        <v>62</v>
      </c>
      <c r="I55" s="3">
        <v>-2028</v>
      </c>
      <c r="M55" s="3">
        <v>7778</v>
      </c>
    </row>
    <row r="56" spans="2:13" s="3" customFormat="1" x14ac:dyDescent="0.2">
      <c r="B56" s="3" t="s">
        <v>63</v>
      </c>
      <c r="I56" s="3">
        <v>9594</v>
      </c>
      <c r="M56" s="3">
        <v>8038</v>
      </c>
    </row>
    <row r="57" spans="2:13" s="3" customFormat="1" x14ac:dyDescent="0.2">
      <c r="B57" s="3" t="s">
        <v>64</v>
      </c>
      <c r="I57" s="3">
        <v>5209</v>
      </c>
      <c r="M57" s="3">
        <v>3591</v>
      </c>
    </row>
    <row r="58" spans="2:13" s="3" customFormat="1" x14ac:dyDescent="0.2">
      <c r="B58" s="3" t="s">
        <v>65</v>
      </c>
      <c r="I58" s="3">
        <v>122</v>
      </c>
      <c r="M58" s="3">
        <v>18</v>
      </c>
    </row>
    <row r="59" spans="2:13" s="3" customFormat="1" x14ac:dyDescent="0.2">
      <c r="B59" s="3" t="s">
        <v>66</v>
      </c>
      <c r="I59" s="3">
        <v>6104</v>
      </c>
      <c r="M59" s="3">
        <v>-1258</v>
      </c>
    </row>
    <row r="60" spans="2:13" s="3" customFormat="1" x14ac:dyDescent="0.2">
      <c r="B60" s="3" t="s">
        <v>67</v>
      </c>
      <c r="I60" s="3">
        <v>-1955</v>
      </c>
      <c r="M60" s="3">
        <v>701</v>
      </c>
    </row>
    <row r="61" spans="2:13" s="3" customFormat="1" x14ac:dyDescent="0.2">
      <c r="B61" s="3" t="s">
        <v>45</v>
      </c>
      <c r="I61" s="3">
        <v>-3890</v>
      </c>
      <c r="M61" s="3">
        <v>-209</v>
      </c>
    </row>
    <row r="62" spans="2:13" s="3" customFormat="1" x14ac:dyDescent="0.2">
      <c r="B62" s="3" t="s">
        <v>46</v>
      </c>
      <c r="I62" s="3">
        <v>-6799</v>
      </c>
      <c r="M62" s="3">
        <v>-4462</v>
      </c>
    </row>
    <row r="63" spans="2:13" s="3" customFormat="1" x14ac:dyDescent="0.2">
      <c r="B63" s="3" t="s">
        <v>52</v>
      </c>
      <c r="I63" s="3">
        <v>3699</v>
      </c>
      <c r="M63" s="3">
        <v>47</v>
      </c>
    </row>
    <row r="64" spans="2:13" s="3" customFormat="1" x14ac:dyDescent="0.2">
      <c r="B64" s="3" t="s">
        <v>53</v>
      </c>
      <c r="I64" s="3">
        <v>-1412</v>
      </c>
      <c r="M64" s="3">
        <v>-1685</v>
      </c>
    </row>
    <row r="65" spans="2:13" s="3" customFormat="1" x14ac:dyDescent="0.2">
      <c r="B65" s="3" t="s">
        <v>68</v>
      </c>
      <c r="I65" s="3">
        <v>321</v>
      </c>
      <c r="M65" s="3">
        <v>156</v>
      </c>
    </row>
    <row r="66" spans="2:13" s="6" customFormat="1" ht="15.75" x14ac:dyDescent="0.25">
      <c r="B66" s="6" t="s">
        <v>69</v>
      </c>
      <c r="I66" s="6">
        <f>+SUM(I55:I65)</f>
        <v>8965</v>
      </c>
      <c r="M66" s="6">
        <f>+SUM(M55:M65)</f>
        <v>12715</v>
      </c>
    </row>
    <row r="68" spans="2:13" s="3" customFormat="1" x14ac:dyDescent="0.2">
      <c r="B68" s="3" t="s">
        <v>70</v>
      </c>
      <c r="I68" s="3">
        <v>-15724</v>
      </c>
      <c r="M68" s="3">
        <v>-14288</v>
      </c>
    </row>
    <row r="69" spans="2:13" s="3" customFormat="1" x14ac:dyDescent="0.2">
      <c r="B69" s="3" t="s">
        <v>71</v>
      </c>
      <c r="I69" s="3">
        <v>1626</v>
      </c>
      <c r="M69" s="3">
        <v>1300</v>
      </c>
    </row>
    <row r="70" spans="2:13" s="3" customFormat="1" x14ac:dyDescent="0.2">
      <c r="B70" s="3" t="s">
        <v>72</v>
      </c>
      <c r="I70" s="3">
        <v>-259</v>
      </c>
      <c r="M70" s="3">
        <v>-320</v>
      </c>
    </row>
    <row r="71" spans="2:13" s="3" customFormat="1" x14ac:dyDescent="0.2">
      <c r="B71" s="3" t="s">
        <v>73</v>
      </c>
      <c r="I71" s="3">
        <v>2608</v>
      </c>
      <c r="M71" s="3">
        <v>13213</v>
      </c>
    </row>
    <row r="72" spans="2:13" s="3" customFormat="1" x14ac:dyDescent="0.2">
      <c r="B72" s="3" t="s">
        <v>75</v>
      </c>
      <c r="I72" s="3">
        <v>-329</v>
      </c>
      <c r="M72" s="3">
        <v>-21985</v>
      </c>
    </row>
    <row r="73" spans="2:13" s="6" customFormat="1" ht="15.75" x14ac:dyDescent="0.25">
      <c r="B73" s="6" t="s">
        <v>74</v>
      </c>
      <c r="I73" s="6">
        <f>+SUM(I68:I72)</f>
        <v>-12078</v>
      </c>
      <c r="M73" s="6">
        <f>+SUM(M68:M72)</f>
        <v>-22080</v>
      </c>
    </row>
    <row r="75" spans="2:13" s="3" customFormat="1" x14ac:dyDescent="0.2">
      <c r="B75" s="3" t="s">
        <v>76</v>
      </c>
      <c r="I75" s="3">
        <v>-3334</v>
      </c>
    </row>
    <row r="76" spans="2:13" s="3" customFormat="1" x14ac:dyDescent="0.2">
      <c r="B76" s="3" t="s">
        <v>77</v>
      </c>
      <c r="I76" s="3">
        <v>4865</v>
      </c>
      <c r="M76" s="3">
        <v>1176</v>
      </c>
    </row>
    <row r="77" spans="2:13" s="3" customFormat="1" x14ac:dyDescent="0.2">
      <c r="B77" s="3" t="s">
        <v>78</v>
      </c>
      <c r="I77" s="3">
        <v>-7610</v>
      </c>
      <c r="M77" s="3">
        <v>-1176</v>
      </c>
    </row>
    <row r="78" spans="2:13" s="3" customFormat="1" x14ac:dyDescent="0.2">
      <c r="B78" s="3" t="s">
        <v>79</v>
      </c>
      <c r="I78" s="3">
        <v>12824</v>
      </c>
      <c r="M78" s="3">
        <v>18516</v>
      </c>
    </row>
    <row r="79" spans="2:13" s="3" customFormat="1" x14ac:dyDescent="0.2">
      <c r="B79" s="3" t="s">
        <v>80</v>
      </c>
      <c r="I79" s="3">
        <v>-1</v>
      </c>
      <c r="M79" s="3">
        <v>-41</v>
      </c>
    </row>
    <row r="80" spans="2:13" s="3" customFormat="1" x14ac:dyDescent="0.2">
      <c r="B80" s="3" t="s">
        <v>81</v>
      </c>
      <c r="I80" s="3">
        <v>-2059</v>
      </c>
      <c r="M80" s="3">
        <v>-2804</v>
      </c>
    </row>
    <row r="81" spans="2:13" s="3" customFormat="1" x14ac:dyDescent="0.2">
      <c r="B81" s="3" t="s">
        <v>82</v>
      </c>
      <c r="I81" s="3">
        <v>-59</v>
      </c>
      <c r="M81" s="3">
        <v>-28</v>
      </c>
    </row>
    <row r="82" spans="2:13" s="6" customFormat="1" ht="15.75" x14ac:dyDescent="0.25">
      <c r="B82" s="6" t="s">
        <v>83</v>
      </c>
      <c r="I82" s="6">
        <f>+SUM(I75:I81)</f>
        <v>4626</v>
      </c>
      <c r="M82" s="6">
        <f>+SUM(M75:M81)</f>
        <v>15643</v>
      </c>
    </row>
    <row r="83" spans="2:13" s="6" customFormat="1" ht="15.75" x14ac:dyDescent="0.25">
      <c r="B83" s="6" t="s">
        <v>84</v>
      </c>
      <c r="I83" s="6">
        <f>+I66+I73+I82</f>
        <v>1513</v>
      </c>
      <c r="M83" s="6">
        <f>+M66+M73+M82</f>
        <v>6278</v>
      </c>
    </row>
  </sheetData>
  <hyperlinks>
    <hyperlink ref="A1" location="Main!A1" display="Main" xr:uid="{1DC74F55-7D75-4656-B07D-600583718F7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2022-09-19T21:02:30Z</dcterms:created>
  <dcterms:modified xsi:type="dcterms:W3CDTF">2022-10-24T19:36:56Z</dcterms:modified>
</cp:coreProperties>
</file>