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0794FFA9-58D0-46F7-883F-3D5406FF057D}" xr6:coauthVersionLast="47" xr6:coauthVersionMax="47" xr10:uidLastSave="{00000000-0000-0000-0000-000000000000}"/>
  <bookViews>
    <workbookView xWindow="11640" yWindow="3480" windowWidth="15510" windowHeight="11955" activeTab="1" xr2:uid="{0302C6B7-7D62-42C0-8C3A-B7869C3EA5BD}"/>
  </bookViews>
  <sheets>
    <sheet name="Main" sheetId="1" r:id="rId1"/>
    <sheet name="Mode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S28" i="2" l="1"/>
  <c r="S30" i="2" s="1"/>
  <c r="S17" i="2"/>
  <c r="S16" i="2"/>
  <c r="S19" i="2"/>
  <c r="S20" i="2"/>
  <c r="S18" i="2"/>
  <c r="R28" i="2"/>
  <c r="S11" i="2" l="1"/>
  <c r="S14" i="2"/>
  <c r="S13" i="2"/>
  <c r="S10" i="2"/>
  <c r="S12" i="2"/>
  <c r="S34" i="2"/>
  <c r="R18" i="2"/>
  <c r="AB4" i="2"/>
  <c r="AB16" i="2" s="1"/>
  <c r="AB8" i="2"/>
  <c r="AB7" i="2"/>
  <c r="AB6" i="2"/>
  <c r="AB5" i="2"/>
  <c r="AA8" i="2"/>
  <c r="AA7" i="2"/>
  <c r="AA6" i="2"/>
  <c r="AA5" i="2"/>
  <c r="AA4" i="2"/>
  <c r="AB26" i="2"/>
  <c r="AB25" i="2"/>
  <c r="AB24" i="2"/>
  <c r="AB23" i="2"/>
  <c r="AA23" i="2"/>
  <c r="AA26" i="2"/>
  <c r="AA25" i="2"/>
  <c r="AA24" i="2"/>
  <c r="O54" i="2"/>
  <c r="R54" i="2"/>
  <c r="Q54" i="2"/>
  <c r="P54" i="2"/>
  <c r="Q53" i="2"/>
  <c r="P53" i="2"/>
  <c r="O53" i="2"/>
  <c r="R53" i="2"/>
  <c r="O16" i="2"/>
  <c r="AB44" i="2"/>
  <c r="AA44" i="2"/>
  <c r="AA41" i="2"/>
  <c r="AA39" i="2"/>
  <c r="AA36" i="2"/>
  <c r="AA35" i="2"/>
  <c r="AA32" i="2"/>
  <c r="AA31" i="2"/>
  <c r="AA29" i="2"/>
  <c r="AB41" i="2"/>
  <c r="AB39" i="2"/>
  <c r="AB36" i="2"/>
  <c r="AB35" i="2"/>
  <c r="AB32" i="2"/>
  <c r="AB31" i="2"/>
  <c r="AB29" i="2"/>
  <c r="O19" i="2"/>
  <c r="O20" i="2"/>
  <c r="O18" i="2"/>
  <c r="O17" i="2"/>
  <c r="Q16" i="2"/>
  <c r="O108" i="2"/>
  <c r="O98" i="2"/>
  <c r="O90" i="2"/>
  <c r="O68" i="2"/>
  <c r="O72" i="2" s="1"/>
  <c r="O58" i="2"/>
  <c r="O65" i="2" s="1"/>
  <c r="K37" i="2"/>
  <c r="K33" i="2"/>
  <c r="K30" i="2"/>
  <c r="K10" i="2" s="1"/>
  <c r="O37" i="2"/>
  <c r="O33" i="2"/>
  <c r="O75" i="2" s="1"/>
  <c r="O30" i="2"/>
  <c r="O74" i="2" s="1"/>
  <c r="P20" i="2"/>
  <c r="P19" i="2"/>
  <c r="P18" i="2"/>
  <c r="P17" i="2"/>
  <c r="P16" i="2"/>
  <c r="P107" i="2"/>
  <c r="P108" i="2" s="1"/>
  <c r="P98" i="2"/>
  <c r="P90" i="2"/>
  <c r="P68" i="2"/>
  <c r="P72" i="2" s="1"/>
  <c r="P58" i="2"/>
  <c r="P65" i="2" s="1"/>
  <c r="L37" i="2"/>
  <c r="L33" i="2"/>
  <c r="L30" i="2"/>
  <c r="L13" i="2" s="1"/>
  <c r="P37" i="2"/>
  <c r="P33" i="2"/>
  <c r="P75" i="2" s="1"/>
  <c r="P30" i="2"/>
  <c r="Q18" i="2"/>
  <c r="Q20" i="2"/>
  <c r="Q19" i="2"/>
  <c r="Q17" i="2"/>
  <c r="M107" i="2"/>
  <c r="M108" i="2" s="1"/>
  <c r="Q108" i="2"/>
  <c r="M98" i="2"/>
  <c r="Q98" i="2"/>
  <c r="M90" i="2"/>
  <c r="Q90" i="2"/>
  <c r="Q68" i="2"/>
  <c r="Q72" i="2" s="1"/>
  <c r="Q58" i="2"/>
  <c r="Q65" i="2" s="1"/>
  <c r="M37" i="2"/>
  <c r="M33" i="2"/>
  <c r="M30" i="2"/>
  <c r="M14" i="2" s="1"/>
  <c r="Q37" i="2"/>
  <c r="Q33" i="2"/>
  <c r="Q75" i="2" s="1"/>
  <c r="Q30" i="2"/>
  <c r="N108" i="2"/>
  <c r="R108" i="2"/>
  <c r="N98" i="2"/>
  <c r="R98" i="2"/>
  <c r="N90" i="2"/>
  <c r="R90" i="2"/>
  <c r="N68" i="2"/>
  <c r="N72" i="2" s="1"/>
  <c r="N58" i="2"/>
  <c r="N65" i="2" s="1"/>
  <c r="R68" i="2"/>
  <c r="R72" i="2" s="1"/>
  <c r="R58" i="2"/>
  <c r="R19" i="2"/>
  <c r="R17" i="2"/>
  <c r="R20" i="2"/>
  <c r="R16" i="2"/>
  <c r="R30" i="2"/>
  <c r="R74" i="2" s="1"/>
  <c r="N28" i="2"/>
  <c r="N30" i="2" s="1"/>
  <c r="N14" i="2" s="1"/>
  <c r="N37" i="2"/>
  <c r="R37" i="2"/>
  <c r="N33" i="2"/>
  <c r="R33" i="2"/>
  <c r="R75" i="2" s="1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K5" i="1"/>
  <c r="K8" i="1" s="1"/>
  <c r="P10" i="2" l="1"/>
  <c r="P74" i="2"/>
  <c r="O12" i="2"/>
  <c r="Q14" i="2"/>
  <c r="Q74" i="2"/>
  <c r="O11" i="2"/>
  <c r="AB17" i="2"/>
  <c r="R109" i="2"/>
  <c r="R34" i="2"/>
  <c r="AA30" i="2"/>
  <c r="AA14" i="2" s="1"/>
  <c r="AB18" i="2"/>
  <c r="K11" i="2"/>
  <c r="AB19" i="2"/>
  <c r="L14" i="2"/>
  <c r="K12" i="2"/>
  <c r="AB20" i="2"/>
  <c r="K13" i="2"/>
  <c r="AA11" i="2"/>
  <c r="AA12" i="2"/>
  <c r="O13" i="2"/>
  <c r="O10" i="2"/>
  <c r="R65" i="2"/>
  <c r="R57" i="2"/>
  <c r="M13" i="2"/>
  <c r="AB37" i="2"/>
  <c r="O109" i="2"/>
  <c r="N11" i="2"/>
  <c r="N109" i="2"/>
  <c r="AA33" i="2"/>
  <c r="N13" i="2"/>
  <c r="Q13" i="2"/>
  <c r="Q10" i="2"/>
  <c r="AA37" i="2"/>
  <c r="L12" i="2"/>
  <c r="M11" i="2"/>
  <c r="AB33" i="2"/>
  <c r="R13" i="2"/>
  <c r="R10" i="2"/>
  <c r="P52" i="2"/>
  <c r="O52" i="2"/>
  <c r="P12" i="2"/>
  <c r="N10" i="2"/>
  <c r="L10" i="2"/>
  <c r="K14" i="2"/>
  <c r="AB30" i="2"/>
  <c r="R12" i="2"/>
  <c r="R14" i="2"/>
  <c r="P11" i="2"/>
  <c r="O14" i="2"/>
  <c r="M109" i="2"/>
  <c r="M34" i="2"/>
  <c r="M46" i="2" s="1"/>
  <c r="P109" i="2"/>
  <c r="Q11" i="2"/>
  <c r="P13" i="2"/>
  <c r="M10" i="2"/>
  <c r="L11" i="2"/>
  <c r="R11" i="2"/>
  <c r="Q109" i="2"/>
  <c r="Q12" i="2"/>
  <c r="P14" i="2"/>
  <c r="M12" i="2"/>
  <c r="AA28" i="2"/>
  <c r="AB28" i="2"/>
  <c r="O57" i="2"/>
  <c r="K34" i="2"/>
  <c r="O34" i="2"/>
  <c r="P57" i="2"/>
  <c r="L34" i="2"/>
  <c r="P34" i="2"/>
  <c r="Q52" i="2"/>
  <c r="Q57" i="2"/>
  <c r="Q34" i="2"/>
  <c r="N57" i="2"/>
  <c r="N12" i="2"/>
  <c r="R52" i="2"/>
  <c r="N34" i="2"/>
  <c r="N46" i="2" s="1"/>
  <c r="AA13" i="2" l="1"/>
  <c r="AA10" i="2"/>
  <c r="M38" i="2"/>
  <c r="M47" i="2" s="1"/>
  <c r="AB52" i="2"/>
  <c r="AB14" i="2"/>
  <c r="AB12" i="2"/>
  <c r="AB13" i="2"/>
  <c r="AB11" i="2"/>
  <c r="AB10" i="2"/>
  <c r="Q38" i="2"/>
  <c r="Q46" i="2"/>
  <c r="L38" i="2"/>
  <c r="L46" i="2"/>
  <c r="K38" i="2"/>
  <c r="AA34" i="2"/>
  <c r="AA46" i="2" s="1"/>
  <c r="K46" i="2"/>
  <c r="P38" i="2"/>
  <c r="P46" i="2"/>
  <c r="O38" i="2"/>
  <c r="AB34" i="2"/>
  <c r="AB46" i="2" s="1"/>
  <c r="O46" i="2"/>
  <c r="R38" i="2"/>
  <c r="R46" i="2"/>
  <c r="N38" i="2"/>
  <c r="M40" i="2" l="1"/>
  <c r="M48" i="2" s="1"/>
  <c r="P40" i="2"/>
  <c r="P47" i="2"/>
  <c r="K40" i="2"/>
  <c r="K47" i="2"/>
  <c r="AA38" i="2"/>
  <c r="AA47" i="2" s="1"/>
  <c r="L40" i="2"/>
  <c r="L47" i="2"/>
  <c r="O40" i="2"/>
  <c r="O47" i="2"/>
  <c r="AB38" i="2"/>
  <c r="AB47" i="2" s="1"/>
  <c r="Q40" i="2"/>
  <c r="Q47" i="2"/>
  <c r="M42" i="2"/>
  <c r="N47" i="2"/>
  <c r="N40" i="2"/>
  <c r="R47" i="2"/>
  <c r="R40" i="2"/>
  <c r="O42" i="2" l="1"/>
  <c r="AB40" i="2"/>
  <c r="AB48" i="2" s="1"/>
  <c r="O48" i="2"/>
  <c r="L42" i="2"/>
  <c r="L43" i="2" s="1"/>
  <c r="L48" i="2"/>
  <c r="Q42" i="2"/>
  <c r="Q48" i="2"/>
  <c r="K42" i="2"/>
  <c r="K48" i="2"/>
  <c r="AA40" i="2"/>
  <c r="AA48" i="2" s="1"/>
  <c r="P42" i="2"/>
  <c r="P48" i="2"/>
  <c r="M43" i="2"/>
  <c r="M77" i="2"/>
  <c r="R42" i="2"/>
  <c r="R48" i="2"/>
  <c r="N42" i="2"/>
  <c r="N48" i="2"/>
  <c r="AA42" i="2" l="1"/>
  <c r="AA43" i="2" s="1"/>
  <c r="K43" i="2"/>
  <c r="Q43" i="2"/>
  <c r="Q77" i="2"/>
  <c r="P43" i="2"/>
  <c r="P77" i="2"/>
  <c r="O43" i="2"/>
  <c r="AB42" i="2"/>
  <c r="AB43" i="2" s="1"/>
  <c r="O77" i="2"/>
  <c r="N43" i="2"/>
  <c r="N77" i="2"/>
  <c r="R43" i="2"/>
  <c r="R77" i="2"/>
  <c r="C17" i="1" l="1" a="1"/>
  <c r="C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<sst xmlns="http://schemas.openxmlformats.org/spreadsheetml/2006/main" count="123" uniqueCount="109">
  <si>
    <t>Price</t>
  </si>
  <si>
    <t>Shares</t>
  </si>
  <si>
    <t>EV</t>
  </si>
  <si>
    <t>Cash</t>
  </si>
  <si>
    <t>Debt</t>
  </si>
  <si>
    <t>MC</t>
  </si>
  <si>
    <t>Q421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</si>
  <si>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</si>
  <si>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</si>
  <si>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</si>
  <si>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</si>
  <si>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</si>
  <si>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</si>
  <si>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</si>
  <si>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</si>
  <si>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</si>
  <si>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</si>
  <si>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</si>
  <si>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</si>
  <si>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</si>
  <si>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</si>
  <si>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</si>
  <si>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Q122</t>
  </si>
  <si>
    <t>Q222</t>
  </si>
  <si>
    <t>Q422</t>
  </si>
  <si>
    <t>Q322</t>
  </si>
  <si>
    <t>Products</t>
  </si>
  <si>
    <t>Main</t>
  </si>
  <si>
    <t>Services</t>
  </si>
  <si>
    <t>Revenue</t>
  </si>
  <si>
    <t>Revenue Growth Y/Y</t>
  </si>
  <si>
    <t>Cost of Products</t>
  </si>
  <si>
    <t>Cost of Services</t>
  </si>
  <si>
    <t>COGS</t>
  </si>
  <si>
    <t>Gross Profit</t>
  </si>
  <si>
    <t>Gross Margin %</t>
  </si>
  <si>
    <t>R&amp;D</t>
  </si>
  <si>
    <t>sG&amp;A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</si>
  <si>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</si>
  <si>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</si>
  <si>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</si>
  <si>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</si>
  <si>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</si>
  <si>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</si>
  <si>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</si>
  <si>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Operating Margin %</t>
  </si>
  <si>
    <t>Tax Rate</t>
  </si>
  <si>
    <t>iPhone</t>
  </si>
  <si>
    <t>Mac</t>
  </si>
  <si>
    <t>iPad</t>
  </si>
  <si>
    <t>Wearables</t>
  </si>
  <si>
    <t>Net Sales by Category</t>
  </si>
  <si>
    <t>Net Sales by Reportable Segment</t>
  </si>
  <si>
    <t>Merica</t>
  </si>
  <si>
    <t>Europe</t>
  </si>
  <si>
    <t>China</t>
  </si>
  <si>
    <t>Japan</t>
  </si>
  <si>
    <t>Pacific Asia</t>
  </si>
  <si>
    <t>American Margins %</t>
  </si>
  <si>
    <t>European Margins %</t>
  </si>
  <si>
    <t>China Margins %</t>
  </si>
  <si>
    <t>Japan Margins %</t>
  </si>
  <si>
    <t>Pacific Asia Margins %</t>
  </si>
  <si>
    <t>America Y/Y</t>
  </si>
  <si>
    <t>EU Y/Y</t>
  </si>
  <si>
    <t>CN Y/Y</t>
  </si>
  <si>
    <t>JP Y/Y</t>
  </si>
  <si>
    <t>Pacific Asia Y/Y</t>
  </si>
  <si>
    <t>A/R</t>
  </si>
  <si>
    <t>Inventory</t>
  </si>
  <si>
    <t>Non-trade Receivables</t>
  </si>
  <si>
    <t>OCA</t>
  </si>
  <si>
    <t>PP&amp;E</t>
  </si>
  <si>
    <t>ONCA</t>
  </si>
  <si>
    <t>Total Assets</t>
  </si>
  <si>
    <t>A/P</t>
  </si>
  <si>
    <t>OCL</t>
  </si>
  <si>
    <t>D/R</t>
  </si>
  <si>
    <t>Deferred Revenue</t>
  </si>
  <si>
    <t>ONCL</t>
  </si>
  <si>
    <t>Total Liabilities</t>
  </si>
  <si>
    <t>Net Cash</t>
  </si>
  <si>
    <t>Model NI</t>
  </si>
  <si>
    <t>Reported NI</t>
  </si>
  <si>
    <t>D&amp;A</t>
  </si>
  <si>
    <t>SBC</t>
  </si>
  <si>
    <t>D/T</t>
  </si>
  <si>
    <t>Other</t>
  </si>
  <si>
    <t>CFFO</t>
  </si>
  <si>
    <t>CapEx</t>
  </si>
  <si>
    <t>Purchase of Marketable Securities</t>
  </si>
  <si>
    <t>Maturity of Marketable Securities</t>
  </si>
  <si>
    <t>Sale of Marketable Securities</t>
  </si>
  <si>
    <t>Payment of Acquistions</t>
  </si>
  <si>
    <t>CFFI</t>
  </si>
  <si>
    <t>Proceeds of Common Stock</t>
  </si>
  <si>
    <t>Investment Tax</t>
  </si>
  <si>
    <t>Dividend</t>
  </si>
  <si>
    <t>Repurchase of Common Stock</t>
  </si>
  <si>
    <t>Payment of Debt</t>
  </si>
  <si>
    <t>Payment of Commercial Paper</t>
  </si>
  <si>
    <t>CFFF</t>
  </si>
  <si>
    <t>Proceeds of Debt</t>
  </si>
  <si>
    <t>CF</t>
  </si>
  <si>
    <t>R&amp;D Y/Y</t>
  </si>
  <si>
    <t>sG&amp;A Y/Y</t>
  </si>
  <si>
    <t>Cash Received From Customers</t>
  </si>
  <si>
    <t>Cash Paid to Suppliers</t>
  </si>
  <si>
    <t>GDP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</si>
</sst>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9" fontId="0" fillId="0" borderId="0" xfId="0" applyNumberFormat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 vertical="center"/>
    </xf>
    <xf numFmtId="1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Model!$O$50:$R$50</c:f>
              <c:numCache>
                <c:formatCode>0.00%</c:formatCode>
                <c:ptCount val="4"/>
                <c:pt idx="0">
                  <c:v>2.5922884702821669E-2</c:v>
                </c:pt>
                <c:pt idx="1">
                  <c:v>0.16755355579510334</c:v>
                </c:pt>
                <c:pt idx="2">
                  <c:v>9.7630521339802767E-2</c:v>
                </c:pt>
                <c:pt idx="3">
                  <c:v>0.11757451264217322</c:v>
                </c:pt>
              </c:numCache>
            </c:numRef>
          </c:xVal>
          <c:yVal>
            <c:numRef>
              <c:f>Model!$O$52:$R$52</c:f>
              <c:numCache>
                <c:formatCode>0%</c:formatCode>
                <c:ptCount val="4"/>
                <c:pt idx="0">
                  <c:v>0.21368126422635836</c:v>
                </c:pt>
                <c:pt idx="1">
                  <c:v>0.53626121105070901</c:v>
                </c:pt>
                <c:pt idx="2">
                  <c:v>0.36439641450950822</c:v>
                </c:pt>
                <c:pt idx="3">
                  <c:v>0.28844786546724777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7A-47DC-B807-C7926F3DA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9312"/>
        <c:axId val="116681824"/>
      </c:scatterChart>
      <c:valAx>
        <c:axId val="11668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1824"/>
        <c:crosses val="autoZero"/>
        <c:crossBetween val="midCat"/>
      </c:valAx>
      <c:valAx>
        <c:axId val="1166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28575</xdr:rowOff>
    </xdr:from>
    <xdr:to>
      <xdr:col>18</xdr:col>
      <xdr:colOff>19050</xdr:colOff>
      <xdr:row>64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C510C5-C608-4C90-A35F-37CA02F7A3EA}"/>
            </a:ext>
          </a:extLst>
        </xdr:cNvPr>
        <xdr:cNvCxnSpPr/>
      </xdr:nvCxnSpPr>
      <xdr:spPr>
        <a:xfrm>
          <a:off x="13725525" y="28575"/>
          <a:ext cx="0" cy="11344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0</xdr:row>
      <xdr:rowOff>28575</xdr:rowOff>
    </xdr:from>
    <xdr:to>
      <xdr:col>28</xdr:col>
      <xdr:colOff>38100</xdr:colOff>
      <xdr:row>63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53DA542-0050-4C73-8763-E6FEE3C89001}"/>
            </a:ext>
          </a:extLst>
        </xdr:cNvPr>
        <xdr:cNvCxnSpPr/>
      </xdr:nvCxnSpPr>
      <xdr:spPr>
        <a:xfrm>
          <a:off x="20602575" y="28575"/>
          <a:ext cx="0" cy="11153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49</xdr:row>
      <xdr:rowOff>119062</xdr:rowOff>
    </xdr:from>
    <xdr:to>
      <xdr:col>25</xdr:col>
      <xdr:colOff>609600</xdr:colOff>
      <xdr:row>64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F1613-0B8B-5B4D-B74D-78E083AC5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verse/te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mparison"/>
      <sheetName val="Currencies"/>
      <sheetName val="Debt"/>
    </sheetNames>
    <sheetDataSet>
      <sheetData sheetId="0">
        <row r="3">
          <cell r="C3" t="str">
            <v>APPLE INC.</v>
          </cell>
        </row>
      </sheetData>
      <sheetData sheetId="1" refreshError="1"/>
      <sheetData sheetId="2" refreshError="1"/>
      <sheetData sheetId="3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description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76BD-9A22-460C-AFA4-6B0577A2FEF0}">
  <sheetPr codeName="Sheet1"/>
  <dimension ref="C3:L17"/>
  <sheetViews>
    <sheetView workbookViewId="0">
      <selection activeCell="H19" sqref="H19"/>
    </sheetView>
  </sheetViews>
  <sheetFormatPr defaultRowHeight="14.25" x14ac:dyDescent="0.2"/>
  <cols>
    <col min="3" max="3" width="8.875" customWidth="1"/>
    <col min="12" max="12" width="9" style="2"/>
  </cols>
  <sheetData>
    <row r="3" spans="10:12" x14ac:dyDescent="0.2">
      <c r="J3" t="s">
        <v>0</v>
      </c>
      <c r="K3">
        <v>177.57</v>
      </c>
    </row>
    <row r="4" spans="10:12" x14ac:dyDescent="0.2">
      <c r="J4" t="s">
        <v>1</v>
      </c>
      <c r="K4" s="1">
        <v>16070.752</v>
      </c>
      <c r="L4" s="2" t="s">
        <v>23</v>
      </c>
    </row>
    <row r="5" spans="10:12" x14ac:dyDescent="0.2">
      <c r="J5" t="s">
        <v>5</v>
      </c>
      <c r="K5" s="1">
        <f>+K3*K4</f>
        <v>2853683.4326399998</v>
      </c>
    </row>
    <row r="6" spans="10:12" x14ac:dyDescent="0.2">
      <c r="J6" t="s">
        <v>3</v>
      </c>
      <c r="K6" s="1">
        <f>27502+20729+131077</f>
        <v>179308</v>
      </c>
      <c r="L6" s="2" t="s">
        <v>23</v>
      </c>
    </row>
    <row r="7" spans="10:12" x14ac:dyDescent="0.2">
      <c r="J7" t="s">
        <v>4</v>
      </c>
      <c r="K7" s="1">
        <f>10982+14009+94700</f>
        <v>119691</v>
      </c>
      <c r="L7" s="2" t="s">
        <v>23</v>
      </c>
    </row>
    <row r="8" spans="10:12" x14ac:dyDescent="0.2">
      <c r="J8" t="s">
        <v>2</v>
      </c>
      <c r="K8" s="1">
        <f>+K5-K6+K7</f>
        <v>2794066.4326399998</v>
      </c>
    </row>
    <row r="17" spans="3:3" x14ac:dyDescent="0.2">
      <c r="C17" s="10" t="e" cm="1" vm="1">
        <f t="array" ref="C17">+_FV([1]Main!$C$3,"description")</f>
        <v>#VALUE!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2327-DE7B-45FD-B7E7-AF56114F517D}">
  <sheetPr codeName="Sheet2"/>
  <dimension ref="A1:AM111"/>
  <sheetViews>
    <sheetView tabSelected="1" zoomScaleNormal="100" workbookViewId="0">
      <pane xSplit="2" ySplit="2" topLeftCell="K17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RowHeight="14.25" x14ac:dyDescent="0.2"/>
  <cols>
    <col min="1" max="1" width="4.625" bestFit="1" customWidth="1"/>
    <col min="2" max="2" width="31.25" bestFit="1" customWidth="1"/>
    <col min="19" max="19" width="9" style="1"/>
  </cols>
  <sheetData>
    <row r="1" spans="1:39" x14ac:dyDescent="0.2">
      <c r="A1" s="3" t="s">
        <v>27</v>
      </c>
    </row>
    <row r="2" spans="1:39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6</v>
      </c>
      <c r="S2" s="1" t="s">
        <v>22</v>
      </c>
      <c r="T2" t="s">
        <v>23</v>
      </c>
      <c r="U2" t="s">
        <v>25</v>
      </c>
      <c r="V2" t="s">
        <v>24</v>
      </c>
      <c r="Y2">
        <v>2018</v>
      </c>
      <c r="Z2">
        <f>+Y2+1</f>
        <v>2019</v>
      </c>
      <c r="AA2">
        <f t="shared" ref="AA2:AM2" si="0">+Z2+1</f>
        <v>2020</v>
      </c>
      <c r="AB2">
        <f t="shared" si="0"/>
        <v>2021</v>
      </c>
      <c r="AC2">
        <f t="shared" si="0"/>
        <v>2022</v>
      </c>
      <c r="AD2">
        <f t="shared" si="0"/>
        <v>2023</v>
      </c>
      <c r="AE2">
        <f t="shared" si="0"/>
        <v>2024</v>
      </c>
      <c r="AF2">
        <f t="shared" si="0"/>
        <v>2025</v>
      </c>
      <c r="AG2">
        <f t="shared" si="0"/>
        <v>2026</v>
      </c>
      <c r="AH2">
        <f t="shared" si="0"/>
        <v>2027</v>
      </c>
      <c r="AI2">
        <f t="shared" si="0"/>
        <v>2028</v>
      </c>
      <c r="AJ2">
        <f t="shared" si="0"/>
        <v>2029</v>
      </c>
      <c r="AK2">
        <f t="shared" si="0"/>
        <v>2030</v>
      </c>
      <c r="AL2">
        <f t="shared" si="0"/>
        <v>2031</v>
      </c>
      <c r="AM2">
        <f t="shared" si="0"/>
        <v>2032</v>
      </c>
    </row>
    <row r="3" spans="1:39" ht="15" x14ac:dyDescent="0.25">
      <c r="B3" s="8" t="s">
        <v>52</v>
      </c>
    </row>
    <row r="4" spans="1:39" x14ac:dyDescent="0.2">
      <c r="B4" s="9" t="s">
        <v>53</v>
      </c>
      <c r="K4" s="1">
        <v>41367</v>
      </c>
      <c r="L4" s="1">
        <v>25473</v>
      </c>
      <c r="M4" s="1">
        <v>27018</v>
      </c>
      <c r="N4" s="1">
        <v>30698</v>
      </c>
      <c r="O4" s="1">
        <v>46310</v>
      </c>
      <c r="P4" s="1">
        <v>34306</v>
      </c>
      <c r="Q4" s="1">
        <v>35870</v>
      </c>
      <c r="R4" s="1">
        <v>36820</v>
      </c>
      <c r="S4" s="1">
        <v>51496</v>
      </c>
      <c r="AA4" s="1">
        <f t="shared" ref="AA4:AA8" si="1">+SUM(K4:N4)</f>
        <v>124556</v>
      </c>
      <c r="AB4" s="1">
        <f>+SUM(O4:R4)</f>
        <v>153306</v>
      </c>
    </row>
    <row r="5" spans="1:39" x14ac:dyDescent="0.2">
      <c r="B5" t="s">
        <v>54</v>
      </c>
      <c r="K5" s="1">
        <v>23273</v>
      </c>
      <c r="L5" s="1">
        <v>14294</v>
      </c>
      <c r="M5" s="1">
        <v>14173</v>
      </c>
      <c r="N5" s="1">
        <v>16900</v>
      </c>
      <c r="O5" s="1">
        <v>27306</v>
      </c>
      <c r="P5" s="1">
        <v>22264</v>
      </c>
      <c r="Q5" s="1">
        <v>18943</v>
      </c>
      <c r="R5" s="1">
        <v>20794</v>
      </c>
      <c r="S5" s="1">
        <v>29749</v>
      </c>
      <c r="AA5" s="1">
        <f t="shared" si="1"/>
        <v>68640</v>
      </c>
      <c r="AB5" s="1">
        <f t="shared" ref="AB5:AB8" si="2">+SUM(O5:R5)</f>
        <v>89307</v>
      </c>
    </row>
    <row r="6" spans="1:39" x14ac:dyDescent="0.2">
      <c r="B6" t="s">
        <v>55</v>
      </c>
      <c r="K6" s="1">
        <v>13578</v>
      </c>
      <c r="L6" s="1">
        <v>9455</v>
      </c>
      <c r="M6" s="1">
        <v>9329</v>
      </c>
      <c r="N6" s="1">
        <v>7946</v>
      </c>
      <c r="O6" s="1">
        <v>21313</v>
      </c>
      <c r="P6" s="1">
        <v>17728</v>
      </c>
      <c r="Q6" s="1">
        <v>14762</v>
      </c>
      <c r="R6" s="1">
        <v>14563</v>
      </c>
      <c r="S6" s="1">
        <v>25783</v>
      </c>
      <c r="AA6" s="1">
        <f t="shared" si="1"/>
        <v>40308</v>
      </c>
      <c r="AB6" s="1">
        <f t="shared" si="2"/>
        <v>68366</v>
      </c>
    </row>
    <row r="7" spans="1:39" x14ac:dyDescent="0.2">
      <c r="B7" t="s">
        <v>56</v>
      </c>
      <c r="K7" s="1">
        <v>6223</v>
      </c>
      <c r="L7" s="1">
        <v>5206</v>
      </c>
      <c r="M7" s="1">
        <v>4966</v>
      </c>
      <c r="N7" s="1">
        <v>5023</v>
      </c>
      <c r="O7" s="1">
        <v>8285</v>
      </c>
      <c r="P7" s="1">
        <v>7742</v>
      </c>
      <c r="Q7" s="1">
        <v>6464</v>
      </c>
      <c r="R7" s="1">
        <v>5991</v>
      </c>
      <c r="S7" s="1">
        <v>7107</v>
      </c>
      <c r="AA7" s="1">
        <f t="shared" si="1"/>
        <v>21418</v>
      </c>
      <c r="AB7" s="1">
        <f t="shared" si="2"/>
        <v>28482</v>
      </c>
    </row>
    <row r="8" spans="1:39" x14ac:dyDescent="0.2">
      <c r="B8" t="s">
        <v>57</v>
      </c>
      <c r="K8" s="1">
        <v>7378</v>
      </c>
      <c r="L8" s="1">
        <v>3885</v>
      </c>
      <c r="M8" s="1">
        <v>4199</v>
      </c>
      <c r="N8" s="1">
        <v>4131</v>
      </c>
      <c r="O8" s="1">
        <v>8225</v>
      </c>
      <c r="P8" s="1">
        <v>7544</v>
      </c>
      <c r="Q8" s="1">
        <v>5395</v>
      </c>
      <c r="R8" s="1">
        <v>5192</v>
      </c>
      <c r="S8" s="1">
        <v>9810</v>
      </c>
      <c r="AA8" s="1">
        <f t="shared" si="1"/>
        <v>19593</v>
      </c>
      <c r="AB8" s="1">
        <f t="shared" si="2"/>
        <v>26356</v>
      </c>
    </row>
    <row r="9" spans="1:39" x14ac:dyDescent="0.2">
      <c r="N9" s="1"/>
      <c r="R9" s="1"/>
    </row>
    <row r="10" spans="1:39" x14ac:dyDescent="0.2">
      <c r="B10" t="s">
        <v>58</v>
      </c>
      <c r="K10" s="4">
        <f>+K4/$K$30</f>
        <v>0.45052766856532961</v>
      </c>
      <c r="L10" s="4">
        <f>+L4/$L$30</f>
        <v>0.43683226724744051</v>
      </c>
      <c r="M10" s="4">
        <f>+M4/$M$30</f>
        <v>0.4526765518974617</v>
      </c>
      <c r="N10" s="4">
        <f>+N4/$N$30</f>
        <v>0.47448143682957744</v>
      </c>
      <c r="O10" s="4">
        <f>+O4/$O$30</f>
        <v>0.41556367160509339</v>
      </c>
      <c r="P10" s="4">
        <f>+P4/$P$30</f>
        <v>0.38294784782996966</v>
      </c>
      <c r="Q10" s="4">
        <f>+Q4/$Q$30</f>
        <v>0.44047940663604884</v>
      </c>
      <c r="R10" s="4">
        <f>+R4/$R$30</f>
        <v>0.44169865642994244</v>
      </c>
      <c r="S10" s="4">
        <f>+S4/$S$30</f>
        <v>0.41547460567187061</v>
      </c>
      <c r="AA10" s="4">
        <f>+AA4/$AA$30</f>
        <v>0.45373112580369013</v>
      </c>
      <c r="AB10" s="4">
        <f>+AB4/$AB$30</f>
        <v>0.41907839165484384</v>
      </c>
    </row>
    <row r="11" spans="1:39" x14ac:dyDescent="0.2">
      <c r="B11" t="s">
        <v>59</v>
      </c>
      <c r="K11" s="4">
        <f t="shared" ref="K11:K14" si="3">+K5/$K$30</f>
        <v>0.25346605822324353</v>
      </c>
      <c r="L11" s="4">
        <f>+L5/$L$30</f>
        <v>0.24512544372609882</v>
      </c>
      <c r="M11" s="4">
        <f t="shared" ref="M11:M14" si="4">+M5/$M$30</f>
        <v>0.23746334925023038</v>
      </c>
      <c r="N11" s="4">
        <f>+N5/$N$30</f>
        <v>0.26121363875235709</v>
      </c>
      <c r="O11" s="4">
        <f t="shared" ref="O11:O14" si="5">+O5/$O$30</f>
        <v>0.24503091377345454</v>
      </c>
      <c r="P11" s="4">
        <f t="shared" ref="P11:P14" si="6">+P5/$P$30</f>
        <v>0.24852652259332023</v>
      </c>
      <c r="Q11" s="4">
        <f t="shared" ref="Q11:Q14" si="7">+Q5/$Q$30</f>
        <v>0.23261782547830145</v>
      </c>
      <c r="R11" s="4">
        <f t="shared" ref="R11:R14" si="8">+R5/$R$30</f>
        <v>0.24944817658349328</v>
      </c>
      <c r="S11" s="4">
        <f t="shared" ref="S11:S14" si="9">+S5/$S$30</f>
        <v>0.24001774980838275</v>
      </c>
      <c r="AA11" s="4">
        <f t="shared" ref="AA11:AA14" si="10">+AA5/$AA$30</f>
        <v>0.25004098136713843</v>
      </c>
      <c r="AB11" s="4">
        <f t="shared" ref="AB11:AB14" si="11">+AB5/$AB$30</f>
        <v>0.2441302618522376</v>
      </c>
    </row>
    <row r="12" spans="1:39" x14ac:dyDescent="0.2">
      <c r="B12" t="s">
        <v>60</v>
      </c>
      <c r="K12" s="4">
        <f t="shared" si="3"/>
        <v>0.14787789019701805</v>
      </c>
      <c r="L12" s="4">
        <f>+L6/$L$30</f>
        <v>0.16214223243530601</v>
      </c>
      <c r="M12" s="4">
        <f t="shared" si="4"/>
        <v>0.15630392896037532</v>
      </c>
      <c r="N12" s="4">
        <f>+N6/$N$30</f>
        <v>0.12281677949859346</v>
      </c>
      <c r="O12" s="4">
        <f t="shared" si="5"/>
        <v>0.19125261353745099</v>
      </c>
      <c r="P12" s="4">
        <f t="shared" si="6"/>
        <v>0.19789248080014288</v>
      </c>
      <c r="Q12" s="4">
        <f t="shared" si="7"/>
        <v>0.18127563425596188</v>
      </c>
      <c r="R12" s="4">
        <f t="shared" si="8"/>
        <v>0.17470009596928981</v>
      </c>
      <c r="S12" s="4">
        <f t="shared" si="9"/>
        <v>0.20801968615111541</v>
      </c>
      <c r="AA12" s="4">
        <f t="shared" si="10"/>
        <v>0.14683350636577236</v>
      </c>
      <c r="AB12" s="4">
        <f t="shared" si="11"/>
        <v>0.18688579262308749</v>
      </c>
    </row>
    <row r="13" spans="1:39" x14ac:dyDescent="0.2">
      <c r="B13" t="s">
        <v>61</v>
      </c>
      <c r="K13" s="4">
        <f t="shared" si="3"/>
        <v>6.7774643592284828E-2</v>
      </c>
      <c r="L13" s="4">
        <f>+L7/$L$30</f>
        <v>8.9276833639154216E-2</v>
      </c>
      <c r="M13" s="4">
        <f t="shared" si="4"/>
        <v>8.3203484962720953E-2</v>
      </c>
      <c r="N13" s="4">
        <f>+N7/$N$30</f>
        <v>7.7637639494265664E-2</v>
      </c>
      <c r="O13" s="4">
        <f t="shared" si="5"/>
        <v>7.4345606116350646E-2</v>
      </c>
      <c r="P13" s="4">
        <f t="shared" si="6"/>
        <v>8.6421682443293443E-2</v>
      </c>
      <c r="Q13" s="4">
        <f t="shared" si="7"/>
        <v>7.937716432939558E-2</v>
      </c>
      <c r="R13" s="4">
        <f t="shared" si="8"/>
        <v>7.1869001919385792E-2</v>
      </c>
      <c r="S13" s="4">
        <f t="shared" si="9"/>
        <v>5.7339949171003268E-2</v>
      </c>
      <c r="AA13" s="4">
        <f t="shared" si="10"/>
        <v>7.8021237455148176E-2</v>
      </c>
      <c r="AB13" s="4">
        <f t="shared" si="11"/>
        <v>7.7858601431863475E-2</v>
      </c>
    </row>
    <row r="14" spans="1:39" x14ac:dyDescent="0.2">
      <c r="B14" t="s">
        <v>62</v>
      </c>
      <c r="K14" s="4">
        <f t="shared" si="3"/>
        <v>8.0353739422123968E-2</v>
      </c>
      <c r="L14" s="4">
        <f>+L8/$L$30</f>
        <v>6.6623222952000405E-2</v>
      </c>
      <c r="M14" s="4">
        <f t="shared" si="4"/>
        <v>7.0352684929211692E-2</v>
      </c>
      <c r="N14" s="4">
        <f>+N8/$N$30</f>
        <v>6.3850505425206344E-2</v>
      </c>
      <c r="O14" s="4">
        <f t="shared" si="5"/>
        <v>7.3807194967650466E-2</v>
      </c>
      <c r="P14" s="4">
        <f t="shared" si="6"/>
        <v>8.4211466333273796E-2</v>
      </c>
      <c r="Q14" s="4">
        <f t="shared" si="7"/>
        <v>6.6249969300292255E-2</v>
      </c>
      <c r="R14" s="4">
        <f t="shared" si="8"/>
        <v>6.2284069097888674E-2</v>
      </c>
      <c r="S14" s="4">
        <f t="shared" si="9"/>
        <v>7.9148009197627975E-2</v>
      </c>
      <c r="AA14" s="4">
        <f t="shared" si="10"/>
        <v>7.1373149008250911E-2</v>
      </c>
      <c r="AB14" s="4">
        <f t="shared" si="11"/>
        <v>7.2046952437967618E-2</v>
      </c>
    </row>
    <row r="15" spans="1:39" x14ac:dyDescent="0.2">
      <c r="N15" s="1"/>
      <c r="R15" s="1"/>
      <c r="S15" s="4"/>
    </row>
    <row r="16" spans="1:39" x14ac:dyDescent="0.2">
      <c r="B16" t="s">
        <v>63</v>
      </c>
      <c r="N16" s="1"/>
      <c r="O16" s="4">
        <f>+O4/K4-1</f>
        <v>0.11949138201948406</v>
      </c>
      <c r="P16" s="4">
        <f t="shared" ref="O16:R19" si="12">+P4/L4-1</f>
        <v>0.34675931378322145</v>
      </c>
      <c r="Q16" s="4">
        <f t="shared" si="12"/>
        <v>0.32763342956547481</v>
      </c>
      <c r="R16" s="4">
        <f t="shared" si="12"/>
        <v>0.19942667274741033</v>
      </c>
      <c r="S16" s="4">
        <f>+S4/O4-1</f>
        <v>0.11198445260202972</v>
      </c>
      <c r="AB16" s="4">
        <f>+AB4/AA4-1</f>
        <v>0.23081987218600464</v>
      </c>
    </row>
    <row r="17" spans="2:28" x14ac:dyDescent="0.2">
      <c r="B17" t="s">
        <v>64</v>
      </c>
      <c r="N17" s="1"/>
      <c r="O17" s="4">
        <f t="shared" si="12"/>
        <v>0.17329093799682038</v>
      </c>
      <c r="P17" s="4">
        <f t="shared" si="12"/>
        <v>0.55757660556877009</v>
      </c>
      <c r="Q17" s="4">
        <f t="shared" si="12"/>
        <v>0.33655542228180346</v>
      </c>
      <c r="R17" s="4">
        <f t="shared" si="12"/>
        <v>0.23041420118343203</v>
      </c>
      <c r="S17" s="4">
        <f>+S5/O5-1</f>
        <v>8.9467516296784622E-2</v>
      </c>
      <c r="AB17" s="4">
        <f t="shared" ref="AB17:AB19" si="13">+AB5/AA5-1</f>
        <v>0.30109265734265733</v>
      </c>
    </row>
    <row r="18" spans="2:28" x14ac:dyDescent="0.2">
      <c r="B18" t="s">
        <v>65</v>
      </c>
      <c r="N18" s="1"/>
      <c r="O18" s="4">
        <f t="shared" si="12"/>
        <v>0.56967152747090877</v>
      </c>
      <c r="P18" s="4">
        <f t="shared" si="12"/>
        <v>0.87498677948175563</v>
      </c>
      <c r="Q18" s="4">
        <f t="shared" si="12"/>
        <v>0.58237753242576917</v>
      </c>
      <c r="R18" s="4">
        <f>+R6/N6-1</f>
        <v>0.8327460357412535</v>
      </c>
      <c r="S18" s="4">
        <f>+S6/O6-1</f>
        <v>0.20973115000234599</v>
      </c>
      <c r="AB18" s="4">
        <f t="shared" si="13"/>
        <v>0.69609010618239564</v>
      </c>
    </row>
    <row r="19" spans="2:28" x14ac:dyDescent="0.2">
      <c r="B19" t="s">
        <v>66</v>
      </c>
      <c r="N19" s="1"/>
      <c r="O19" s="4">
        <f t="shared" si="12"/>
        <v>0.33135143821308044</v>
      </c>
      <c r="P19" s="4">
        <f t="shared" si="12"/>
        <v>0.48713023434498659</v>
      </c>
      <c r="Q19" s="4">
        <f t="shared" si="12"/>
        <v>0.30165122835279901</v>
      </c>
      <c r="R19" s="4">
        <f t="shared" si="12"/>
        <v>0.19271351781803703</v>
      </c>
      <c r="S19" s="4">
        <f>+S7/O7-1</f>
        <v>-0.14218467109233557</v>
      </c>
      <c r="AB19" s="4">
        <f t="shared" si="13"/>
        <v>0.32981604258100661</v>
      </c>
    </row>
    <row r="20" spans="2:28" x14ac:dyDescent="0.2">
      <c r="B20" t="s">
        <v>67</v>
      </c>
      <c r="N20" s="1"/>
      <c r="O20" s="4">
        <f t="shared" ref="O20:S20" si="14">+O8/K8-1</f>
        <v>0.11480075901328268</v>
      </c>
      <c r="P20" s="4">
        <f t="shared" si="14"/>
        <v>0.94182754182754191</v>
      </c>
      <c r="Q20" s="4">
        <f t="shared" si="14"/>
        <v>0.28482972136222906</v>
      </c>
      <c r="R20" s="4">
        <f t="shared" si="14"/>
        <v>0.25683853788428945</v>
      </c>
      <c r="S20" s="4">
        <f t="shared" si="14"/>
        <v>0.19270516717325226</v>
      </c>
      <c r="AB20" s="4">
        <f>+AB8/AA8-1</f>
        <v>0.34517429694278579</v>
      </c>
    </row>
    <row r="21" spans="2:28" x14ac:dyDescent="0.2">
      <c r="N21" s="1"/>
      <c r="R21" s="1"/>
    </row>
    <row r="22" spans="2:28" ht="15" x14ac:dyDescent="0.25">
      <c r="B22" s="8" t="s">
        <v>51</v>
      </c>
    </row>
    <row r="23" spans="2:28" x14ac:dyDescent="0.2">
      <c r="B23" t="s">
        <v>47</v>
      </c>
      <c r="K23" s="1">
        <v>55957</v>
      </c>
      <c r="L23" s="1">
        <v>28962</v>
      </c>
      <c r="M23" s="1">
        <v>26418</v>
      </c>
      <c r="N23" s="1">
        <v>26444</v>
      </c>
      <c r="O23" s="1">
        <v>65597</v>
      </c>
      <c r="P23" s="1">
        <v>47938</v>
      </c>
      <c r="Q23" s="1">
        <v>39570</v>
      </c>
      <c r="R23" s="1">
        <v>38868</v>
      </c>
      <c r="S23" s="1">
        <v>71628</v>
      </c>
      <c r="AA23" s="1">
        <f>+SUM(K23:N23)</f>
        <v>137781</v>
      </c>
      <c r="AB23" s="1">
        <f>+SUM(O23:R23)</f>
        <v>191973</v>
      </c>
    </row>
    <row r="24" spans="2:28" x14ac:dyDescent="0.2">
      <c r="B24" t="s">
        <v>48</v>
      </c>
      <c r="K24" s="1">
        <v>7160</v>
      </c>
      <c r="L24" s="1">
        <v>5351</v>
      </c>
      <c r="M24" s="1">
        <v>7079</v>
      </c>
      <c r="N24" s="1">
        <v>9032</v>
      </c>
      <c r="O24" s="1">
        <v>8675</v>
      </c>
      <c r="P24" s="1">
        <v>9102</v>
      </c>
      <c r="Q24" s="1">
        <v>8235</v>
      </c>
      <c r="R24" s="1">
        <v>9178</v>
      </c>
      <c r="S24" s="1">
        <v>10852</v>
      </c>
      <c r="AA24" s="1">
        <f t="shared" ref="AA24:AA26" si="15">+SUM(K24:N24)</f>
        <v>28622</v>
      </c>
      <c r="AB24" s="1">
        <f t="shared" ref="AB24:AB26" si="16">+SUM(O24:R24)</f>
        <v>35190</v>
      </c>
    </row>
    <row r="25" spans="2:28" x14ac:dyDescent="0.2">
      <c r="B25" t="s">
        <v>49</v>
      </c>
      <c r="K25" s="1">
        <v>5977</v>
      </c>
      <c r="L25" s="1">
        <v>4368</v>
      </c>
      <c r="M25" s="1">
        <v>6582</v>
      </c>
      <c r="N25" s="1">
        <v>6797</v>
      </c>
      <c r="O25" s="1">
        <v>8435</v>
      </c>
      <c r="P25" s="1">
        <v>7807</v>
      </c>
      <c r="Q25" s="1">
        <v>7368</v>
      </c>
      <c r="R25" s="1">
        <v>8252</v>
      </c>
      <c r="S25" s="1">
        <v>7248</v>
      </c>
      <c r="AA25" s="1">
        <f t="shared" si="15"/>
        <v>23724</v>
      </c>
      <c r="AB25" s="1">
        <f t="shared" si="16"/>
        <v>31862</v>
      </c>
    </row>
    <row r="26" spans="2:28" x14ac:dyDescent="0.2">
      <c r="B26" t="s">
        <v>50</v>
      </c>
      <c r="K26" s="1">
        <v>10010</v>
      </c>
      <c r="L26" s="1">
        <v>6284</v>
      </c>
      <c r="M26" s="1">
        <v>6450</v>
      </c>
      <c r="N26" s="1">
        <v>7876</v>
      </c>
      <c r="O26" s="1">
        <v>12971</v>
      </c>
      <c r="P26" s="1">
        <v>7836</v>
      </c>
      <c r="Q26" s="1">
        <v>8775</v>
      </c>
      <c r="R26" s="1">
        <v>8785</v>
      </c>
      <c r="S26" s="1">
        <v>14701</v>
      </c>
      <c r="AA26" s="1">
        <f t="shared" si="15"/>
        <v>30620</v>
      </c>
      <c r="AB26" s="1">
        <f t="shared" si="16"/>
        <v>38367</v>
      </c>
    </row>
    <row r="28" spans="2:28" x14ac:dyDescent="0.2">
      <c r="B28" t="s">
        <v>26</v>
      </c>
      <c r="K28" s="1">
        <v>79104</v>
      </c>
      <c r="L28" s="1">
        <v>44965</v>
      </c>
      <c r="M28" s="1">
        <v>46529</v>
      </c>
      <c r="N28" s="1">
        <f>+SUM(N23:N26)</f>
        <v>50149</v>
      </c>
      <c r="O28" s="1">
        <v>95678</v>
      </c>
      <c r="P28" s="1">
        <v>72683</v>
      </c>
      <c r="Q28" s="1">
        <v>63948</v>
      </c>
      <c r="R28" s="1">
        <f>+SUM(R23:R26)</f>
        <v>65083</v>
      </c>
      <c r="S28" s="1">
        <f>+SUM(S23:S26)</f>
        <v>104429</v>
      </c>
      <c r="AA28" s="1">
        <f>+SUM(K28:N28)</f>
        <v>220747</v>
      </c>
      <c r="AB28" s="1">
        <f>+SUM(O28:R28)</f>
        <v>297392</v>
      </c>
    </row>
    <row r="29" spans="2:28" x14ac:dyDescent="0.2">
      <c r="B29" t="s">
        <v>28</v>
      </c>
      <c r="K29" s="1">
        <v>12715</v>
      </c>
      <c r="L29" s="1">
        <v>13348</v>
      </c>
      <c r="M29" s="1">
        <v>13156</v>
      </c>
      <c r="N29" s="1">
        <v>14549</v>
      </c>
      <c r="O29" s="1">
        <v>15761</v>
      </c>
      <c r="P29" s="1">
        <v>16901</v>
      </c>
      <c r="Q29" s="1">
        <v>17486</v>
      </c>
      <c r="R29" s="1">
        <v>18277</v>
      </c>
      <c r="S29" s="1">
        <v>19516</v>
      </c>
      <c r="AA29" s="1">
        <f t="shared" ref="AA29:AA42" si="17">+SUM(K29:N29)</f>
        <v>53768</v>
      </c>
      <c r="AB29" s="1">
        <f t="shared" ref="AB29:AB42" si="18">+SUM(O29:R29)</f>
        <v>68425</v>
      </c>
    </row>
    <row r="30" spans="2:28" s="6" customFormat="1" ht="15" x14ac:dyDescent="0.25">
      <c r="B30" s="6" t="s">
        <v>29</v>
      </c>
      <c r="K30" s="7">
        <f t="shared" ref="K30:R30" si="19">+SUM(K28:K29)</f>
        <v>91819</v>
      </c>
      <c r="L30" s="7">
        <f t="shared" si="19"/>
        <v>58313</v>
      </c>
      <c r="M30" s="7">
        <f t="shared" si="19"/>
        <v>59685</v>
      </c>
      <c r="N30" s="7">
        <f t="shared" si="19"/>
        <v>64698</v>
      </c>
      <c r="O30" s="7">
        <f t="shared" si="19"/>
        <v>111439</v>
      </c>
      <c r="P30" s="7">
        <f t="shared" si="19"/>
        <v>89584</v>
      </c>
      <c r="Q30" s="7">
        <f t="shared" si="19"/>
        <v>81434</v>
      </c>
      <c r="R30" s="7">
        <f t="shared" si="19"/>
        <v>83360</v>
      </c>
      <c r="S30" s="7">
        <f>+SUM(S28:S29)</f>
        <v>123945</v>
      </c>
      <c r="AA30" s="7">
        <f t="shared" si="17"/>
        <v>274515</v>
      </c>
      <c r="AB30" s="7">
        <f t="shared" si="18"/>
        <v>365817</v>
      </c>
    </row>
    <row r="31" spans="2:28" x14ac:dyDescent="0.2">
      <c r="B31" t="s">
        <v>31</v>
      </c>
      <c r="K31" s="1">
        <v>52075</v>
      </c>
      <c r="L31" s="1">
        <v>31321</v>
      </c>
      <c r="M31" s="1">
        <v>32693</v>
      </c>
      <c r="N31" s="1">
        <v>35197</v>
      </c>
      <c r="O31" s="1">
        <v>62130</v>
      </c>
      <c r="P31" s="1">
        <v>46447</v>
      </c>
      <c r="Q31" s="1">
        <v>40899</v>
      </c>
      <c r="R31" s="1">
        <v>42790</v>
      </c>
      <c r="S31" s="1">
        <v>64309</v>
      </c>
      <c r="AA31" s="1">
        <f t="shared" si="17"/>
        <v>151286</v>
      </c>
      <c r="AB31" s="1">
        <f t="shared" si="18"/>
        <v>192266</v>
      </c>
    </row>
    <row r="32" spans="2:28" x14ac:dyDescent="0.2">
      <c r="B32" t="s">
        <v>32</v>
      </c>
      <c r="K32" s="1">
        <v>4527</v>
      </c>
      <c r="L32" s="1">
        <v>4622</v>
      </c>
      <c r="M32" s="1">
        <v>4312</v>
      </c>
      <c r="N32" s="1">
        <v>4812</v>
      </c>
      <c r="O32" s="1">
        <v>4981</v>
      </c>
      <c r="P32" s="1">
        <v>5058</v>
      </c>
      <c r="Q32" s="1">
        <v>5280</v>
      </c>
      <c r="R32" s="1">
        <v>5396</v>
      </c>
      <c r="S32" s="1">
        <v>5393</v>
      </c>
      <c r="AA32" s="1">
        <f t="shared" si="17"/>
        <v>18273</v>
      </c>
      <c r="AB32" s="1">
        <f t="shared" si="18"/>
        <v>20715</v>
      </c>
    </row>
    <row r="33" spans="2:28" x14ac:dyDescent="0.2">
      <c r="B33" t="s">
        <v>33</v>
      </c>
      <c r="K33" s="1">
        <f t="shared" ref="K33:R33" si="20">+SUM(K31:K32)</f>
        <v>56602</v>
      </c>
      <c r="L33" s="1">
        <f t="shared" si="20"/>
        <v>35943</v>
      </c>
      <c r="M33" s="1">
        <f t="shared" si="20"/>
        <v>37005</v>
      </c>
      <c r="N33" s="1">
        <f t="shared" si="20"/>
        <v>40009</v>
      </c>
      <c r="O33" s="1">
        <f t="shared" si="20"/>
        <v>67111</v>
      </c>
      <c r="P33" s="1">
        <f t="shared" si="20"/>
        <v>51505</v>
      </c>
      <c r="Q33" s="1">
        <f t="shared" si="20"/>
        <v>46179</v>
      </c>
      <c r="R33" s="1">
        <f t="shared" si="20"/>
        <v>48186</v>
      </c>
      <c r="S33" s="1">
        <v>69702</v>
      </c>
      <c r="AA33" s="1">
        <f t="shared" si="17"/>
        <v>169559</v>
      </c>
      <c r="AB33" s="1">
        <f t="shared" si="18"/>
        <v>212981</v>
      </c>
    </row>
    <row r="34" spans="2:28" x14ac:dyDescent="0.2">
      <c r="B34" t="s">
        <v>34</v>
      </c>
      <c r="K34" s="1">
        <f t="shared" ref="K34:Q34" si="21">+K30-K33</f>
        <v>35217</v>
      </c>
      <c r="L34" s="1">
        <f t="shared" si="21"/>
        <v>22370</v>
      </c>
      <c r="M34" s="1">
        <f t="shared" si="21"/>
        <v>22680</v>
      </c>
      <c r="N34" s="1">
        <f t="shared" si="21"/>
        <v>24689</v>
      </c>
      <c r="O34" s="1">
        <f t="shared" si="21"/>
        <v>44328</v>
      </c>
      <c r="P34" s="1">
        <f t="shared" si="21"/>
        <v>38079</v>
      </c>
      <c r="Q34" s="1">
        <f t="shared" si="21"/>
        <v>35255</v>
      </c>
      <c r="R34" s="1">
        <f>+R30-R33</f>
        <v>35174</v>
      </c>
      <c r="S34" s="1">
        <f>+S30-S33</f>
        <v>54243</v>
      </c>
      <c r="AA34" s="1">
        <f t="shared" si="17"/>
        <v>104956</v>
      </c>
      <c r="AB34" s="1">
        <f t="shared" si="18"/>
        <v>152836</v>
      </c>
    </row>
    <row r="35" spans="2:28" s="1" customFormat="1" x14ac:dyDescent="0.2">
      <c r="B35" s="1" t="s">
        <v>36</v>
      </c>
      <c r="K35" s="1">
        <v>4451</v>
      </c>
      <c r="L35" s="1">
        <v>4565</v>
      </c>
      <c r="M35" s="1">
        <v>4758</v>
      </c>
      <c r="N35" s="1">
        <v>4978</v>
      </c>
      <c r="O35" s="1">
        <v>5163</v>
      </c>
      <c r="P35" s="1">
        <v>5262</v>
      </c>
      <c r="Q35" s="1">
        <v>5717</v>
      </c>
      <c r="R35" s="1">
        <v>5772</v>
      </c>
      <c r="AA35" s="1">
        <f t="shared" si="17"/>
        <v>18752</v>
      </c>
      <c r="AB35" s="1">
        <f t="shared" si="18"/>
        <v>21914</v>
      </c>
    </row>
    <row r="36" spans="2:28" s="1" customFormat="1" x14ac:dyDescent="0.2">
      <c r="B36" s="1" t="s">
        <v>37</v>
      </c>
      <c r="K36" s="1">
        <v>5197</v>
      </c>
      <c r="L36" s="1">
        <v>4952</v>
      </c>
      <c r="M36" s="1">
        <v>4831</v>
      </c>
      <c r="N36" s="1">
        <v>4936</v>
      </c>
      <c r="O36" s="1">
        <v>5631</v>
      </c>
      <c r="P36" s="1">
        <v>5314</v>
      </c>
      <c r="Q36" s="1">
        <v>5412</v>
      </c>
      <c r="R36" s="1">
        <v>5616</v>
      </c>
      <c r="AA36" s="1">
        <f t="shared" si="17"/>
        <v>19916</v>
      </c>
      <c r="AB36" s="1">
        <f t="shared" si="18"/>
        <v>21973</v>
      </c>
    </row>
    <row r="37" spans="2:28" s="1" customFormat="1" x14ac:dyDescent="0.2">
      <c r="B37" s="1" t="s">
        <v>38</v>
      </c>
      <c r="K37" s="1">
        <f t="shared" ref="K37:R37" si="22">+SUM(K35:K36)</f>
        <v>9648</v>
      </c>
      <c r="L37" s="1">
        <f t="shared" si="22"/>
        <v>9517</v>
      </c>
      <c r="M37" s="1">
        <f t="shared" si="22"/>
        <v>9589</v>
      </c>
      <c r="N37" s="1">
        <f t="shared" si="22"/>
        <v>9914</v>
      </c>
      <c r="O37" s="1">
        <f t="shared" si="22"/>
        <v>10794</v>
      </c>
      <c r="P37" s="1">
        <f t="shared" si="22"/>
        <v>10576</v>
      </c>
      <c r="Q37" s="1">
        <f t="shared" si="22"/>
        <v>11129</v>
      </c>
      <c r="R37" s="1">
        <f t="shared" si="22"/>
        <v>11388</v>
      </c>
      <c r="AA37" s="1">
        <f t="shared" si="17"/>
        <v>38668</v>
      </c>
      <c r="AB37" s="1">
        <f t="shared" si="18"/>
        <v>43887</v>
      </c>
    </row>
    <row r="38" spans="2:28" s="1" customFormat="1" x14ac:dyDescent="0.2">
      <c r="B38" s="1" t="s">
        <v>39</v>
      </c>
      <c r="K38" s="1">
        <f t="shared" ref="K38:R38" si="23">+K34-K37</f>
        <v>25569</v>
      </c>
      <c r="L38" s="1">
        <f t="shared" si="23"/>
        <v>12853</v>
      </c>
      <c r="M38" s="1">
        <f t="shared" si="23"/>
        <v>13091</v>
      </c>
      <c r="N38" s="1">
        <f t="shared" si="23"/>
        <v>14775</v>
      </c>
      <c r="O38" s="1">
        <f t="shared" si="23"/>
        <v>33534</v>
      </c>
      <c r="P38" s="1">
        <f t="shared" si="23"/>
        <v>27503</v>
      </c>
      <c r="Q38" s="1">
        <f t="shared" si="23"/>
        <v>24126</v>
      </c>
      <c r="R38" s="1">
        <f t="shared" si="23"/>
        <v>23786</v>
      </c>
      <c r="AA38" s="1">
        <f t="shared" si="17"/>
        <v>66288</v>
      </c>
      <c r="AB38" s="1">
        <f t="shared" si="18"/>
        <v>108949</v>
      </c>
    </row>
    <row r="39" spans="2:28" x14ac:dyDescent="0.2">
      <c r="B39" s="1" t="s">
        <v>40</v>
      </c>
      <c r="K39" s="1">
        <v>349</v>
      </c>
      <c r="L39" s="1">
        <v>282</v>
      </c>
      <c r="M39" s="1">
        <v>46</v>
      </c>
      <c r="N39" s="1">
        <v>126</v>
      </c>
      <c r="O39" s="1">
        <v>45</v>
      </c>
      <c r="P39" s="1">
        <v>508</v>
      </c>
      <c r="Q39" s="1">
        <v>243</v>
      </c>
      <c r="R39" s="1">
        <v>-538</v>
      </c>
      <c r="AA39" s="1">
        <f t="shared" si="17"/>
        <v>803</v>
      </c>
      <c r="AB39" s="1">
        <f t="shared" si="18"/>
        <v>258</v>
      </c>
    </row>
    <row r="40" spans="2:28" x14ac:dyDescent="0.2">
      <c r="B40" s="1" t="s">
        <v>41</v>
      </c>
      <c r="K40" s="1">
        <f t="shared" ref="K40:R40" si="24">+SUM(K38:K39)</f>
        <v>25918</v>
      </c>
      <c r="L40" s="1">
        <f t="shared" si="24"/>
        <v>13135</v>
      </c>
      <c r="M40" s="1">
        <f t="shared" si="24"/>
        <v>13137</v>
      </c>
      <c r="N40" s="1">
        <f t="shared" si="24"/>
        <v>14901</v>
      </c>
      <c r="O40" s="1">
        <f t="shared" si="24"/>
        <v>33579</v>
      </c>
      <c r="P40" s="1">
        <f t="shared" si="24"/>
        <v>28011</v>
      </c>
      <c r="Q40" s="1">
        <f t="shared" si="24"/>
        <v>24369</v>
      </c>
      <c r="R40" s="1">
        <f t="shared" si="24"/>
        <v>23248</v>
      </c>
      <c r="AA40" s="1">
        <f t="shared" si="17"/>
        <v>67091</v>
      </c>
      <c r="AB40" s="1">
        <f t="shared" si="18"/>
        <v>109207</v>
      </c>
    </row>
    <row r="41" spans="2:28" x14ac:dyDescent="0.2">
      <c r="B41" s="1" t="s">
        <v>42</v>
      </c>
      <c r="K41" s="1">
        <v>3682</v>
      </c>
      <c r="L41" s="1">
        <v>1886</v>
      </c>
      <c r="M41" s="1">
        <v>1884</v>
      </c>
      <c r="N41" s="1">
        <v>2228</v>
      </c>
      <c r="O41" s="1">
        <v>4824</v>
      </c>
      <c r="P41" s="1">
        <v>4381</v>
      </c>
      <c r="Q41" s="1">
        <v>2625</v>
      </c>
      <c r="R41" s="1">
        <v>2697</v>
      </c>
      <c r="AA41" s="1">
        <f t="shared" si="17"/>
        <v>9680</v>
      </c>
      <c r="AB41" s="1">
        <f t="shared" si="18"/>
        <v>14527</v>
      </c>
    </row>
    <row r="42" spans="2:28" s="6" customFormat="1" ht="15" x14ac:dyDescent="0.25">
      <c r="B42" s="7" t="s">
        <v>43</v>
      </c>
      <c r="K42" s="7">
        <f t="shared" ref="K42:R42" si="25">+K40-K41</f>
        <v>22236</v>
      </c>
      <c r="L42" s="7">
        <f t="shared" si="25"/>
        <v>11249</v>
      </c>
      <c r="M42" s="7">
        <f t="shared" si="25"/>
        <v>11253</v>
      </c>
      <c r="N42" s="7">
        <f t="shared" si="25"/>
        <v>12673</v>
      </c>
      <c r="O42" s="7">
        <f t="shared" si="25"/>
        <v>28755</v>
      </c>
      <c r="P42" s="7">
        <f t="shared" si="25"/>
        <v>23630</v>
      </c>
      <c r="Q42" s="7">
        <f t="shared" si="25"/>
        <v>21744</v>
      </c>
      <c r="R42" s="7">
        <f t="shared" si="25"/>
        <v>20551</v>
      </c>
      <c r="S42" s="7"/>
      <c r="AA42" s="7">
        <f t="shared" si="17"/>
        <v>57411</v>
      </c>
      <c r="AB42" s="7">
        <f t="shared" si="18"/>
        <v>94680</v>
      </c>
    </row>
    <row r="43" spans="2:28" x14ac:dyDescent="0.2">
      <c r="B43" s="1" t="s">
        <v>44</v>
      </c>
      <c r="K43" s="5">
        <f t="shared" ref="K43:R43" si="26">+K42/K44</f>
        <v>1.2479223042091785</v>
      </c>
      <c r="L43" s="5">
        <f t="shared" si="26"/>
        <v>0.63846699811252383</v>
      </c>
      <c r="M43" s="5">
        <f t="shared" si="26"/>
        <v>0.64601300384622584</v>
      </c>
      <c r="N43" s="5">
        <f t="shared" si="26"/>
        <v>0.73438904632051849</v>
      </c>
      <c r="O43" s="5">
        <f t="shared" si="26"/>
        <v>1.6802339741147556</v>
      </c>
      <c r="P43" s="5">
        <f t="shared" si="26"/>
        <v>1.3958166966021994</v>
      </c>
      <c r="Q43" s="5">
        <f t="shared" si="26"/>
        <v>1.2956943963183782</v>
      </c>
      <c r="R43" s="5">
        <f t="shared" si="26"/>
        <v>1.2354000701047909</v>
      </c>
      <c r="AA43" s="5">
        <f>+AA42/AA44</f>
        <v>3.2753479151477172</v>
      </c>
      <c r="AB43" s="5">
        <f>+AB42/AB44</f>
        <v>5.6140203576723327</v>
      </c>
    </row>
    <row r="44" spans="2:28" s="1" customFormat="1" x14ac:dyDescent="0.2">
      <c r="B44" s="1" t="s">
        <v>1</v>
      </c>
      <c r="K44" s="1">
        <v>17818.417000000001</v>
      </c>
      <c r="L44" s="1">
        <v>17618.764999999999</v>
      </c>
      <c r="M44" s="1">
        <v>17419.153999999999</v>
      </c>
      <c r="N44" s="1">
        <v>17256.521000000001</v>
      </c>
      <c r="O44" s="1">
        <v>17113.687999999998</v>
      </c>
      <c r="P44" s="1">
        <v>16929.156999999999</v>
      </c>
      <c r="Q44" s="1">
        <v>16781.735000000001</v>
      </c>
      <c r="R44" s="1">
        <v>16635.097000000002</v>
      </c>
      <c r="AA44" s="1">
        <f>+AVERAGE(K44:N44)</f>
        <v>17528.214249999997</v>
      </c>
      <c r="AB44" s="1">
        <f>+AVERAGE(O44:R44)</f>
        <v>16864.919249999999</v>
      </c>
    </row>
    <row r="46" spans="2:28" x14ac:dyDescent="0.2">
      <c r="B46" t="s">
        <v>35</v>
      </c>
      <c r="K46" s="4">
        <f t="shared" ref="K46:R46" si="27">+K34/K30</f>
        <v>0.38354806739345887</v>
      </c>
      <c r="L46" s="4">
        <f t="shared" si="27"/>
        <v>0.38361943305952362</v>
      </c>
      <c r="M46" s="4">
        <f t="shared" si="27"/>
        <v>0.37999497361146017</v>
      </c>
      <c r="N46" s="4">
        <f t="shared" si="27"/>
        <v>0.38160375900336951</v>
      </c>
      <c r="O46" s="4">
        <f t="shared" si="27"/>
        <v>0.39777815665969724</v>
      </c>
      <c r="P46" s="4">
        <f t="shared" si="27"/>
        <v>0.42506474370423292</v>
      </c>
      <c r="Q46" s="4">
        <f t="shared" si="27"/>
        <v>0.43292727853230839</v>
      </c>
      <c r="R46" s="4">
        <f t="shared" si="27"/>
        <v>0.42195297504798462</v>
      </c>
      <c r="AA46" s="4">
        <f t="shared" ref="AA46:AB46" si="28">+AA34/AA30</f>
        <v>0.38233247727810865</v>
      </c>
      <c r="AB46" s="4">
        <f t="shared" si="28"/>
        <v>0.41779359625167778</v>
      </c>
    </row>
    <row r="47" spans="2:28" x14ac:dyDescent="0.2">
      <c r="B47" t="s">
        <v>45</v>
      </c>
      <c r="K47" s="4">
        <f t="shared" ref="K47:R47" si="29">+K38/K30</f>
        <v>0.2784717759940753</v>
      </c>
      <c r="L47" s="4">
        <f t="shared" si="29"/>
        <v>0.22041397287054346</v>
      </c>
      <c r="M47" s="4">
        <f t="shared" si="29"/>
        <v>0.21933484124989527</v>
      </c>
      <c r="N47" s="4">
        <f t="shared" si="29"/>
        <v>0.2283687285542057</v>
      </c>
      <c r="O47" s="4">
        <f t="shared" si="29"/>
        <v>0.30091799100853384</v>
      </c>
      <c r="P47" s="4">
        <f t="shared" si="29"/>
        <v>0.30700794784782998</v>
      </c>
      <c r="Q47" s="4">
        <f t="shared" si="29"/>
        <v>0.29626445956234498</v>
      </c>
      <c r="R47" s="4">
        <f t="shared" si="29"/>
        <v>0.28534069097888676</v>
      </c>
      <c r="AA47" s="4">
        <f t="shared" ref="AA47:AB47" si="30">+AA38/AA30</f>
        <v>0.24147314354406862</v>
      </c>
      <c r="AB47" s="4">
        <f t="shared" si="30"/>
        <v>0.29782377527561593</v>
      </c>
    </row>
    <row r="48" spans="2:28" x14ac:dyDescent="0.2">
      <c r="B48" t="s">
        <v>46</v>
      </c>
      <c r="K48" s="4">
        <f t="shared" ref="K48:R48" si="31">+K41/K40</f>
        <v>0.14206343082027933</v>
      </c>
      <c r="L48" s="4">
        <f t="shared" si="31"/>
        <v>0.14358583936048724</v>
      </c>
      <c r="M48" s="4">
        <f t="shared" si="31"/>
        <v>0.14341173783968944</v>
      </c>
      <c r="N48" s="4">
        <f t="shared" si="31"/>
        <v>0.14952016643178309</v>
      </c>
      <c r="O48" s="4">
        <f t="shared" si="31"/>
        <v>0.14366121683194855</v>
      </c>
      <c r="P48" s="4">
        <f t="shared" si="31"/>
        <v>0.1564028417407447</v>
      </c>
      <c r="Q48" s="4">
        <f t="shared" si="31"/>
        <v>0.10771882309491568</v>
      </c>
      <c r="R48" s="4">
        <f t="shared" si="31"/>
        <v>0.11600997935306263</v>
      </c>
      <c r="AA48" s="4">
        <f t="shared" ref="AA48:AB48" si="32">+AA41/AA40</f>
        <v>0.14428164731484103</v>
      </c>
      <c r="AB48" s="4">
        <f t="shared" si="32"/>
        <v>0.13302260844085087</v>
      </c>
    </row>
    <row r="50" spans="2:28" x14ac:dyDescent="0.2">
      <c r="B50" t="s">
        <v>108</v>
      </c>
      <c r="O50" s="11">
        <v>2.5922884702821669E-2</v>
      </c>
      <c r="P50" s="11">
        <v>0.16755355579510334</v>
      </c>
      <c r="Q50" s="11">
        <v>9.7630521339802767E-2</v>
      </c>
      <c r="R50" s="11">
        <v>0.11757451264217322</v>
      </c>
    </row>
    <row r="52" spans="2:28" x14ac:dyDescent="0.2">
      <c r="B52" t="s">
        <v>30</v>
      </c>
      <c r="O52" s="4">
        <f>+O30/K30-1</f>
        <v>0.21368126422635836</v>
      </c>
      <c r="P52" s="4">
        <f>+P30/L30-1</f>
        <v>0.53626121105070901</v>
      </c>
      <c r="Q52" s="4">
        <f>+Q30/M30-1</f>
        <v>0.36439641450950822</v>
      </c>
      <c r="R52" s="4">
        <f>+R30/N30-1</f>
        <v>0.28844786546724777</v>
      </c>
      <c r="AB52" s="4">
        <f>+AB30/AA30-1</f>
        <v>0.33259384733074704</v>
      </c>
    </row>
    <row r="53" spans="2:28" x14ac:dyDescent="0.2">
      <c r="B53" t="s">
        <v>104</v>
      </c>
      <c r="O53" s="4">
        <f t="shared" ref="O53:Q53" si="33">+O35/K35-1</f>
        <v>0.15996405302179295</v>
      </c>
      <c r="P53" s="4">
        <f t="shared" si="33"/>
        <v>0.15268346111719611</v>
      </c>
      <c r="Q53" s="4">
        <f t="shared" si="33"/>
        <v>0.20155527532576722</v>
      </c>
      <c r="R53" s="4">
        <f>+R35/N35-1</f>
        <v>0.15950180795500191</v>
      </c>
      <c r="AB53" s="4"/>
    </row>
    <row r="54" spans="2:28" x14ac:dyDescent="0.2">
      <c r="B54" t="s">
        <v>105</v>
      </c>
      <c r="O54" s="4">
        <f>+O36/K36-1</f>
        <v>8.3509717144506501E-2</v>
      </c>
      <c r="P54" s="4">
        <f t="shared" ref="P54" si="34">+P36/L36-1</f>
        <v>7.310177705977372E-2</v>
      </c>
      <c r="Q54" s="4">
        <f t="shared" ref="Q54" si="35">+Q36/M36-1</f>
        <v>0.12026495549575666</v>
      </c>
      <c r="R54" s="4">
        <f>+R36/N36-1</f>
        <v>0.13776337115072934</v>
      </c>
    </row>
    <row r="57" spans="2:28" s="6" customFormat="1" ht="15" x14ac:dyDescent="0.25">
      <c r="B57" s="6" t="s">
        <v>81</v>
      </c>
      <c r="N57" s="7">
        <f>+N58-N68</f>
        <v>79394</v>
      </c>
      <c r="O57" s="7">
        <f>+O58-O68</f>
        <v>83528</v>
      </c>
      <c r="P57" s="7">
        <f>+P58-P68</f>
        <v>82728</v>
      </c>
      <c r="Q57" s="7">
        <f>+Q58-Q68</f>
        <v>71853</v>
      </c>
      <c r="R57" s="7">
        <f>+R58-R68</f>
        <v>65797</v>
      </c>
      <c r="S57" s="7"/>
    </row>
    <row r="58" spans="2:28" x14ac:dyDescent="0.2">
      <c r="B58" t="s">
        <v>3</v>
      </c>
      <c r="N58" s="1">
        <f>38016+52927+100887</f>
        <v>191830</v>
      </c>
      <c r="O58" s="1">
        <f>36010+40816+118745</f>
        <v>195571</v>
      </c>
      <c r="P58" s="1">
        <f>38466+31368+134539</f>
        <v>204373</v>
      </c>
      <c r="Q58" s="1">
        <f>34050+27646+131948</f>
        <v>193644</v>
      </c>
      <c r="R58" s="1">
        <f>34940+27699+127877</f>
        <v>190516</v>
      </c>
    </row>
    <row r="59" spans="2:28" x14ac:dyDescent="0.2">
      <c r="B59" t="s">
        <v>68</v>
      </c>
      <c r="N59" s="1">
        <v>16120</v>
      </c>
      <c r="O59" s="1">
        <v>27101</v>
      </c>
      <c r="P59" s="1">
        <v>18503</v>
      </c>
      <c r="Q59" s="1">
        <v>17475</v>
      </c>
      <c r="R59" s="1">
        <v>26278</v>
      </c>
    </row>
    <row r="60" spans="2:28" x14ac:dyDescent="0.2">
      <c r="B60" t="s">
        <v>69</v>
      </c>
      <c r="N60" s="1">
        <v>4061</v>
      </c>
      <c r="O60" s="1">
        <v>4973</v>
      </c>
      <c r="P60" s="1">
        <v>5219</v>
      </c>
      <c r="Q60" s="1">
        <v>5178</v>
      </c>
      <c r="R60" s="1">
        <v>6580</v>
      </c>
    </row>
    <row r="61" spans="2:28" x14ac:dyDescent="0.2">
      <c r="B61" t="s">
        <v>70</v>
      </c>
      <c r="N61" s="1">
        <v>21325</v>
      </c>
      <c r="O61" s="1">
        <v>31519</v>
      </c>
      <c r="P61" s="1">
        <v>14533</v>
      </c>
      <c r="Q61" s="1">
        <v>16433</v>
      </c>
      <c r="R61" s="1">
        <v>25228</v>
      </c>
    </row>
    <row r="62" spans="2:28" x14ac:dyDescent="0.2">
      <c r="B62" t="s">
        <v>71</v>
      </c>
      <c r="N62" s="1">
        <v>11264</v>
      </c>
      <c r="O62" s="1">
        <v>13687</v>
      </c>
      <c r="P62" s="1">
        <v>13376</v>
      </c>
      <c r="Q62" s="1">
        <v>14641</v>
      </c>
      <c r="R62" s="1">
        <v>14111</v>
      </c>
    </row>
    <row r="63" spans="2:28" x14ac:dyDescent="0.2">
      <c r="B63" t="s">
        <v>72</v>
      </c>
      <c r="N63" s="1">
        <v>36766</v>
      </c>
      <c r="O63" s="1">
        <v>37933</v>
      </c>
      <c r="P63" s="1">
        <v>37815</v>
      </c>
      <c r="Q63" s="1">
        <v>38615</v>
      </c>
      <c r="R63" s="1">
        <v>39440</v>
      </c>
    </row>
    <row r="64" spans="2:28" x14ac:dyDescent="0.2">
      <c r="B64" t="s">
        <v>73</v>
      </c>
      <c r="N64" s="1">
        <v>42522</v>
      </c>
      <c r="O64" s="1">
        <v>43270</v>
      </c>
      <c r="P64" s="1">
        <v>43339</v>
      </c>
      <c r="Q64" s="1">
        <v>44854</v>
      </c>
      <c r="R64" s="1">
        <v>48849</v>
      </c>
    </row>
    <row r="65" spans="2:18" x14ac:dyDescent="0.2">
      <c r="B65" t="s">
        <v>74</v>
      </c>
      <c r="N65" s="1">
        <f>+SUM(N58:N64)</f>
        <v>323888</v>
      </c>
      <c r="O65" s="1">
        <f>+SUM(O58:O64)</f>
        <v>354054</v>
      </c>
      <c r="P65" s="1">
        <f>+SUM(P58:P64)</f>
        <v>337158</v>
      </c>
      <c r="Q65" s="1">
        <f>+SUM(Q58:Q64)</f>
        <v>330840</v>
      </c>
      <c r="R65" s="1">
        <f>+SUM(R58:R64)</f>
        <v>351002</v>
      </c>
    </row>
    <row r="67" spans="2:18" x14ac:dyDescent="0.2">
      <c r="B67" t="s">
        <v>75</v>
      </c>
      <c r="N67" s="1">
        <v>42296</v>
      </c>
      <c r="O67" s="1">
        <v>63846</v>
      </c>
      <c r="P67" s="1">
        <v>40127</v>
      </c>
      <c r="Q67" s="1">
        <v>40409</v>
      </c>
      <c r="R67" s="1">
        <v>54763</v>
      </c>
    </row>
    <row r="68" spans="2:18" x14ac:dyDescent="0.2">
      <c r="B68" t="s">
        <v>4</v>
      </c>
      <c r="N68" s="1">
        <f>4996+8773+98667</f>
        <v>112436</v>
      </c>
      <c r="O68" s="1">
        <f>5000+7762+99281</f>
        <v>112043</v>
      </c>
      <c r="P68" s="1">
        <f>5000+8003+108642</f>
        <v>121645</v>
      </c>
      <c r="Q68" s="1">
        <f>8000+8039+105752</f>
        <v>121791</v>
      </c>
      <c r="R68" s="1">
        <f>6000+9613+109106</f>
        <v>124719</v>
      </c>
    </row>
    <row r="69" spans="2:18" x14ac:dyDescent="0.2">
      <c r="B69" t="s">
        <v>76</v>
      </c>
      <c r="N69" s="1">
        <v>42684</v>
      </c>
      <c r="O69" s="1">
        <v>48504</v>
      </c>
      <c r="P69" s="1">
        <v>45660</v>
      </c>
      <c r="Q69" s="1">
        <v>43625</v>
      </c>
      <c r="R69" s="1">
        <v>47493</v>
      </c>
    </row>
    <row r="70" spans="2:18" x14ac:dyDescent="0.2">
      <c r="B70" t="s">
        <v>78</v>
      </c>
      <c r="N70" s="1">
        <v>6643</v>
      </c>
      <c r="O70" s="1">
        <v>7395</v>
      </c>
      <c r="P70" s="1">
        <v>7595</v>
      </c>
      <c r="Q70" s="1">
        <v>7681</v>
      </c>
      <c r="R70" s="1">
        <v>7612</v>
      </c>
    </row>
    <row r="71" spans="2:18" x14ac:dyDescent="0.2">
      <c r="B71" t="s">
        <v>79</v>
      </c>
      <c r="N71" s="1">
        <v>54490</v>
      </c>
      <c r="O71" s="1">
        <v>56042</v>
      </c>
      <c r="P71" s="1">
        <v>52953</v>
      </c>
      <c r="Q71" s="1">
        <v>52054</v>
      </c>
      <c r="R71" s="1">
        <v>53325</v>
      </c>
    </row>
    <row r="72" spans="2:18" x14ac:dyDescent="0.2">
      <c r="B72" t="s">
        <v>80</v>
      </c>
      <c r="N72" s="1">
        <f>+SUM(N67:N71)</f>
        <v>258549</v>
      </c>
      <c r="O72" s="1">
        <f>+SUM(O67:O71)</f>
        <v>287830</v>
      </c>
      <c r="P72" s="1">
        <f>+SUM(P67:P71)</f>
        <v>267980</v>
      </c>
      <c r="Q72" s="1">
        <f>+SUM(Q67:Q71)</f>
        <v>265560</v>
      </c>
      <c r="R72" s="1">
        <f>+SUM(R67:R71)</f>
        <v>287912</v>
      </c>
    </row>
    <row r="73" spans="2:18" x14ac:dyDescent="0.2">
      <c r="N73" s="1"/>
      <c r="O73" s="1"/>
      <c r="P73" s="1"/>
      <c r="Q73" s="1"/>
      <c r="R73" s="1"/>
    </row>
    <row r="74" spans="2:18" x14ac:dyDescent="0.2">
      <c r="B74" t="s">
        <v>106</v>
      </c>
      <c r="N74" s="1"/>
      <c r="O74" s="1">
        <f>+O30-O83+O88</f>
        <v>123725</v>
      </c>
      <c r="P74" s="1">
        <f>+P30-P83+P88</f>
        <v>93573</v>
      </c>
      <c r="Q74" s="1">
        <f>+Q30-Q83+Q88</f>
        <v>84488</v>
      </c>
      <c r="R74" s="1">
        <f>+R30-R83+R88</f>
        <v>95161</v>
      </c>
    </row>
    <row r="75" spans="2:18" x14ac:dyDescent="0.2">
      <c r="B75" t="s">
        <v>107</v>
      </c>
      <c r="N75" s="1"/>
      <c r="O75" s="1">
        <f>+O33-O84-O87</f>
        <v>46391</v>
      </c>
      <c r="P75" s="1">
        <f>+P33+P84+P87</f>
        <v>48282</v>
      </c>
      <c r="Q75" s="1">
        <f>+Q33+Q84+Q87</f>
        <v>43180</v>
      </c>
      <c r="R75" s="1">
        <f>+R33+R84-R87</f>
        <v>33218</v>
      </c>
    </row>
    <row r="77" spans="2:18" x14ac:dyDescent="0.2">
      <c r="B77" t="s">
        <v>82</v>
      </c>
      <c r="M77" s="1">
        <f t="shared" ref="M77:R77" si="36">+M42</f>
        <v>11253</v>
      </c>
      <c r="N77" s="1">
        <f t="shared" si="36"/>
        <v>12673</v>
      </c>
      <c r="O77" s="1">
        <f t="shared" si="36"/>
        <v>28755</v>
      </c>
      <c r="P77" s="1">
        <f t="shared" si="36"/>
        <v>23630</v>
      </c>
      <c r="Q77" s="1">
        <f t="shared" si="36"/>
        <v>21744</v>
      </c>
      <c r="R77" s="1">
        <f t="shared" si="36"/>
        <v>20551</v>
      </c>
    </row>
    <row r="78" spans="2:18" x14ac:dyDescent="0.2">
      <c r="B78" t="s">
        <v>83</v>
      </c>
      <c r="M78" s="1">
        <v>44738</v>
      </c>
      <c r="N78" s="1">
        <v>57411</v>
      </c>
      <c r="O78" s="1">
        <v>28755</v>
      </c>
      <c r="P78" s="1">
        <v>52385</v>
      </c>
      <c r="Q78" s="1">
        <v>74129</v>
      </c>
      <c r="R78" s="1">
        <v>94680</v>
      </c>
    </row>
    <row r="79" spans="2:18" x14ac:dyDescent="0.2">
      <c r="B79" t="s">
        <v>84</v>
      </c>
      <c r="M79" s="1">
        <v>8354</v>
      </c>
      <c r="N79" s="1">
        <v>11056</v>
      </c>
      <c r="O79" s="1">
        <v>2666</v>
      </c>
      <c r="P79" s="1">
        <v>5463</v>
      </c>
      <c r="Q79" s="1">
        <v>8295</v>
      </c>
      <c r="R79" s="1">
        <v>11284</v>
      </c>
    </row>
    <row r="80" spans="2:18" x14ac:dyDescent="0.2">
      <c r="B80" t="s">
        <v>85</v>
      </c>
      <c r="M80" s="1">
        <v>5105</v>
      </c>
      <c r="N80" s="1">
        <v>6829</v>
      </c>
      <c r="O80" s="1">
        <v>2020</v>
      </c>
      <c r="P80" s="1">
        <v>4001</v>
      </c>
      <c r="Q80" s="1">
        <v>5961</v>
      </c>
      <c r="R80" s="1">
        <v>7906</v>
      </c>
    </row>
    <row r="81" spans="2:19" x14ac:dyDescent="0.2">
      <c r="B81" t="s">
        <v>86</v>
      </c>
      <c r="M81" s="1">
        <v>182</v>
      </c>
      <c r="N81" s="1">
        <v>-215</v>
      </c>
      <c r="O81" s="1">
        <v>-58</v>
      </c>
      <c r="P81" s="1">
        <v>-207</v>
      </c>
      <c r="Q81" s="1">
        <v>-737</v>
      </c>
      <c r="R81" s="1">
        <v>-4774</v>
      </c>
    </row>
    <row r="82" spans="2:19" x14ac:dyDescent="0.2">
      <c r="B82" t="s">
        <v>87</v>
      </c>
      <c r="M82" s="1">
        <v>-94</v>
      </c>
      <c r="N82" s="1">
        <v>-97</v>
      </c>
      <c r="O82" s="1">
        <v>25</v>
      </c>
      <c r="P82" s="1">
        <v>-474</v>
      </c>
      <c r="Q82" s="1">
        <v>-689</v>
      </c>
      <c r="R82" s="1">
        <v>-147</v>
      </c>
    </row>
    <row r="83" spans="2:19" x14ac:dyDescent="0.2">
      <c r="B83" t="s">
        <v>68</v>
      </c>
      <c r="M83" s="1">
        <v>5149</v>
      </c>
      <c r="N83" s="1">
        <v>6917</v>
      </c>
      <c r="O83" s="1">
        <v>-10945</v>
      </c>
      <c r="P83" s="1">
        <v>-2347</v>
      </c>
      <c r="Q83" s="1">
        <v>-1316</v>
      </c>
      <c r="R83" s="1">
        <v>-10125</v>
      </c>
    </row>
    <row r="84" spans="2:19" x14ac:dyDescent="0.2">
      <c r="B84" t="s">
        <v>69</v>
      </c>
      <c r="M84" s="1">
        <v>10</v>
      </c>
      <c r="N84" s="1">
        <v>-127</v>
      </c>
      <c r="O84" s="1">
        <v>-950</v>
      </c>
      <c r="P84" s="1">
        <v>-1226</v>
      </c>
      <c r="Q84" s="1">
        <v>-1213</v>
      </c>
      <c r="R84" s="1">
        <v>-2642</v>
      </c>
    </row>
    <row r="85" spans="2:19" x14ac:dyDescent="0.2">
      <c r="B85" t="s">
        <v>70</v>
      </c>
      <c r="M85" s="1">
        <v>8685</v>
      </c>
      <c r="N85" s="1">
        <v>1553</v>
      </c>
      <c r="O85" s="1">
        <v>-10194</v>
      </c>
      <c r="P85" s="1">
        <v>6792</v>
      </c>
      <c r="Q85" s="1">
        <v>4892</v>
      </c>
      <c r="R85" s="1">
        <v>-3903</v>
      </c>
    </row>
    <row r="86" spans="2:19" x14ac:dyDescent="0.2">
      <c r="B86" t="s">
        <v>71</v>
      </c>
      <c r="M86" s="1">
        <v>-6760</v>
      </c>
      <c r="N86" s="1">
        <v>-9588</v>
      </c>
      <c r="O86" s="1">
        <v>-3526</v>
      </c>
      <c r="P86" s="1">
        <v>-4333</v>
      </c>
      <c r="Q86" s="1">
        <v>-5899</v>
      </c>
      <c r="R86" s="1">
        <v>-8042</v>
      </c>
    </row>
    <row r="87" spans="2:19" x14ac:dyDescent="0.2">
      <c r="B87" t="s">
        <v>75</v>
      </c>
      <c r="M87" s="1">
        <v>-10787</v>
      </c>
      <c r="N87" s="1">
        <v>-4062</v>
      </c>
      <c r="O87" s="1">
        <v>21670</v>
      </c>
      <c r="P87" s="1">
        <v>-1997</v>
      </c>
      <c r="Q87" s="1">
        <v>-1786</v>
      </c>
      <c r="R87" s="1">
        <v>12326</v>
      </c>
    </row>
    <row r="88" spans="2:19" x14ac:dyDescent="0.2">
      <c r="B88" t="s">
        <v>77</v>
      </c>
      <c r="M88" s="1">
        <v>1649</v>
      </c>
      <c r="N88" s="1">
        <v>2081</v>
      </c>
      <c r="O88" s="1">
        <v>1341</v>
      </c>
      <c r="P88" s="1">
        <v>1642</v>
      </c>
      <c r="Q88" s="1">
        <v>1738</v>
      </c>
      <c r="R88" s="1">
        <v>1676</v>
      </c>
    </row>
    <row r="89" spans="2:19" x14ac:dyDescent="0.2">
      <c r="B89" t="s">
        <v>76</v>
      </c>
      <c r="M89" s="1">
        <v>3867</v>
      </c>
      <c r="N89" s="1">
        <v>8916</v>
      </c>
      <c r="O89" s="1">
        <v>7959</v>
      </c>
      <c r="P89" s="1">
        <v>3045</v>
      </c>
      <c r="Q89" s="1">
        <v>463</v>
      </c>
      <c r="R89" s="1">
        <v>5799</v>
      </c>
    </row>
    <row r="90" spans="2:19" s="6" customFormat="1" ht="15" x14ac:dyDescent="0.25">
      <c r="B90" s="6" t="s">
        <v>88</v>
      </c>
      <c r="M90" s="7">
        <f t="shared" ref="M90:R90" si="37">+SUM(M78:M89)</f>
        <v>60098</v>
      </c>
      <c r="N90" s="7">
        <f t="shared" si="37"/>
        <v>80674</v>
      </c>
      <c r="O90" s="7">
        <f t="shared" si="37"/>
        <v>38763</v>
      </c>
      <c r="P90" s="7">
        <f t="shared" si="37"/>
        <v>62744</v>
      </c>
      <c r="Q90" s="7">
        <f t="shared" si="37"/>
        <v>83838</v>
      </c>
      <c r="R90" s="7">
        <f t="shared" si="37"/>
        <v>104038</v>
      </c>
      <c r="S90" s="7"/>
    </row>
    <row r="92" spans="2:19" x14ac:dyDescent="0.2">
      <c r="B92" t="s">
        <v>90</v>
      </c>
      <c r="M92" s="1">
        <v>-96606</v>
      </c>
      <c r="N92" s="1">
        <v>-114938</v>
      </c>
      <c r="O92" s="1">
        <v>-39800</v>
      </c>
      <c r="P92" s="1">
        <v>-74424</v>
      </c>
      <c r="Q92" s="1">
        <v>-94052</v>
      </c>
      <c r="R92" s="1">
        <v>-109558</v>
      </c>
    </row>
    <row r="93" spans="2:19" x14ac:dyDescent="0.2">
      <c r="B93" t="s">
        <v>91</v>
      </c>
      <c r="M93" s="1">
        <v>54865</v>
      </c>
      <c r="N93" s="1">
        <v>69918</v>
      </c>
      <c r="O93" s="1">
        <v>25177</v>
      </c>
      <c r="P93" s="1">
        <v>39605</v>
      </c>
      <c r="Q93" s="1">
        <v>49880</v>
      </c>
      <c r="R93" s="1">
        <v>59023</v>
      </c>
    </row>
    <row r="94" spans="2:19" x14ac:dyDescent="0.2">
      <c r="B94" t="s">
        <v>92</v>
      </c>
      <c r="M94" s="1">
        <v>39760</v>
      </c>
      <c r="N94" s="1">
        <v>50473</v>
      </c>
      <c r="O94" s="1">
        <v>9344</v>
      </c>
      <c r="P94" s="1">
        <v>21645</v>
      </c>
      <c r="Q94" s="1">
        <v>36745</v>
      </c>
      <c r="R94" s="1">
        <v>47460</v>
      </c>
    </row>
    <row r="95" spans="2:19" x14ac:dyDescent="0.2">
      <c r="B95" t="s">
        <v>89</v>
      </c>
      <c r="M95" s="1">
        <v>-5525</v>
      </c>
      <c r="N95" s="1">
        <v>-7309</v>
      </c>
      <c r="O95" s="1">
        <v>-3500</v>
      </c>
      <c r="P95" s="1">
        <v>-5769</v>
      </c>
      <c r="Q95" s="1">
        <v>-7862</v>
      </c>
      <c r="R95" s="1">
        <v>-11085</v>
      </c>
    </row>
    <row r="96" spans="2:19" x14ac:dyDescent="0.2">
      <c r="B96" t="s">
        <v>93</v>
      </c>
      <c r="M96" s="1">
        <v>-1473</v>
      </c>
      <c r="N96" s="1">
        <v>-1524</v>
      </c>
      <c r="O96" s="1">
        <v>-9</v>
      </c>
      <c r="P96" s="1">
        <v>-9</v>
      </c>
      <c r="Q96" s="1">
        <v>-13</v>
      </c>
      <c r="R96" s="1">
        <v>-33</v>
      </c>
    </row>
    <row r="97" spans="2:19" x14ac:dyDescent="0.2">
      <c r="B97" t="s">
        <v>87</v>
      </c>
      <c r="M97" s="1">
        <v>-841</v>
      </c>
      <c r="N97" s="1">
        <v>-909</v>
      </c>
      <c r="O97" s="1">
        <v>204</v>
      </c>
      <c r="P97" s="1">
        <v>0</v>
      </c>
      <c r="Q97" s="1">
        <v>-78</v>
      </c>
      <c r="R97" s="1">
        <v>-352</v>
      </c>
    </row>
    <row r="98" spans="2:19" s="6" customFormat="1" ht="15" x14ac:dyDescent="0.25">
      <c r="B98" s="6" t="s">
        <v>94</v>
      </c>
      <c r="M98" s="7">
        <f t="shared" ref="M98:R98" si="38">+SUM(M92:M97)</f>
        <v>-9820</v>
      </c>
      <c r="N98" s="7">
        <f t="shared" si="38"/>
        <v>-4289</v>
      </c>
      <c r="O98" s="7">
        <f t="shared" si="38"/>
        <v>-8584</v>
      </c>
      <c r="P98" s="7">
        <f t="shared" si="38"/>
        <v>-18952</v>
      </c>
      <c r="Q98" s="7">
        <f t="shared" si="38"/>
        <v>-15380</v>
      </c>
      <c r="R98" s="7">
        <f t="shared" si="38"/>
        <v>-14545</v>
      </c>
      <c r="S98" s="7"/>
    </row>
    <row r="100" spans="2:19" x14ac:dyDescent="0.2">
      <c r="B100" t="s">
        <v>95</v>
      </c>
      <c r="M100" s="1">
        <v>430</v>
      </c>
      <c r="N100" s="1">
        <v>880</v>
      </c>
      <c r="O100" s="1">
        <v>0</v>
      </c>
      <c r="P100" s="1">
        <v>561</v>
      </c>
      <c r="Q100" s="1">
        <v>561</v>
      </c>
      <c r="R100" s="1">
        <v>1105</v>
      </c>
    </row>
    <row r="101" spans="2:19" x14ac:dyDescent="0.2">
      <c r="B101" t="s">
        <v>96</v>
      </c>
      <c r="M101" s="1">
        <v>-3234</v>
      </c>
      <c r="N101" s="1">
        <v>-3634</v>
      </c>
      <c r="O101" s="1">
        <v>-2861</v>
      </c>
      <c r="P101" s="1">
        <v>-3160</v>
      </c>
      <c r="Q101" s="1">
        <v>-5855</v>
      </c>
      <c r="R101" s="1">
        <v>-6556</v>
      </c>
    </row>
    <row r="102" spans="2:19" x14ac:dyDescent="0.2">
      <c r="B102" t="s">
        <v>97</v>
      </c>
      <c r="M102" s="1">
        <v>-10570</v>
      </c>
      <c r="N102" s="1">
        <v>-14081</v>
      </c>
      <c r="O102" s="1">
        <v>-3613</v>
      </c>
      <c r="P102" s="1">
        <v>-7060</v>
      </c>
      <c r="Q102" s="1">
        <v>-10827</v>
      </c>
      <c r="R102" s="1">
        <v>-14467</v>
      </c>
    </row>
    <row r="103" spans="2:19" x14ac:dyDescent="0.2">
      <c r="B103" t="s">
        <v>98</v>
      </c>
      <c r="M103" s="1">
        <v>-55171</v>
      </c>
      <c r="N103" s="1">
        <v>-72358</v>
      </c>
      <c r="O103" s="1">
        <v>-24775</v>
      </c>
      <c r="P103" s="1">
        <v>-43323</v>
      </c>
      <c r="Q103" s="1">
        <v>-66223</v>
      </c>
      <c r="R103" s="1">
        <v>-85971</v>
      </c>
    </row>
    <row r="104" spans="2:19" x14ac:dyDescent="0.2">
      <c r="B104" t="s">
        <v>102</v>
      </c>
      <c r="M104" s="1">
        <v>10635</v>
      </c>
      <c r="N104" s="1">
        <v>16091</v>
      </c>
      <c r="O104" s="1">
        <v>0</v>
      </c>
      <c r="P104" s="1">
        <v>13923</v>
      </c>
      <c r="Q104" s="1">
        <v>13923</v>
      </c>
      <c r="R104" s="1">
        <v>20393</v>
      </c>
    </row>
    <row r="105" spans="2:19" x14ac:dyDescent="0.2">
      <c r="B105" t="s">
        <v>99</v>
      </c>
      <c r="M105" s="1">
        <v>-12629</v>
      </c>
      <c r="N105" s="1">
        <v>-12629</v>
      </c>
      <c r="O105" s="1">
        <v>-1000</v>
      </c>
      <c r="P105" s="1">
        <v>-4500</v>
      </c>
      <c r="Q105" s="1">
        <v>-7500</v>
      </c>
      <c r="R105" s="1">
        <v>-8750</v>
      </c>
    </row>
    <row r="106" spans="2:19" x14ac:dyDescent="0.2">
      <c r="B106" t="s">
        <v>100</v>
      </c>
      <c r="M106" s="1">
        <v>31</v>
      </c>
      <c r="N106" s="1">
        <v>-963</v>
      </c>
      <c r="O106" s="1">
        <v>22</v>
      </c>
      <c r="P106" s="1">
        <v>22</v>
      </c>
      <c r="Q106" s="1">
        <v>3022</v>
      </c>
      <c r="R106" s="1">
        <v>1022</v>
      </c>
    </row>
    <row r="107" spans="2:19" x14ac:dyDescent="0.2">
      <c r="B107" t="s">
        <v>87</v>
      </c>
      <c r="M107" s="1">
        <f>5165+-120</f>
        <v>5045</v>
      </c>
      <c r="N107" s="1">
        <v>-126</v>
      </c>
      <c r="O107" s="1">
        <v>-22</v>
      </c>
      <c r="P107" s="1">
        <f>+-38</f>
        <v>-38</v>
      </c>
      <c r="Q107" s="1">
        <v>-72</v>
      </c>
      <c r="R107" s="1">
        <v>-129</v>
      </c>
    </row>
    <row r="108" spans="2:19" s="6" customFormat="1" ht="15" x14ac:dyDescent="0.25">
      <c r="B108" s="6" t="s">
        <v>101</v>
      </c>
      <c r="M108" s="7">
        <f t="shared" ref="M108:R108" si="39">+SUM(M100:M107)</f>
        <v>-65463</v>
      </c>
      <c r="N108" s="7">
        <f t="shared" si="39"/>
        <v>-86820</v>
      </c>
      <c r="O108" s="7">
        <f t="shared" si="39"/>
        <v>-32249</v>
      </c>
      <c r="P108" s="7">
        <f t="shared" si="39"/>
        <v>-43575</v>
      </c>
      <c r="Q108" s="7">
        <f t="shared" si="39"/>
        <v>-72971</v>
      </c>
      <c r="R108" s="7">
        <f t="shared" si="39"/>
        <v>-93353</v>
      </c>
      <c r="S108" s="7"/>
    </row>
    <row r="109" spans="2:19" s="6" customFormat="1" ht="15" x14ac:dyDescent="0.25">
      <c r="B109" s="6" t="s">
        <v>103</v>
      </c>
      <c r="M109" s="7">
        <f t="shared" ref="M109:R109" si="40">+M108+M98+M90</f>
        <v>-15185</v>
      </c>
      <c r="N109" s="7">
        <f t="shared" si="40"/>
        <v>-10435</v>
      </c>
      <c r="O109" s="7">
        <f t="shared" si="40"/>
        <v>-2070</v>
      </c>
      <c r="P109" s="7">
        <f t="shared" si="40"/>
        <v>217</v>
      </c>
      <c r="Q109" s="7">
        <f t="shared" si="40"/>
        <v>-4513</v>
      </c>
      <c r="R109" s="7">
        <f t="shared" si="40"/>
        <v>-3860</v>
      </c>
      <c r="S109" s="7"/>
    </row>
    <row r="111" spans="2:19" x14ac:dyDescent="0.2">
      <c r="N111" s="4"/>
    </row>
  </sheetData>
  <hyperlinks>
    <hyperlink ref="A1" location="Main!A1" display="Main" xr:uid="{4A120183-5445-408B-B65B-A3FA9B0ACD5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2022-01-03T06:44:23Z</dcterms:created>
  <dcterms:modified xsi:type="dcterms:W3CDTF">2022-10-05T23:05:22Z</dcterms:modified>
</cp:coreProperties>
</file>