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Case\Documents\xl\"/>
    </mc:Choice>
  </mc:AlternateContent>
  <xr:revisionPtr revIDLastSave="0" documentId="8_{98D1EF5E-92EF-4E28-A1FC-AB39B7D0BA3F}" xr6:coauthVersionLast="47" xr6:coauthVersionMax="47" xr10:uidLastSave="{00000000-0000-0000-0000-000000000000}"/>
  <bookViews>
    <workbookView xWindow="-120" yWindow="-120" windowWidth="29040" windowHeight="16440" activeTab="1" xr2:uid="{9B4A585B-EB92-4810-95A7-F95AEBB2C7E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6" i="2" l="1"/>
  <c r="K26" i="2"/>
  <c r="K36" i="2"/>
  <c r="K32" i="2"/>
  <c r="K34" i="2" s="1"/>
  <c r="K27" i="2"/>
  <c r="K41" i="2"/>
  <c r="L36" i="2"/>
  <c r="L26" i="2"/>
  <c r="L41" i="2"/>
  <c r="L32" i="2"/>
  <c r="L27" i="2"/>
  <c r="L34" i="2" s="1"/>
  <c r="M32" i="2"/>
  <c r="M34" i="2" s="1"/>
  <c r="M27" i="2"/>
  <c r="M26" i="2"/>
  <c r="M41" i="2"/>
  <c r="N26" i="2"/>
  <c r="N32" i="2"/>
  <c r="N27" i="2"/>
  <c r="N41" i="2"/>
  <c r="N34" i="2"/>
  <c r="R41" i="2"/>
  <c r="R32" i="2"/>
  <c r="R27" i="2"/>
  <c r="R34" i="2" s="1"/>
  <c r="R26" i="2"/>
  <c r="Q21" i="2"/>
  <c r="P21" i="2"/>
  <c r="O21" i="2"/>
  <c r="N21" i="2"/>
  <c r="M21" i="2"/>
  <c r="L21" i="2"/>
  <c r="K21" i="2"/>
  <c r="R21" i="2"/>
  <c r="N4" i="2"/>
  <c r="N18" i="2"/>
  <c r="N15" i="2"/>
  <c r="N10" i="2"/>
  <c r="N9" i="2"/>
  <c r="N8" i="2"/>
  <c r="N7" i="2"/>
  <c r="N6" i="2"/>
  <c r="N20" i="2" s="1"/>
  <c r="N5" i="2"/>
  <c r="R18" i="2"/>
  <c r="R15" i="2"/>
  <c r="R9" i="2"/>
  <c r="R8" i="2"/>
  <c r="R7" i="2"/>
  <c r="R5" i="2"/>
  <c r="R4" i="2"/>
  <c r="R23" i="2" s="1"/>
  <c r="O32" i="2"/>
  <c r="O27" i="2"/>
  <c r="O34" i="2" s="1"/>
  <c r="O41" i="2"/>
  <c r="O23" i="2"/>
  <c r="K20" i="2"/>
  <c r="K13" i="2"/>
  <c r="K11" i="2"/>
  <c r="K6" i="2"/>
  <c r="O13" i="2"/>
  <c r="O11" i="2"/>
  <c r="O6" i="2"/>
  <c r="P32" i="2"/>
  <c r="P27" i="2"/>
  <c r="P41" i="2"/>
  <c r="P23" i="2"/>
  <c r="L13" i="2"/>
  <c r="L11" i="2"/>
  <c r="L6" i="2"/>
  <c r="L12" i="2" s="1"/>
  <c r="P13" i="2"/>
  <c r="P10" i="2"/>
  <c r="P11" i="2"/>
  <c r="P6" i="2"/>
  <c r="P20" i="2" s="1"/>
  <c r="Q23" i="2"/>
  <c r="Q20" i="2"/>
  <c r="Q32" i="2"/>
  <c r="Q27" i="2"/>
  <c r="Q26" i="2" s="1"/>
  <c r="Q41" i="2"/>
  <c r="Y41" i="2"/>
  <c r="Y32" i="2"/>
  <c r="Y27" i="2"/>
  <c r="Y26" i="2" s="1"/>
  <c r="M13" i="2"/>
  <c r="M11" i="2"/>
  <c r="M6" i="2"/>
  <c r="M20" i="2" s="1"/>
  <c r="Q13" i="2"/>
  <c r="Q11" i="2"/>
  <c r="Q6" i="2"/>
  <c r="W13" i="2"/>
  <c r="W11" i="2"/>
  <c r="W6" i="2"/>
  <c r="X13" i="2"/>
  <c r="N13" i="2" s="1"/>
  <c r="X11" i="2"/>
  <c r="X6" i="2"/>
  <c r="Y13" i="2"/>
  <c r="Y10" i="2"/>
  <c r="Y11" i="2" s="1"/>
  <c r="Y6" i="2"/>
  <c r="Y2" i="2"/>
  <c r="Z2" i="2" s="1"/>
  <c r="AA2" i="2" s="1"/>
  <c r="AB2" i="2" s="1"/>
  <c r="AC2" i="2" s="1"/>
  <c r="AD2" i="2" s="1"/>
  <c r="AE2" i="2" s="1"/>
  <c r="AF2" i="2" s="1"/>
  <c r="O8" i="1"/>
  <c r="O6" i="1"/>
  <c r="O5" i="1"/>
  <c r="R11" i="2" l="1"/>
  <c r="L20" i="2"/>
  <c r="R6" i="2"/>
  <c r="R20" i="2" s="1"/>
  <c r="R13" i="2"/>
  <c r="N11" i="2"/>
  <c r="O20" i="2"/>
  <c r="R10" i="2"/>
  <c r="O26" i="2"/>
  <c r="K12" i="2"/>
  <c r="K14" i="2" s="1"/>
  <c r="O12" i="2"/>
  <c r="O14" i="2" s="1"/>
  <c r="O16" i="2" s="1"/>
  <c r="O17" i="2" s="1"/>
  <c r="P34" i="2"/>
  <c r="P26" i="2"/>
  <c r="L14" i="2"/>
  <c r="L16" i="2" s="1"/>
  <c r="L17" i="2" s="1"/>
  <c r="P12" i="2"/>
  <c r="P14" i="2" s="1"/>
  <c r="P16" i="2" s="1"/>
  <c r="P17" i="2" s="1"/>
  <c r="Q34" i="2"/>
  <c r="Y34" i="2"/>
  <c r="Y12" i="2"/>
  <c r="M12" i="2"/>
  <c r="M14" i="2" s="1"/>
  <c r="M16" i="2" s="1"/>
  <c r="M17" i="2" s="1"/>
  <c r="Q12" i="2"/>
  <c r="Q14" i="2" s="1"/>
  <c r="Q16" i="2" s="1"/>
  <c r="Q17" i="2" s="1"/>
  <c r="W12" i="2"/>
  <c r="W14" i="2" s="1"/>
  <c r="W16" i="2" s="1"/>
  <c r="W17" i="2" s="1"/>
  <c r="X12" i="2"/>
  <c r="Y14" i="2" l="1"/>
  <c r="R12" i="2"/>
  <c r="K16" i="2"/>
  <c r="K17" i="2" s="1"/>
  <c r="X14" i="2"/>
  <c r="N12" i="2"/>
  <c r="X16" i="2" l="1"/>
  <c r="N14" i="2"/>
  <c r="Y16" i="2"/>
  <c r="R14" i="2"/>
  <c r="X17" i="2" l="1"/>
  <c r="N16" i="2"/>
  <c r="N17" i="2" s="1"/>
  <c r="Y17" i="2"/>
  <c r="R16" i="2"/>
  <c r="R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B10" authorId="0" shapeId="0" xr:uid="{DCA03CD6-E6A2-4DDB-85EF-3E0D02134033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Severance &amp; deal termination fees
</t>
        </r>
      </text>
    </comment>
  </commentList>
</comments>
</file>

<file path=xl/sharedStrings.xml><?xml version="1.0" encoding="utf-8"?>
<sst xmlns="http://schemas.openxmlformats.org/spreadsheetml/2006/main" count="58" uniqueCount="52">
  <si>
    <t>Price</t>
  </si>
  <si>
    <t>Shares</t>
  </si>
  <si>
    <t>MC</t>
  </si>
  <si>
    <t>Cash</t>
  </si>
  <si>
    <t>Debt</t>
  </si>
  <si>
    <t>EV</t>
  </si>
  <si>
    <t>Q421</t>
  </si>
  <si>
    <t>Q118</t>
  </si>
  <si>
    <t>Q219</t>
  </si>
  <si>
    <t>Q218</t>
  </si>
  <si>
    <t>Q318</t>
  </si>
  <si>
    <t>Q418</t>
  </si>
  <si>
    <t>Q119</t>
  </si>
  <si>
    <t>Q419</t>
  </si>
  <si>
    <t>Q319</t>
  </si>
  <si>
    <t>Q120</t>
  </si>
  <si>
    <t>Q220</t>
  </si>
  <si>
    <t>Q320</t>
  </si>
  <si>
    <t>Q420</t>
  </si>
  <si>
    <t>Q121</t>
  </si>
  <si>
    <t>Q221</t>
  </si>
  <si>
    <t>Q321</t>
  </si>
  <si>
    <t>Revenue</t>
  </si>
  <si>
    <t>COGS</t>
  </si>
  <si>
    <t>Gross Profit</t>
  </si>
  <si>
    <t>R&amp;D</t>
  </si>
  <si>
    <t>S&amp;M</t>
  </si>
  <si>
    <t>G&amp;A</t>
  </si>
  <si>
    <t>Other</t>
  </si>
  <si>
    <t>Operating costs</t>
  </si>
  <si>
    <t>Operating Income</t>
  </si>
  <si>
    <t>Interest Income</t>
  </si>
  <si>
    <t>Pretax Income</t>
  </si>
  <si>
    <t>Taxes</t>
  </si>
  <si>
    <t>Net Income</t>
  </si>
  <si>
    <t>EPS</t>
  </si>
  <si>
    <t>A/R</t>
  </si>
  <si>
    <t>Inventory</t>
  </si>
  <si>
    <t>OCA</t>
  </si>
  <si>
    <t>PP&amp;E</t>
  </si>
  <si>
    <t>Intangibles</t>
  </si>
  <si>
    <t>D/T</t>
  </si>
  <si>
    <t>Total Assets</t>
  </si>
  <si>
    <t>A/P</t>
  </si>
  <si>
    <t>Contract Liabilities</t>
  </si>
  <si>
    <t>IT Payable</t>
  </si>
  <si>
    <t>OL</t>
  </si>
  <si>
    <t>Total Liabiltiies</t>
  </si>
  <si>
    <t>Net Cash</t>
  </si>
  <si>
    <t>Gross Margin %</t>
  </si>
  <si>
    <t>Revenue Growth Y/Y</t>
  </si>
  <si>
    <t>Operating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</si>
</sst>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3" fontId="1" fillId="0" borderId="0" xfId="0" applyNumberFormat="1" applyFont="1"/>
    <xf numFmtId="3" fontId="0" fillId="0" borderId="0" xfId="0" applyNumberFormat="1" applyFon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</xdr:colOff>
      <xdr:row>0</xdr:row>
      <xdr:rowOff>38100</xdr:rowOff>
    </xdr:from>
    <xdr:to>
      <xdr:col>25</xdr:col>
      <xdr:colOff>28575</xdr:colOff>
      <xdr:row>46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BF6BDC-5F3D-4F8E-A0ED-63024C0BFDA8}"/>
            </a:ext>
          </a:extLst>
        </xdr:cNvPr>
        <xdr:cNvCxnSpPr/>
      </xdr:nvCxnSpPr>
      <xdr:spPr>
        <a:xfrm>
          <a:off x="15792450" y="38100"/>
          <a:ext cx="0" cy="808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FEA2-EBA2-4CE0-858B-DC9276362F11}">
  <dimension ref="N3:P8"/>
  <sheetViews>
    <sheetView workbookViewId="0">
      <selection activeCell="O7" sqref="O7"/>
    </sheetView>
  </sheetViews>
  <sheetFormatPr defaultRowHeight="15" x14ac:dyDescent="0.25"/>
  <cols>
    <col min="16" max="16" width="9.140625" style="2"/>
  </cols>
  <sheetData>
    <row r="3" spans="14:16" x14ac:dyDescent="0.25">
      <c r="N3" t="s">
        <v>0</v>
      </c>
      <c r="O3">
        <v>146.15</v>
      </c>
    </row>
    <row r="4" spans="14:16" x14ac:dyDescent="0.25">
      <c r="N4" t="s">
        <v>1</v>
      </c>
      <c r="O4" s="1">
        <v>888.51300000000003</v>
      </c>
      <c r="P4" s="2" t="s">
        <v>6</v>
      </c>
    </row>
    <row r="5" spans="14:16" x14ac:dyDescent="0.25">
      <c r="N5" t="s">
        <v>2</v>
      </c>
      <c r="O5" s="1">
        <f>+O3*O4</f>
        <v>129856.17495000002</v>
      </c>
    </row>
    <row r="6" spans="14:16" x14ac:dyDescent="0.25">
      <c r="N6" t="s">
        <v>3</v>
      </c>
      <c r="O6" s="1">
        <f>4995+464+2055</f>
        <v>7514</v>
      </c>
      <c r="P6" s="2" t="s">
        <v>6</v>
      </c>
    </row>
    <row r="7" spans="14:16" x14ac:dyDescent="0.25">
      <c r="N7" t="s">
        <v>4</v>
      </c>
      <c r="O7" s="1">
        <v>5452</v>
      </c>
      <c r="P7" s="2" t="s">
        <v>6</v>
      </c>
    </row>
    <row r="8" spans="14:16" x14ac:dyDescent="0.25">
      <c r="N8" t="s">
        <v>5</v>
      </c>
      <c r="O8" s="1">
        <f>+O5-O6+O7</f>
        <v>127794.17495000002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51BF-6146-4FBD-9816-FAEE5CE6DAB8}">
  <dimension ref="B2:AF41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V19" sqref="V19"/>
    </sheetView>
  </sheetViews>
  <sheetFormatPr defaultRowHeight="15" x14ac:dyDescent="0.25"/>
  <cols>
    <col min="2" max="2" width="17" bestFit="1" customWidth="1"/>
  </cols>
  <sheetData>
    <row r="2" spans="2:32" x14ac:dyDescent="0.25">
      <c r="C2" t="s">
        <v>7</v>
      </c>
      <c r="D2" t="s">
        <v>9</v>
      </c>
      <c r="E2" t="s">
        <v>10</v>
      </c>
      <c r="F2" t="s">
        <v>11</v>
      </c>
      <c r="G2" t="s">
        <v>12</v>
      </c>
      <c r="H2" t="s">
        <v>8</v>
      </c>
      <c r="I2" t="s">
        <v>14</v>
      </c>
      <c r="J2" t="s">
        <v>13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6</v>
      </c>
      <c r="V2">
        <v>2018</v>
      </c>
      <c r="W2">
        <v>2019</v>
      </c>
      <c r="X2">
        <v>2020</v>
      </c>
      <c r="Y2">
        <f>+X2+1</f>
        <v>2021</v>
      </c>
      <c r="Z2">
        <f t="shared" ref="Z2:AF2" si="0">+Y2+1</f>
        <v>2022</v>
      </c>
      <c r="AA2">
        <f t="shared" si="0"/>
        <v>2023</v>
      </c>
      <c r="AB2">
        <f t="shared" si="0"/>
        <v>2024</v>
      </c>
      <c r="AC2">
        <f t="shared" si="0"/>
        <v>2025</v>
      </c>
      <c r="AD2">
        <f t="shared" si="0"/>
        <v>2026</v>
      </c>
      <c r="AE2">
        <f t="shared" si="0"/>
        <v>2027</v>
      </c>
      <c r="AF2">
        <f t="shared" si="0"/>
        <v>2028</v>
      </c>
    </row>
    <row r="4" spans="2:32" s="7" customFormat="1" x14ac:dyDescent="0.25">
      <c r="B4" s="7" t="s">
        <v>22</v>
      </c>
      <c r="K4" s="4">
        <v>4162</v>
      </c>
      <c r="L4" s="4">
        <v>3957</v>
      </c>
      <c r="M4" s="4">
        <v>4395</v>
      </c>
      <c r="N4" s="4">
        <f>+X4-SUM(K4:M4)</f>
        <v>4688</v>
      </c>
      <c r="O4" s="4">
        <v>5162</v>
      </c>
      <c r="P4" s="4">
        <v>5582</v>
      </c>
      <c r="Q4" s="4">
        <v>6196</v>
      </c>
      <c r="R4" s="4">
        <f>+Y4-SUM(O4:Q4)</f>
        <v>6123</v>
      </c>
      <c r="W4" s="4">
        <v>14608</v>
      </c>
      <c r="X4" s="4">
        <v>17202</v>
      </c>
      <c r="Y4" s="4">
        <v>23063</v>
      </c>
    </row>
    <row r="5" spans="2:32" x14ac:dyDescent="0.25">
      <c r="B5" t="s">
        <v>23</v>
      </c>
      <c r="K5" s="1">
        <v>2304</v>
      </c>
      <c r="L5" s="1">
        <v>2208</v>
      </c>
      <c r="M5" s="1">
        <v>2440</v>
      </c>
      <c r="N5" s="5">
        <f t="shared" ref="N5:N15" si="1">+X5-SUM(K5:M5)</f>
        <v>2558</v>
      </c>
      <c r="O5" s="1">
        <v>2813</v>
      </c>
      <c r="P5" s="1">
        <v>2929</v>
      </c>
      <c r="Q5" s="1">
        <v>3229</v>
      </c>
      <c r="R5" s="5">
        <f t="shared" ref="R5:R16" si="2">+Y5-SUM(O5:Q5)</f>
        <v>3178</v>
      </c>
      <c r="W5" s="1">
        <v>8222</v>
      </c>
      <c r="X5" s="1">
        <v>9510</v>
      </c>
      <c r="Y5" s="1">
        <v>12149</v>
      </c>
    </row>
    <row r="6" spans="2:32" x14ac:dyDescent="0.25">
      <c r="B6" t="s">
        <v>24</v>
      </c>
      <c r="K6" s="1">
        <f>+K4-K5</f>
        <v>1858</v>
      </c>
      <c r="L6" s="1">
        <f>+L4-L5</f>
        <v>1749</v>
      </c>
      <c r="M6" s="1">
        <f>+M4-M5</f>
        <v>1955</v>
      </c>
      <c r="N6" s="5">
        <f t="shared" si="1"/>
        <v>2130</v>
      </c>
      <c r="O6" s="1">
        <f>+O4-O5</f>
        <v>2349</v>
      </c>
      <c r="P6" s="1">
        <f>+P4-P5</f>
        <v>2653</v>
      </c>
      <c r="Q6" s="1">
        <f>+Q4-Q5</f>
        <v>2967</v>
      </c>
      <c r="R6" s="5">
        <f t="shared" si="2"/>
        <v>2945</v>
      </c>
      <c r="W6" s="1">
        <f>+W4-W5</f>
        <v>6386</v>
      </c>
      <c r="X6" s="1">
        <f>+X4-X5</f>
        <v>7692</v>
      </c>
      <c r="Y6" s="1">
        <f>+Y4-Y5</f>
        <v>10914</v>
      </c>
    </row>
    <row r="7" spans="2:32" x14ac:dyDescent="0.25">
      <c r="B7" t="s">
        <v>25</v>
      </c>
      <c r="K7" s="1">
        <v>552</v>
      </c>
      <c r="L7" s="1">
        <v>550</v>
      </c>
      <c r="M7" s="1">
        <v>572</v>
      </c>
      <c r="N7" s="5">
        <f t="shared" si="1"/>
        <v>560</v>
      </c>
      <c r="O7" s="1">
        <v>606</v>
      </c>
      <c r="P7" s="1">
        <v>617</v>
      </c>
      <c r="Q7" s="1">
        <v>640</v>
      </c>
      <c r="R7" s="5">
        <f t="shared" si="2"/>
        <v>622</v>
      </c>
      <c r="W7" s="1">
        <v>2054</v>
      </c>
      <c r="X7" s="1">
        <v>2234</v>
      </c>
      <c r="Y7" s="1">
        <v>2485</v>
      </c>
    </row>
    <row r="8" spans="2:32" x14ac:dyDescent="0.25">
      <c r="B8" t="s">
        <v>26</v>
      </c>
      <c r="K8" s="1">
        <v>135</v>
      </c>
      <c r="L8" s="1">
        <v>130</v>
      </c>
      <c r="M8" s="1">
        <v>130</v>
      </c>
      <c r="N8" s="5">
        <f t="shared" si="1"/>
        <v>131</v>
      </c>
      <c r="O8" s="1">
        <v>147</v>
      </c>
      <c r="P8" s="1">
        <v>148</v>
      </c>
      <c r="Q8" s="1">
        <v>159</v>
      </c>
      <c r="R8" s="5">
        <f t="shared" si="2"/>
        <v>155</v>
      </c>
      <c r="W8" s="1">
        <v>521</v>
      </c>
      <c r="X8" s="1">
        <v>526</v>
      </c>
      <c r="Y8" s="1">
        <v>609</v>
      </c>
    </row>
    <row r="9" spans="2:32" x14ac:dyDescent="0.25">
      <c r="B9" t="s">
        <v>27</v>
      </c>
      <c r="K9" s="1">
        <v>129</v>
      </c>
      <c r="L9" s="1">
        <v>137</v>
      </c>
      <c r="M9" s="1">
        <v>145</v>
      </c>
      <c r="N9" s="5">
        <f t="shared" si="1"/>
        <v>156</v>
      </c>
      <c r="O9" s="1">
        <v>161</v>
      </c>
      <c r="P9" s="1">
        <v>149</v>
      </c>
      <c r="Q9" s="1">
        <v>155</v>
      </c>
      <c r="R9" s="5">
        <f t="shared" si="2"/>
        <v>155</v>
      </c>
      <c r="W9" s="1">
        <v>461</v>
      </c>
      <c r="X9" s="1">
        <v>567</v>
      </c>
      <c r="Y9" s="1">
        <v>620</v>
      </c>
    </row>
    <row r="10" spans="2:32" x14ac:dyDescent="0.25">
      <c r="B10" t="s">
        <v>28</v>
      </c>
      <c r="K10" s="1">
        <v>0</v>
      </c>
      <c r="L10" s="1">
        <v>0</v>
      </c>
      <c r="M10" s="1">
        <v>0</v>
      </c>
      <c r="N10" s="5">
        <f t="shared" si="1"/>
        <v>0</v>
      </c>
      <c r="O10" s="1">
        <v>152</v>
      </c>
      <c r="P10" s="1">
        <f>6+154</f>
        <v>160</v>
      </c>
      <c r="Q10" s="1">
        <v>0</v>
      </c>
      <c r="R10" s="5">
        <f t="shared" si="2"/>
        <v>-1</v>
      </c>
      <c r="W10" s="1">
        <v>0</v>
      </c>
      <c r="X10" s="1">
        <v>0</v>
      </c>
      <c r="Y10" s="1">
        <f>157+154</f>
        <v>311</v>
      </c>
    </row>
    <row r="11" spans="2:32" x14ac:dyDescent="0.25">
      <c r="B11" t="s">
        <v>29</v>
      </c>
      <c r="K11" s="1">
        <f>+SUM(K7:K10)</f>
        <v>816</v>
      </c>
      <c r="L11" s="1">
        <f>+SUM(L7:L10)</f>
        <v>817</v>
      </c>
      <c r="M11" s="1">
        <f>+SUM(M7:M10)</f>
        <v>847</v>
      </c>
      <c r="N11" s="5">
        <f t="shared" si="1"/>
        <v>847</v>
      </c>
      <c r="O11" s="1">
        <f>+SUM(O7:O10)</f>
        <v>1066</v>
      </c>
      <c r="P11" s="1">
        <f>+SUM(P7:P10)</f>
        <v>1074</v>
      </c>
      <c r="Q11" s="1">
        <f>+SUM(Q7:Q10)</f>
        <v>954</v>
      </c>
      <c r="R11" s="5">
        <f t="shared" si="2"/>
        <v>931</v>
      </c>
      <c r="W11" s="1">
        <f>+SUM(W7:W10)</f>
        <v>3036</v>
      </c>
      <c r="X11" s="1">
        <f>+SUM(X7:X10)</f>
        <v>3327</v>
      </c>
      <c r="Y11" s="1">
        <f>+SUM(Y7:Y10)</f>
        <v>4025</v>
      </c>
    </row>
    <row r="12" spans="2:32" x14ac:dyDescent="0.25">
      <c r="B12" t="s">
        <v>30</v>
      </c>
      <c r="K12" s="1">
        <f>+K6-K11</f>
        <v>1042</v>
      </c>
      <c r="L12" s="1">
        <f>+L6-L11</f>
        <v>932</v>
      </c>
      <c r="M12" s="1">
        <f>+M6-M11</f>
        <v>1108</v>
      </c>
      <c r="N12" s="5">
        <f t="shared" si="1"/>
        <v>1283</v>
      </c>
      <c r="O12" s="1">
        <f>+O6-O11</f>
        <v>1283</v>
      </c>
      <c r="P12" s="1">
        <f>+P6-P11</f>
        <v>1579</v>
      </c>
      <c r="Q12" s="1">
        <f>+Q6-Q11</f>
        <v>2013</v>
      </c>
      <c r="R12" s="5">
        <f t="shared" si="2"/>
        <v>2014</v>
      </c>
      <c r="W12" s="1">
        <f>+W6-W11</f>
        <v>3350</v>
      </c>
      <c r="X12" s="1">
        <f>+X6-X11</f>
        <v>4365</v>
      </c>
      <c r="Y12" s="1">
        <f>+Y6-Y11</f>
        <v>6889</v>
      </c>
    </row>
    <row r="13" spans="2:32" x14ac:dyDescent="0.25">
      <c r="B13" t="s">
        <v>31</v>
      </c>
      <c r="K13" s="1">
        <f>+-59+22</f>
        <v>-37</v>
      </c>
      <c r="L13" s="1">
        <f>+-61+7</f>
        <v>-54</v>
      </c>
      <c r="M13" s="1">
        <f>+-61+-7</f>
        <v>-68</v>
      </c>
      <c r="N13" s="5">
        <f>+X13-SUM(K13:M13)</f>
        <v>-40</v>
      </c>
      <c r="O13" s="1">
        <f>+-61+18</f>
        <v>-43</v>
      </c>
      <c r="P13" s="1">
        <f>+-61+27</f>
        <v>-34</v>
      </c>
      <c r="Q13" s="1">
        <f>+-57+24</f>
        <v>-33</v>
      </c>
      <c r="R13" s="5">
        <f t="shared" si="2"/>
        <v>-8</v>
      </c>
      <c r="W13" s="1">
        <f>+-237+156</f>
        <v>-81</v>
      </c>
      <c r="X13" s="1">
        <f>+-240+41</f>
        <v>-199</v>
      </c>
      <c r="Y13" s="1">
        <f>-236+118</f>
        <v>-118</v>
      </c>
    </row>
    <row r="14" spans="2:32" x14ac:dyDescent="0.25">
      <c r="B14" t="s">
        <v>32</v>
      </c>
      <c r="K14" s="1">
        <f>+K12+K13</f>
        <v>1005</v>
      </c>
      <c r="L14" s="1">
        <f>+L12+L13</f>
        <v>878</v>
      </c>
      <c r="M14" s="1">
        <f>+M12+M13</f>
        <v>1040</v>
      </c>
      <c r="N14" s="5">
        <f>+X14-SUM(K14:M14)</f>
        <v>1243</v>
      </c>
      <c r="O14" s="1">
        <f>+O12+O13</f>
        <v>1240</v>
      </c>
      <c r="P14" s="1">
        <f>+P12+P13</f>
        <v>1545</v>
      </c>
      <c r="Q14" s="1">
        <f>+Q12+Q13</f>
        <v>1980</v>
      </c>
      <c r="R14" s="5">
        <f t="shared" si="2"/>
        <v>2006</v>
      </c>
      <c r="W14" s="1">
        <f>+W12+W13</f>
        <v>3269</v>
      </c>
      <c r="X14" s="1">
        <f>+X12+X13</f>
        <v>4166</v>
      </c>
      <c r="Y14" s="1">
        <f>+Y12+Y13</f>
        <v>6771</v>
      </c>
    </row>
    <row r="15" spans="2:32" x14ac:dyDescent="0.25">
      <c r="B15" t="s">
        <v>33</v>
      </c>
      <c r="K15" s="1">
        <v>113</v>
      </c>
      <c r="L15" s="1">
        <v>123</v>
      </c>
      <c r="M15" s="1">
        <v>199</v>
      </c>
      <c r="N15" s="5">
        <f t="shared" si="1"/>
        <v>112</v>
      </c>
      <c r="O15" s="1">
        <v>110</v>
      </c>
      <c r="P15" s="1">
        <v>215</v>
      </c>
      <c r="Q15" s="1">
        <v>264</v>
      </c>
      <c r="R15" s="5">
        <f t="shared" si="2"/>
        <v>294</v>
      </c>
      <c r="W15" s="1">
        <v>563</v>
      </c>
      <c r="X15" s="1">
        <v>547</v>
      </c>
      <c r="Y15" s="1">
        <v>883</v>
      </c>
    </row>
    <row r="16" spans="2:32" s="7" customFormat="1" x14ac:dyDescent="0.25">
      <c r="B16" s="7" t="s">
        <v>34</v>
      </c>
      <c r="K16" s="4">
        <f>+K14-K15</f>
        <v>892</v>
      </c>
      <c r="L16" s="4">
        <f>+L14-L15</f>
        <v>755</v>
      </c>
      <c r="M16" s="4">
        <f>+M14-M15</f>
        <v>841</v>
      </c>
      <c r="N16" s="4">
        <f>+X16-SUM(K16:M16)</f>
        <v>1131</v>
      </c>
      <c r="O16" s="4">
        <f>+O14-O15</f>
        <v>1130</v>
      </c>
      <c r="P16" s="4">
        <f>+P14-P15</f>
        <v>1330</v>
      </c>
      <c r="Q16" s="4">
        <f>+Q14-Q15</f>
        <v>1716</v>
      </c>
      <c r="R16" s="4">
        <f t="shared" si="2"/>
        <v>1712</v>
      </c>
      <c r="W16" s="4">
        <f>+W14-W15</f>
        <v>2706</v>
      </c>
      <c r="X16" s="4">
        <f>+X14-X15</f>
        <v>3619</v>
      </c>
      <c r="Y16" s="4">
        <f>+Y14-Y15</f>
        <v>5888</v>
      </c>
    </row>
    <row r="17" spans="2:26" x14ac:dyDescent="0.25">
      <c r="B17" t="s">
        <v>35</v>
      </c>
      <c r="K17" s="3">
        <f>+K16/K18</f>
        <v>0.96224379719525355</v>
      </c>
      <c r="L17" s="3">
        <f>+L16/L18</f>
        <v>0.81798483206933914</v>
      </c>
      <c r="M17" s="3">
        <f>+M16/M18</f>
        <v>0.9121475054229935</v>
      </c>
      <c r="N17" s="3">
        <f>+N16/N18</f>
        <v>1.224025974025974</v>
      </c>
      <c r="O17" s="3">
        <f>+O16/O18</f>
        <v>1.2216216216216216</v>
      </c>
      <c r="P17" s="3">
        <f>+P16/P18</f>
        <v>1.4347357065803668</v>
      </c>
      <c r="Q17" s="3">
        <f>+Q16/Q18</f>
        <v>1.869281045751634</v>
      </c>
      <c r="R17" s="3">
        <f>+R16/R18</f>
        <v>1.8541516245487364</v>
      </c>
      <c r="W17" s="3">
        <f>+W16/W18</f>
        <v>2.887940234791889</v>
      </c>
      <c r="X17" s="3">
        <f>+X16/X18</f>
        <v>3.9209100758396533</v>
      </c>
      <c r="Y17" s="3">
        <f>+Y16/Y18</f>
        <v>6.4069640914037</v>
      </c>
    </row>
    <row r="18" spans="2:26" x14ac:dyDescent="0.25">
      <c r="B18" t="s">
        <v>1</v>
      </c>
      <c r="K18">
        <v>927</v>
      </c>
      <c r="L18">
        <v>923</v>
      </c>
      <c r="M18">
        <v>922</v>
      </c>
      <c r="N18" s="5">
        <f>+AVERAGE(K18:M18)</f>
        <v>924</v>
      </c>
      <c r="O18">
        <v>925</v>
      </c>
      <c r="P18">
        <v>927</v>
      </c>
      <c r="Q18">
        <v>918</v>
      </c>
      <c r="R18" s="5">
        <f>+AVERAGE(O18:Q18)</f>
        <v>923.33333333333337</v>
      </c>
      <c r="W18">
        <v>937</v>
      </c>
      <c r="X18">
        <v>923</v>
      </c>
      <c r="Y18">
        <v>919</v>
      </c>
    </row>
    <row r="20" spans="2:26" x14ac:dyDescent="0.25">
      <c r="B20" t="s">
        <v>49</v>
      </c>
      <c r="K20" s="6">
        <f>+K6/K4</f>
        <v>0.44641999038923597</v>
      </c>
      <c r="L20" s="6">
        <f>+L6/L4</f>
        <v>0.44200151630022744</v>
      </c>
      <c r="M20" s="6">
        <f>+M6/M4</f>
        <v>0.44482366325369738</v>
      </c>
      <c r="N20" s="6">
        <f>+N6/N4</f>
        <v>0.45435153583617749</v>
      </c>
      <c r="O20" s="6">
        <f>+O6/O4</f>
        <v>0.4550561797752809</v>
      </c>
      <c r="P20" s="6">
        <f>+P6/P4</f>
        <v>0.47527767825152273</v>
      </c>
      <c r="Q20" s="6">
        <f>+Q6/Q4</f>
        <v>0.47885732730794062</v>
      </c>
      <c r="R20" s="6">
        <f>+R6/R4</f>
        <v>0.48097337906255105</v>
      </c>
    </row>
    <row r="21" spans="2:26" x14ac:dyDescent="0.25">
      <c r="B21" t="s">
        <v>51</v>
      </c>
      <c r="K21" s="6">
        <f t="shared" ref="K21:R21" si="3">+K12/K4</f>
        <v>0.25036040365209034</v>
      </c>
      <c r="L21" s="6">
        <f t="shared" si="3"/>
        <v>0.23553196866312864</v>
      </c>
      <c r="M21" s="6">
        <f t="shared" si="3"/>
        <v>0.25210466439135382</v>
      </c>
      <c r="N21" s="6">
        <f t="shared" si="3"/>
        <v>0.27367747440273038</v>
      </c>
      <c r="O21" s="6">
        <f t="shared" si="3"/>
        <v>0.24854707477721813</v>
      </c>
      <c r="P21" s="6">
        <f t="shared" si="3"/>
        <v>0.28287352203511285</v>
      </c>
      <c r="Q21" s="6">
        <f t="shared" si="3"/>
        <v>0.3248870238863783</v>
      </c>
      <c r="R21" s="6">
        <f>+R12/R4</f>
        <v>0.32892373019761556</v>
      </c>
    </row>
    <row r="22" spans="2:26" x14ac:dyDescent="0.25">
      <c r="K22" s="6"/>
      <c r="L22" s="6"/>
      <c r="M22" s="6"/>
      <c r="N22" s="6"/>
      <c r="O22" s="6"/>
      <c r="P22" s="6"/>
      <c r="Q22" s="6"/>
      <c r="R22" s="6"/>
    </row>
    <row r="23" spans="2:26" x14ac:dyDescent="0.25">
      <c r="B23" t="s">
        <v>50</v>
      </c>
      <c r="O23" s="6">
        <f>+O4/K4-1</f>
        <v>0.24026910139356072</v>
      </c>
      <c r="P23" s="6">
        <f>+P4/L4-1</f>
        <v>0.41066464493303001</v>
      </c>
      <c r="Q23" s="6">
        <f>+Q4/M4-1</f>
        <v>0.40978384527872591</v>
      </c>
      <c r="R23" s="6">
        <f>+R4/N4-1</f>
        <v>0.30610068259385659</v>
      </c>
    </row>
    <row r="26" spans="2:26" s="7" customFormat="1" x14ac:dyDescent="0.25">
      <c r="B26" s="7" t="s">
        <v>48</v>
      </c>
      <c r="K26" s="4">
        <f>+K27-K36</f>
        <v>359</v>
      </c>
      <c r="L26" s="4">
        <f>+L27-L36</f>
        <v>567</v>
      </c>
      <c r="M26" s="4">
        <f>+M27-M36</f>
        <v>847</v>
      </c>
      <c r="N26" s="4">
        <f>+N27-N36</f>
        <v>1828</v>
      </c>
      <c r="O26" s="4">
        <f>+O27-O36</f>
        <v>2775</v>
      </c>
      <c r="P26" s="4">
        <f>+P27-P36</f>
        <v>2884</v>
      </c>
      <c r="Q26" s="4">
        <f>+Q27-Q36</f>
        <v>2717</v>
      </c>
      <c r="R26" s="4">
        <f>+R27-R36</f>
        <v>2062</v>
      </c>
      <c r="Y26" s="4">
        <f>+Y27-Y36</f>
        <v>2062</v>
      </c>
      <c r="Z26" s="4">
        <f>+Y26+Y16</f>
        <v>7950</v>
      </c>
    </row>
    <row r="27" spans="2:26" x14ac:dyDescent="0.25">
      <c r="B27" t="s">
        <v>3</v>
      </c>
      <c r="K27" s="1">
        <f>3424+536+1713</f>
        <v>5673</v>
      </c>
      <c r="L27" s="1">
        <f>5281+423+1678</f>
        <v>7382</v>
      </c>
      <c r="M27" s="1">
        <f>4350+406+1538</f>
        <v>6294</v>
      </c>
      <c r="N27" s="1">
        <f>5351+387+1538</f>
        <v>7276</v>
      </c>
      <c r="O27" s="1">
        <f>6213+410+1601</f>
        <v>8224</v>
      </c>
      <c r="P27" s="1">
        <f>6305+460+1569</f>
        <v>8334</v>
      </c>
      <c r="Q27" s="1">
        <f>6066+444+1658</f>
        <v>8168</v>
      </c>
      <c r="R27" s="1">
        <f>4995+464+2055</f>
        <v>7514</v>
      </c>
      <c r="Y27" s="1">
        <f>4995+464+2055</f>
        <v>7514</v>
      </c>
    </row>
    <row r="28" spans="2:26" x14ac:dyDescent="0.25">
      <c r="B28" t="s">
        <v>36</v>
      </c>
      <c r="K28" s="1">
        <v>2679</v>
      </c>
      <c r="L28" s="1">
        <v>2625</v>
      </c>
      <c r="M28" s="1">
        <v>2806</v>
      </c>
      <c r="N28" s="1">
        <v>2963</v>
      </c>
      <c r="O28" s="1">
        <v>3045</v>
      </c>
      <c r="P28" s="1">
        <v>3375</v>
      </c>
      <c r="Q28" s="1">
        <v>3822</v>
      </c>
      <c r="R28" s="1">
        <v>4953</v>
      </c>
      <c r="Y28" s="1">
        <v>4953</v>
      </c>
    </row>
    <row r="29" spans="2:26" x14ac:dyDescent="0.25">
      <c r="B29" t="s">
        <v>37</v>
      </c>
      <c r="K29" s="1">
        <v>3472</v>
      </c>
      <c r="L29" s="1">
        <v>3725</v>
      </c>
      <c r="M29" s="1">
        <v>3952</v>
      </c>
      <c r="N29" s="1">
        <v>3904</v>
      </c>
      <c r="O29" s="1">
        <v>3925</v>
      </c>
      <c r="P29" s="1">
        <v>4053</v>
      </c>
      <c r="Q29" s="1">
        <v>4117</v>
      </c>
      <c r="R29" s="1">
        <v>4309</v>
      </c>
      <c r="Y29" s="1">
        <v>4309</v>
      </c>
    </row>
    <row r="30" spans="2:26" x14ac:dyDescent="0.25">
      <c r="B30" t="s">
        <v>38</v>
      </c>
      <c r="K30" s="1">
        <v>658</v>
      </c>
      <c r="L30" s="1">
        <v>681</v>
      </c>
      <c r="M30" s="1">
        <v>734</v>
      </c>
      <c r="N30" s="1">
        <v>764</v>
      </c>
      <c r="O30" s="1">
        <v>676</v>
      </c>
      <c r="P30" s="1">
        <v>778</v>
      </c>
      <c r="Q30" s="1">
        <v>799</v>
      </c>
      <c r="R30" s="1">
        <v>1386</v>
      </c>
      <c r="Y30" s="1">
        <v>1386</v>
      </c>
    </row>
    <row r="31" spans="2:26" x14ac:dyDescent="0.25">
      <c r="B31" t="s">
        <v>39</v>
      </c>
      <c r="K31" s="1">
        <v>1555</v>
      </c>
      <c r="L31" s="1">
        <v>1534</v>
      </c>
      <c r="M31" s="1">
        <v>1530</v>
      </c>
      <c r="N31" s="1">
        <v>1604</v>
      </c>
      <c r="O31" s="1">
        <v>1638</v>
      </c>
      <c r="P31" s="1">
        <v>1768</v>
      </c>
      <c r="Q31" s="1">
        <v>1814</v>
      </c>
      <c r="R31" s="1">
        <v>1934</v>
      </c>
      <c r="Y31" s="1">
        <v>1934</v>
      </c>
    </row>
    <row r="32" spans="2:26" x14ac:dyDescent="0.25">
      <c r="B32" t="s">
        <v>40</v>
      </c>
      <c r="K32" s="1">
        <f>3399+142</f>
        <v>3541</v>
      </c>
      <c r="L32" s="1">
        <f>3426+132</f>
        <v>3558</v>
      </c>
      <c r="M32" s="1">
        <f>3474+157</f>
        <v>3631</v>
      </c>
      <c r="N32" s="1">
        <f>3466+153</f>
        <v>3619</v>
      </c>
      <c r="O32" s="1">
        <f>3479+140</f>
        <v>3619</v>
      </c>
      <c r="P32" s="1">
        <f>3479+127</f>
        <v>3606</v>
      </c>
      <c r="Q32" s="1">
        <f>3479+116</f>
        <v>3595</v>
      </c>
      <c r="R32" s="1">
        <f>3479+104</f>
        <v>3583</v>
      </c>
      <c r="Y32" s="1">
        <f>3479+104</f>
        <v>3583</v>
      </c>
    </row>
    <row r="33" spans="2:25" x14ac:dyDescent="0.25">
      <c r="B33" t="s">
        <v>41</v>
      </c>
      <c r="K33" s="1">
        <v>2189</v>
      </c>
      <c r="L33" s="1">
        <v>2310</v>
      </c>
      <c r="M33" s="1">
        <v>2224</v>
      </c>
      <c r="N33" s="1">
        <v>2223</v>
      </c>
      <c r="O33" s="1">
        <v>2178</v>
      </c>
      <c r="P33" s="1">
        <v>2171</v>
      </c>
      <c r="Q33" s="1">
        <v>2164</v>
      </c>
      <c r="R33" s="1">
        <v>2146</v>
      </c>
      <c r="Y33" s="1">
        <v>2146</v>
      </c>
    </row>
    <row r="34" spans="2:25" x14ac:dyDescent="0.25">
      <c r="B34" t="s">
        <v>42</v>
      </c>
      <c r="K34" s="1">
        <f>+SUM(K27:K33)</f>
        <v>19767</v>
      </c>
      <c r="L34" s="1">
        <f>+SUM(L27:L33)</f>
        <v>21815</v>
      </c>
      <c r="M34" s="1">
        <f>+SUM(M27:M33)</f>
        <v>21171</v>
      </c>
      <c r="N34" s="1">
        <f>+SUM(N27:N33)</f>
        <v>22353</v>
      </c>
      <c r="O34" s="1">
        <f>+SUM(O27:O33)</f>
        <v>23305</v>
      </c>
      <c r="P34" s="1">
        <f>+SUM(P27:P33)</f>
        <v>24085</v>
      </c>
      <c r="Q34" s="1">
        <f>+SUM(Q27:Q33)</f>
        <v>24479</v>
      </c>
      <c r="R34" s="1">
        <f>+SUM(R27:R33)</f>
        <v>25825</v>
      </c>
      <c r="Y34" s="1">
        <f>+SUM(Y27:Y33)</f>
        <v>25825</v>
      </c>
    </row>
    <row r="36" spans="2:25" x14ac:dyDescent="0.25">
      <c r="B36" t="s">
        <v>4</v>
      </c>
      <c r="K36" s="1">
        <f>600+4714</f>
        <v>5314</v>
      </c>
      <c r="L36" s="1">
        <f>600+6215</f>
        <v>6815</v>
      </c>
      <c r="M36" s="1">
        <v>5447</v>
      </c>
      <c r="N36" s="1">
        <v>5448</v>
      </c>
      <c r="O36" s="1">
        <v>5449</v>
      </c>
      <c r="P36" s="1">
        <v>5450</v>
      </c>
      <c r="Q36" s="1">
        <v>5451</v>
      </c>
      <c r="R36" s="1">
        <v>5452</v>
      </c>
      <c r="Y36" s="1">
        <v>5452</v>
      </c>
    </row>
    <row r="37" spans="2:25" x14ac:dyDescent="0.25">
      <c r="B37" t="s">
        <v>43</v>
      </c>
      <c r="K37" s="1">
        <v>2569</v>
      </c>
      <c r="L37" s="1">
        <v>2831</v>
      </c>
      <c r="M37" s="1">
        <v>2895</v>
      </c>
      <c r="N37" s="1">
        <v>3138</v>
      </c>
      <c r="O37" s="1">
        <v>2932</v>
      </c>
      <c r="P37" s="1">
        <v>3116</v>
      </c>
      <c r="Q37" s="1">
        <v>3437</v>
      </c>
      <c r="R37" s="1">
        <v>4268</v>
      </c>
      <c r="Y37" s="1">
        <v>4268</v>
      </c>
    </row>
    <row r="38" spans="2:25" x14ac:dyDescent="0.25">
      <c r="B38" t="s">
        <v>44</v>
      </c>
      <c r="K38" s="1">
        <v>1400</v>
      </c>
      <c r="L38" s="1">
        <v>1334</v>
      </c>
      <c r="M38" s="1">
        <v>1390</v>
      </c>
      <c r="N38" s="1">
        <v>1321</v>
      </c>
      <c r="O38" s="1">
        <v>1572</v>
      </c>
      <c r="P38" s="1">
        <v>1706</v>
      </c>
      <c r="Q38" s="1">
        <v>1688</v>
      </c>
      <c r="R38" s="1">
        <v>2076</v>
      </c>
      <c r="Y38" s="1">
        <v>2076</v>
      </c>
    </row>
    <row r="39" spans="2:25" x14ac:dyDescent="0.25">
      <c r="B39" t="s">
        <v>45</v>
      </c>
      <c r="K39" s="1">
        <v>1298</v>
      </c>
      <c r="L39" s="1">
        <v>1238</v>
      </c>
      <c r="M39" s="1">
        <v>1237</v>
      </c>
      <c r="N39" s="1">
        <v>1206</v>
      </c>
      <c r="O39" s="1">
        <v>1210</v>
      </c>
      <c r="P39" s="1">
        <v>1138</v>
      </c>
      <c r="Q39" s="1">
        <v>1144</v>
      </c>
      <c r="R39" s="1">
        <v>1090</v>
      </c>
      <c r="Y39" s="1">
        <v>1090</v>
      </c>
    </row>
    <row r="40" spans="2:25" x14ac:dyDescent="0.25">
      <c r="B40" t="s">
        <v>46</v>
      </c>
      <c r="K40" s="1">
        <v>526</v>
      </c>
      <c r="L40" s="1">
        <v>573</v>
      </c>
      <c r="M40" s="1">
        <v>633</v>
      </c>
      <c r="N40" s="1">
        <v>662</v>
      </c>
      <c r="O40" s="1">
        <v>669</v>
      </c>
      <c r="P40" s="1">
        <v>682</v>
      </c>
      <c r="Q40" s="1">
        <v>699</v>
      </c>
      <c r="R40" s="1">
        <v>692</v>
      </c>
      <c r="Y40" s="1">
        <v>692</v>
      </c>
    </row>
    <row r="41" spans="2:25" x14ac:dyDescent="0.25">
      <c r="B41" t="s">
        <v>47</v>
      </c>
      <c r="K41" s="1">
        <f>+SUM(K36:K40)</f>
        <v>11107</v>
      </c>
      <c r="L41" s="1">
        <f>+SUM(L36:L40)</f>
        <v>12791</v>
      </c>
      <c r="M41" s="1">
        <f>+SUM(M36:M40)</f>
        <v>11602</v>
      </c>
      <c r="N41" s="1">
        <f>+SUM(N36:N40)</f>
        <v>11775</v>
      </c>
      <c r="O41" s="1">
        <f>+SUM(O36:O40)</f>
        <v>11832</v>
      </c>
      <c r="P41" s="1">
        <f>+SUM(P36:P40)</f>
        <v>12092</v>
      </c>
      <c r="Q41" s="1">
        <f>+SUM(Q36:Q40)</f>
        <v>12419</v>
      </c>
      <c r="R41" s="1">
        <f>+SUM(R36:R40)</f>
        <v>13578</v>
      </c>
      <c r="Y41" s="1">
        <f>+SUM(Y36:Y40)</f>
        <v>13578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2021-12-19T18:00:31Z</dcterms:created>
  <dcterms:modified xsi:type="dcterms:W3CDTF">2021-12-19T18:48:04Z</dcterms:modified>
</cp:coreProperties>
</file>