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A7717F7F-90B8-4C38-8AF4-5C04EEBF2FB6}" xr6:coauthVersionLast="47" xr6:coauthVersionMax="47" xr10:uidLastSave="{00000000-0000-0000-0000-000000000000}"/>
  <bookViews>
    <workbookView xWindow="2805" yWindow="570" windowWidth="10650" windowHeight="13905" activeTab="1" xr2:uid="{AEE1CC9B-85F8-484A-A236-4A3742934FD6}"/>
  </bookViews>
  <sheets>
    <sheet name="Main" sheetId="1" r:id="rId1"/>
    <sheet name="Model" sheetId="2" r:id="rId2"/>
    <sheet name="Modern Model" sheetId="4" r:id="rId3"/>
    <sheet name="Pat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" i="2" l="1"/>
  <c r="U55" i="2"/>
  <c r="O22" i="4"/>
  <c r="O18" i="4"/>
  <c r="K18" i="4"/>
  <c r="O11" i="4"/>
  <c r="K11" i="4"/>
  <c r="O10" i="4"/>
  <c r="O19" i="4" s="1"/>
  <c r="O9" i="4"/>
  <c r="K9" i="4"/>
  <c r="O5" i="4"/>
  <c r="K5" i="4"/>
  <c r="K10" i="4" s="1"/>
  <c r="AD36" i="2"/>
  <c r="Z28" i="2"/>
  <c r="Z27" i="2"/>
  <c r="Z22" i="2"/>
  <c r="Z20" i="2"/>
  <c r="Z30" i="2"/>
  <c r="Z29" i="2"/>
  <c r="Z26" i="2"/>
  <c r="Z23" i="2"/>
  <c r="Z21" i="2"/>
  <c r="Z14" i="2"/>
  <c r="Z11" i="2"/>
  <c r="AV11" i="2"/>
  <c r="AO11" i="2"/>
  <c r="AN11" i="2"/>
  <c r="AM11" i="2"/>
  <c r="AG11" i="2"/>
  <c r="AF11" i="2"/>
  <c r="AE11" i="2"/>
  <c r="BB10" i="2"/>
  <c r="BB11" i="2" s="1"/>
  <c r="BA10" i="2"/>
  <c r="BA11" i="2" s="1"/>
  <c r="AZ10" i="2"/>
  <c r="AZ11" i="2" s="1"/>
  <c r="AY10" i="2"/>
  <c r="AY11" i="2" s="1"/>
  <c r="AX10" i="2"/>
  <c r="AX11" i="2" s="1"/>
  <c r="AW10" i="2"/>
  <c r="AW11" i="2" s="1"/>
  <c r="AV10" i="2"/>
  <c r="AU10" i="2"/>
  <c r="AU11" i="2" s="1"/>
  <c r="AT10" i="2"/>
  <c r="AT11" i="2" s="1"/>
  <c r="AS10" i="2"/>
  <c r="AS11" i="2" s="1"/>
  <c r="AR10" i="2"/>
  <c r="AR11" i="2" s="1"/>
  <c r="AQ10" i="2"/>
  <c r="AQ11" i="2" s="1"/>
  <c r="AP10" i="2"/>
  <c r="AP11" i="2" s="1"/>
  <c r="AO10" i="2"/>
  <c r="AN10" i="2"/>
  <c r="AM10" i="2"/>
  <c r="AL10" i="2"/>
  <c r="AL11" i="2" s="1"/>
  <c r="AK10" i="2"/>
  <c r="AK11" i="2" s="1"/>
  <c r="AJ10" i="2"/>
  <c r="AJ11" i="2" s="1"/>
  <c r="AI10" i="2"/>
  <c r="AI11" i="2" s="1"/>
  <c r="AH10" i="2"/>
  <c r="AH11" i="2" s="1"/>
  <c r="AG10" i="2"/>
  <c r="AF10" i="2"/>
  <c r="AE10" i="2"/>
  <c r="AD10" i="2"/>
  <c r="AD11" i="2" s="1"/>
  <c r="AC10" i="2"/>
  <c r="AC11" i="2" s="1"/>
  <c r="AB10" i="2"/>
  <c r="AB11" i="2" s="1"/>
  <c r="Z10" i="2"/>
  <c r="U11" i="2"/>
  <c r="T11" i="2"/>
  <c r="Q11" i="2"/>
  <c r="M11" i="2"/>
  <c r="L11" i="2"/>
  <c r="I11" i="2"/>
  <c r="E11" i="2"/>
  <c r="D11" i="2"/>
  <c r="X10" i="2"/>
  <c r="X11" i="2" s="1"/>
  <c r="W10" i="2"/>
  <c r="W11" i="2" s="1"/>
  <c r="V10" i="2"/>
  <c r="V11" i="2" s="1"/>
  <c r="U10" i="2"/>
  <c r="T10" i="2"/>
  <c r="S10" i="2"/>
  <c r="S11" i="2" s="1"/>
  <c r="R10" i="2"/>
  <c r="R11" i="2" s="1"/>
  <c r="Q10" i="2"/>
  <c r="P10" i="2"/>
  <c r="P11" i="2" s="1"/>
  <c r="O10" i="2"/>
  <c r="O11" i="2" s="1"/>
  <c r="N10" i="2"/>
  <c r="N11" i="2" s="1"/>
  <c r="M10" i="2"/>
  <c r="L10" i="2"/>
  <c r="K10" i="2"/>
  <c r="K11" i="2" s="1"/>
  <c r="J10" i="2"/>
  <c r="J11" i="2" s="1"/>
  <c r="I10" i="2"/>
  <c r="H10" i="2"/>
  <c r="H11" i="2" s="1"/>
  <c r="G10" i="2"/>
  <c r="G11" i="2" s="1"/>
  <c r="F10" i="2"/>
  <c r="F11" i="2" s="1"/>
  <c r="E10" i="2"/>
  <c r="D10" i="2"/>
  <c r="C10" i="2"/>
  <c r="C11" i="2" s="1"/>
  <c r="Y11" i="2"/>
  <c r="Y10" i="2"/>
  <c r="Z6" i="2"/>
  <c r="U44" i="2"/>
  <c r="U39" i="2"/>
  <c r="U38" i="2" s="1"/>
  <c r="U53" i="2"/>
  <c r="U54" i="2" s="1"/>
  <c r="Y53" i="2"/>
  <c r="Y54" i="2" s="1"/>
  <c r="Y44" i="2"/>
  <c r="Y39" i="2"/>
  <c r="Y38" i="2" s="1"/>
  <c r="K12" i="4" l="1"/>
  <c r="K19" i="4"/>
  <c r="O12" i="4"/>
  <c r="Z16" i="2"/>
  <c r="Z18" i="2" s="1"/>
  <c r="U46" i="2"/>
  <c r="Y46" i="2"/>
  <c r="D8" i="1"/>
  <c r="D7" i="1"/>
  <c r="D6" i="1"/>
  <c r="D5" i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T26" i="2"/>
  <c r="AB17" i="2"/>
  <c r="AC17" i="2"/>
  <c r="O29" i="2"/>
  <c r="Q26" i="2"/>
  <c r="Q27" i="2"/>
  <c r="J15" i="2"/>
  <c r="AC15" i="2" s="1"/>
  <c r="J13" i="2"/>
  <c r="AC13" i="2" s="1"/>
  <c r="J12" i="2"/>
  <c r="AC12" i="2" s="1"/>
  <c r="J9" i="2"/>
  <c r="AC9" i="2" s="1"/>
  <c r="J8" i="2"/>
  <c r="J7" i="2"/>
  <c r="J5" i="2"/>
  <c r="J4" i="2"/>
  <c r="AC4" i="2" s="1"/>
  <c r="F15" i="2"/>
  <c r="AB15" i="2" s="1"/>
  <c r="F13" i="2"/>
  <c r="AB13" i="2" s="1"/>
  <c r="F12" i="2"/>
  <c r="AB12" i="2" s="1"/>
  <c r="F9" i="2"/>
  <c r="AB9" i="2" s="1"/>
  <c r="F8" i="2"/>
  <c r="AB8" i="2" s="1"/>
  <c r="F7" i="2"/>
  <c r="F5" i="2"/>
  <c r="AB5" i="2" s="1"/>
  <c r="F4" i="2"/>
  <c r="AB4" i="2" s="1"/>
  <c r="M29" i="2"/>
  <c r="L29" i="2"/>
  <c r="K29" i="2"/>
  <c r="I29" i="2"/>
  <c r="H29" i="2"/>
  <c r="M28" i="2"/>
  <c r="L28" i="2"/>
  <c r="K28" i="2"/>
  <c r="I28" i="2"/>
  <c r="H28" i="2"/>
  <c r="M27" i="2"/>
  <c r="L27" i="2"/>
  <c r="K27" i="2"/>
  <c r="I27" i="2"/>
  <c r="H27" i="2"/>
  <c r="M26" i="2"/>
  <c r="L26" i="2"/>
  <c r="K26" i="2"/>
  <c r="I26" i="2"/>
  <c r="H26" i="2"/>
  <c r="G29" i="2"/>
  <c r="G28" i="2"/>
  <c r="G27" i="2"/>
  <c r="G26" i="2"/>
  <c r="D20" i="2"/>
  <c r="C6" i="2"/>
  <c r="C20" i="2" s="1"/>
  <c r="G6" i="2"/>
  <c r="G20" i="2" s="1"/>
  <c r="D6" i="2"/>
  <c r="H6" i="2"/>
  <c r="H20" i="2" s="1"/>
  <c r="E6" i="2"/>
  <c r="E20" i="2" s="1"/>
  <c r="I6" i="2"/>
  <c r="I20" i="2" s="1"/>
  <c r="AF17" i="2"/>
  <c r="AE17" i="2"/>
  <c r="AD17" i="2"/>
  <c r="W26" i="2"/>
  <c r="S26" i="2"/>
  <c r="S29" i="2"/>
  <c r="X26" i="2"/>
  <c r="U26" i="2"/>
  <c r="P26" i="2"/>
  <c r="O26" i="2"/>
  <c r="Y26" i="2"/>
  <c r="Y28" i="2"/>
  <c r="U27" i="2"/>
  <c r="O27" i="2"/>
  <c r="P27" i="2"/>
  <c r="U29" i="2"/>
  <c r="T29" i="2"/>
  <c r="Q29" i="2"/>
  <c r="P29" i="2"/>
  <c r="U28" i="2"/>
  <c r="T28" i="2"/>
  <c r="S28" i="2"/>
  <c r="Q28" i="2"/>
  <c r="P28" i="2"/>
  <c r="O28" i="2"/>
  <c r="T27" i="2"/>
  <c r="S27" i="2"/>
  <c r="N15" i="2"/>
  <c r="AD15" i="2" s="1"/>
  <c r="N13" i="2"/>
  <c r="AD13" i="2" s="1"/>
  <c r="N12" i="2"/>
  <c r="AD12" i="2" s="1"/>
  <c r="N9" i="2"/>
  <c r="AD9" i="2" s="1"/>
  <c r="N8" i="2"/>
  <c r="AD8" i="2" s="1"/>
  <c r="N7" i="2"/>
  <c r="N5" i="2"/>
  <c r="AD5" i="2" s="1"/>
  <c r="N4" i="2"/>
  <c r="AD4" i="2" s="1"/>
  <c r="M6" i="2"/>
  <c r="M20" i="2" s="1"/>
  <c r="R15" i="2"/>
  <c r="AE15" i="2" s="1"/>
  <c r="R13" i="2"/>
  <c r="AE13" i="2" s="1"/>
  <c r="R12" i="2"/>
  <c r="AE12" i="2" s="1"/>
  <c r="R9" i="2"/>
  <c r="R8" i="2"/>
  <c r="AE8" i="2" s="1"/>
  <c r="R7" i="2"/>
  <c r="AE7" i="2" s="1"/>
  <c r="R5" i="2"/>
  <c r="AE5" i="2" s="1"/>
  <c r="R4" i="2"/>
  <c r="AE4" i="2" s="1"/>
  <c r="K6" i="2"/>
  <c r="K20" i="2" s="1"/>
  <c r="O6" i="2"/>
  <c r="L6" i="2"/>
  <c r="L20" i="2" s="1"/>
  <c r="P6" i="2"/>
  <c r="P20" i="2" s="1"/>
  <c r="Q6" i="2"/>
  <c r="X28" i="2"/>
  <c r="W28" i="2"/>
  <c r="X29" i="2"/>
  <c r="W29" i="2"/>
  <c r="Y29" i="2"/>
  <c r="W27" i="2"/>
  <c r="X27" i="2"/>
  <c r="Y27" i="2"/>
  <c r="V15" i="2"/>
  <c r="AF15" i="2" s="1"/>
  <c r="V13" i="2"/>
  <c r="AF13" i="2" s="1"/>
  <c r="V12" i="2"/>
  <c r="AF12" i="2" s="1"/>
  <c r="V9" i="2"/>
  <c r="AF9" i="2" s="1"/>
  <c r="V8" i="2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V7" i="2"/>
  <c r="V5" i="2"/>
  <c r="AF5" i="2" s="1"/>
  <c r="V4" i="2"/>
  <c r="S6" i="2"/>
  <c r="S20" i="2" s="1"/>
  <c r="W6" i="2"/>
  <c r="W20" i="2" s="1"/>
  <c r="T6" i="2"/>
  <c r="X6" i="2"/>
  <c r="X20" i="2" s="1"/>
  <c r="U6" i="2"/>
  <c r="U20" i="2" s="1"/>
  <c r="Y6" i="2"/>
  <c r="Y20" i="2" s="1"/>
  <c r="K5" i="1"/>
  <c r="K4" i="1"/>
  <c r="K7" i="1" s="1"/>
  <c r="O14" i="4" l="1"/>
  <c r="O16" i="4" s="1"/>
  <c r="O20" i="4"/>
  <c r="K20" i="4"/>
  <c r="K14" i="4"/>
  <c r="K16" i="4" s="1"/>
  <c r="Q14" i="2"/>
  <c r="Q16" i="2" s="1"/>
  <c r="Q18" i="2" s="1"/>
  <c r="Q21" i="2"/>
  <c r="AE26" i="2"/>
  <c r="AE28" i="2"/>
  <c r="N27" i="2"/>
  <c r="AB24" i="2"/>
  <c r="J6" i="2"/>
  <c r="J20" i="2" s="1"/>
  <c r="N26" i="2"/>
  <c r="J29" i="2"/>
  <c r="J28" i="2"/>
  <c r="AC8" i="2"/>
  <c r="AD28" i="2" s="1"/>
  <c r="V26" i="2"/>
  <c r="AD7" i="2"/>
  <c r="AD27" i="2" s="1"/>
  <c r="AE24" i="2"/>
  <c r="AD26" i="2"/>
  <c r="AD24" i="2"/>
  <c r="V27" i="2"/>
  <c r="J27" i="2"/>
  <c r="AC7" i="2"/>
  <c r="AC29" i="2"/>
  <c r="AG9" i="2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AD29" i="2"/>
  <c r="AC26" i="2"/>
  <c r="AF28" i="2"/>
  <c r="V6" i="2"/>
  <c r="AF6" i="2" s="1"/>
  <c r="AB7" i="2"/>
  <c r="AC27" i="2" s="1"/>
  <c r="F6" i="2"/>
  <c r="F20" i="2" s="1"/>
  <c r="AC5" i="2"/>
  <c r="AC24" i="2" s="1"/>
  <c r="R6" i="2"/>
  <c r="R20" i="2" s="1"/>
  <c r="AE6" i="2"/>
  <c r="AE20" i="2" s="1"/>
  <c r="V29" i="2"/>
  <c r="G21" i="2"/>
  <c r="N29" i="2"/>
  <c r="AF7" i="2"/>
  <c r="N28" i="2"/>
  <c r="J26" i="2"/>
  <c r="C21" i="2"/>
  <c r="V28" i="2"/>
  <c r="N6" i="2"/>
  <c r="AF4" i="2"/>
  <c r="AF24" i="2" s="1"/>
  <c r="R26" i="2"/>
  <c r="Q23" i="2"/>
  <c r="AE9" i="2"/>
  <c r="AE29" i="2" s="1"/>
  <c r="O20" i="2"/>
  <c r="R28" i="2"/>
  <c r="R29" i="2"/>
  <c r="Q22" i="2"/>
  <c r="R27" i="2"/>
  <c r="T20" i="2"/>
  <c r="Q20" i="2"/>
  <c r="K21" i="2"/>
  <c r="O21" i="2"/>
  <c r="S21" i="2"/>
  <c r="Y14" i="2" l="1"/>
  <c r="Y21" i="2"/>
  <c r="J14" i="2"/>
  <c r="J16" i="2" s="1"/>
  <c r="J21" i="2"/>
  <c r="T14" i="2"/>
  <c r="T16" i="2" s="1"/>
  <c r="T18" i="2" s="1"/>
  <c r="T21" i="2"/>
  <c r="W14" i="2"/>
  <c r="W16" i="2" s="1"/>
  <c r="W21" i="2"/>
  <c r="I14" i="2"/>
  <c r="I21" i="2"/>
  <c r="L14" i="2"/>
  <c r="L21" i="2"/>
  <c r="E14" i="2"/>
  <c r="E16" i="2" s="1"/>
  <c r="E21" i="2"/>
  <c r="X14" i="2"/>
  <c r="X16" i="2" s="1"/>
  <c r="X30" i="2" s="1"/>
  <c r="X21" i="2"/>
  <c r="M14" i="2"/>
  <c r="M21" i="2"/>
  <c r="H14" i="2"/>
  <c r="H21" i="2"/>
  <c r="D14" i="2"/>
  <c r="D16" i="2" s="1"/>
  <c r="D21" i="2"/>
  <c r="U14" i="2"/>
  <c r="U16" i="2" s="1"/>
  <c r="U30" i="2" s="1"/>
  <c r="U21" i="2"/>
  <c r="P14" i="2"/>
  <c r="P21" i="2"/>
  <c r="AE27" i="2"/>
  <c r="AC6" i="2"/>
  <c r="AC20" i="2" s="1"/>
  <c r="AF20" i="2"/>
  <c r="T22" i="2"/>
  <c r="AC28" i="2"/>
  <c r="AH28" i="2" s="1"/>
  <c r="AG7" i="2"/>
  <c r="AF27" i="2"/>
  <c r="AH27" i="2" s="1"/>
  <c r="C14" i="2"/>
  <c r="I16" i="2"/>
  <c r="I23" i="2"/>
  <c r="AF29" i="2"/>
  <c r="AH29" i="2" s="1"/>
  <c r="G14" i="2"/>
  <c r="AF26" i="2"/>
  <c r="AG4" i="2"/>
  <c r="V20" i="2"/>
  <c r="H16" i="2"/>
  <c r="H23" i="2"/>
  <c r="AB6" i="2"/>
  <c r="AB20" i="2" s="1"/>
  <c r="J23" i="2"/>
  <c r="N20" i="2"/>
  <c r="AD6" i="2"/>
  <c r="AD20" i="2" s="1"/>
  <c r="O14" i="2"/>
  <c r="K14" i="2"/>
  <c r="K23" i="2" s="1"/>
  <c r="P16" i="2"/>
  <c r="P23" i="2"/>
  <c r="L16" i="2"/>
  <c r="L23" i="2"/>
  <c r="S14" i="2"/>
  <c r="M16" i="2"/>
  <c r="M23" i="2"/>
  <c r="Y16" i="2"/>
  <c r="Y18" i="2" s="1"/>
  <c r="Y23" i="2"/>
  <c r="W23" i="2" l="1"/>
  <c r="E23" i="2"/>
  <c r="X23" i="2"/>
  <c r="N14" i="2"/>
  <c r="N16" i="2" s="1"/>
  <c r="N21" i="2"/>
  <c r="R14" i="2"/>
  <c r="R21" i="2"/>
  <c r="F14" i="2"/>
  <c r="F16" i="2" s="1"/>
  <c r="J30" i="2" s="1"/>
  <c r="F21" i="2"/>
  <c r="V21" i="2"/>
  <c r="D23" i="2"/>
  <c r="U23" i="2"/>
  <c r="T23" i="2"/>
  <c r="Y30" i="2"/>
  <c r="G16" i="2"/>
  <c r="G23" i="2"/>
  <c r="AC14" i="2"/>
  <c r="AC23" i="2" s="1"/>
  <c r="D18" i="2"/>
  <c r="D22" i="2"/>
  <c r="V14" i="2"/>
  <c r="AF14" i="2" s="1"/>
  <c r="AF23" i="2" s="1"/>
  <c r="H18" i="2"/>
  <c r="H30" i="2"/>
  <c r="H22" i="2"/>
  <c r="P30" i="2"/>
  <c r="T30" i="2"/>
  <c r="C16" i="2"/>
  <c r="C23" i="2"/>
  <c r="F23" i="2"/>
  <c r="E18" i="2"/>
  <c r="E22" i="2"/>
  <c r="AH7" i="2"/>
  <c r="L30" i="2"/>
  <c r="W22" i="2"/>
  <c r="M30" i="2"/>
  <c r="Q30" i="2"/>
  <c r="AG5" i="2"/>
  <c r="AG24" i="2" s="1"/>
  <c r="AH4" i="2"/>
  <c r="I18" i="2"/>
  <c r="I30" i="2"/>
  <c r="I22" i="2"/>
  <c r="S16" i="2"/>
  <c r="W30" i="2" s="1"/>
  <c r="S23" i="2"/>
  <c r="L18" i="2"/>
  <c r="L22" i="2"/>
  <c r="U18" i="2"/>
  <c r="U22" i="2"/>
  <c r="Y22" i="2"/>
  <c r="W18" i="2"/>
  <c r="P18" i="2"/>
  <c r="P22" i="2"/>
  <c r="M18" i="2"/>
  <c r="M22" i="2"/>
  <c r="X18" i="2"/>
  <c r="X22" i="2"/>
  <c r="K16" i="2"/>
  <c r="AD14" i="2"/>
  <c r="AD23" i="2" s="1"/>
  <c r="O16" i="2"/>
  <c r="O30" i="2" s="1"/>
  <c r="AE14" i="2"/>
  <c r="AE23" i="2" s="1"/>
  <c r="O23" i="2"/>
  <c r="N23" i="2"/>
  <c r="F22" i="2" l="1"/>
  <c r="AB14" i="2"/>
  <c r="AB23" i="2" s="1"/>
  <c r="K30" i="2"/>
  <c r="F18" i="2"/>
  <c r="R16" i="2"/>
  <c r="AE16" i="2" s="1"/>
  <c r="R23" i="2"/>
  <c r="AG6" i="2"/>
  <c r="AG20" i="2" s="1"/>
  <c r="S30" i="2"/>
  <c r="AI7" i="2"/>
  <c r="V16" i="2"/>
  <c r="V23" i="2"/>
  <c r="AH5" i="2"/>
  <c r="AH24" i="2" s="1"/>
  <c r="AI4" i="2"/>
  <c r="C18" i="2"/>
  <c r="AB18" i="2" s="1"/>
  <c r="AB16" i="2"/>
  <c r="AB22" i="2" s="1"/>
  <c r="C22" i="2"/>
  <c r="N30" i="2"/>
  <c r="G18" i="2"/>
  <c r="AC16" i="2"/>
  <c r="G30" i="2"/>
  <c r="G22" i="2"/>
  <c r="J18" i="2"/>
  <c r="J22" i="2"/>
  <c r="O18" i="2"/>
  <c r="O22" i="2"/>
  <c r="N22" i="2"/>
  <c r="N18" i="2"/>
  <c r="K18" i="2"/>
  <c r="AD18" i="2" s="1"/>
  <c r="AD16" i="2"/>
  <c r="K22" i="2"/>
  <c r="S18" i="2"/>
  <c r="S22" i="2"/>
  <c r="R30" i="2" l="1"/>
  <c r="AH6" i="2"/>
  <c r="R22" i="2"/>
  <c r="R18" i="2"/>
  <c r="AE18" i="2" s="1"/>
  <c r="AJ7" i="2"/>
  <c r="AH20" i="2"/>
  <c r="AE30" i="2"/>
  <c r="AE22" i="2"/>
  <c r="V30" i="2"/>
  <c r="V18" i="2"/>
  <c r="AF18" i="2" s="1"/>
  <c r="V22" i="2"/>
  <c r="AC30" i="2"/>
  <c r="AC22" i="2"/>
  <c r="AD22" i="2"/>
  <c r="AD30" i="2"/>
  <c r="AC18" i="2"/>
  <c r="AJ4" i="2"/>
  <c r="AI5" i="2"/>
  <c r="AI24" i="2" s="1"/>
  <c r="AF16" i="2"/>
  <c r="AK4" i="2" l="1"/>
  <c r="AJ5" i="2"/>
  <c r="AJ24" i="2" s="1"/>
  <c r="AF22" i="2"/>
  <c r="AG16" i="2"/>
  <c r="AF30" i="2"/>
  <c r="AK7" i="2"/>
  <c r="AI6" i="2"/>
  <c r="AL7" i="2" l="1"/>
  <c r="AJ6" i="2"/>
  <c r="AH16" i="2"/>
  <c r="AG22" i="2"/>
  <c r="AI20" i="2"/>
  <c r="AL4" i="2"/>
  <c r="AK5" i="2"/>
  <c r="AK24" i="2" s="1"/>
  <c r="AM4" i="2" l="1"/>
  <c r="AL5" i="2"/>
  <c r="AL24" i="2" s="1"/>
  <c r="AI16" i="2"/>
  <c r="AH22" i="2"/>
  <c r="AJ20" i="2"/>
  <c r="AK6" i="2"/>
  <c r="AM7" i="2"/>
  <c r="AN7" i="2" l="1"/>
  <c r="AL6" i="2"/>
  <c r="AK20" i="2"/>
  <c r="AJ16" i="2"/>
  <c r="AI22" i="2"/>
  <c r="AN4" i="2"/>
  <c r="AM5" i="2"/>
  <c r="AM24" i="2" s="1"/>
  <c r="AO4" i="2" l="1"/>
  <c r="AN5" i="2"/>
  <c r="AN24" i="2" s="1"/>
  <c r="AN6" i="2"/>
  <c r="AJ22" i="2"/>
  <c r="AK16" i="2"/>
  <c r="AL20" i="2"/>
  <c r="AM6" i="2"/>
  <c r="AO7" i="2"/>
  <c r="AP7" i="2" l="1"/>
  <c r="AM20" i="2"/>
  <c r="AL16" i="2"/>
  <c r="AK22" i="2"/>
  <c r="AN20" i="2"/>
  <c r="AP4" i="2"/>
  <c r="AO5" i="2"/>
  <c r="AO24" i="2" s="1"/>
  <c r="AO6" i="2"/>
  <c r="AO20" i="2" l="1"/>
  <c r="AQ7" i="2"/>
  <c r="AL22" i="2"/>
  <c r="AM16" i="2"/>
  <c r="AQ4" i="2"/>
  <c r="AP6" i="2"/>
  <c r="AP5" i="2"/>
  <c r="AP24" i="2" s="1"/>
  <c r="AR4" i="2" l="1"/>
  <c r="AQ5" i="2"/>
  <c r="AQ24" i="2" s="1"/>
  <c r="AP20" i="2"/>
  <c r="AR7" i="2"/>
  <c r="AN16" i="2"/>
  <c r="AM22" i="2"/>
  <c r="AO16" i="2" l="1"/>
  <c r="AN22" i="2"/>
  <c r="AQ6" i="2"/>
  <c r="AS7" i="2"/>
  <c r="AS4" i="2"/>
  <c r="AR5" i="2"/>
  <c r="AR24" i="2" s="1"/>
  <c r="AT7" i="2" l="1"/>
  <c r="AR6" i="2"/>
  <c r="AT4" i="2"/>
  <c r="AS5" i="2"/>
  <c r="AS24" i="2" s="1"/>
  <c r="AQ20" i="2"/>
  <c r="AP16" i="2"/>
  <c r="AO22" i="2"/>
  <c r="AS6" i="2" l="1"/>
  <c r="AU4" i="2"/>
  <c r="AT5" i="2"/>
  <c r="AT24" i="2" s="1"/>
  <c r="AR20" i="2"/>
  <c r="AP22" i="2"/>
  <c r="AQ16" i="2"/>
  <c r="AU7" i="2"/>
  <c r="AV4" i="2" l="1"/>
  <c r="AU5" i="2"/>
  <c r="AU24" i="2" s="1"/>
  <c r="AR16" i="2"/>
  <c r="AQ22" i="2"/>
  <c r="AT6" i="2"/>
  <c r="AV7" i="2"/>
  <c r="AS20" i="2"/>
  <c r="AU6" i="2" l="1"/>
  <c r="AW7" i="2"/>
  <c r="AT20" i="2"/>
  <c r="AR22" i="2"/>
  <c r="AS16" i="2"/>
  <c r="AU20" i="2"/>
  <c r="AW4" i="2"/>
  <c r="AV5" i="2"/>
  <c r="AV24" i="2" s="1"/>
  <c r="AV6" i="2" l="1"/>
  <c r="AV20" i="2"/>
  <c r="AT16" i="2"/>
  <c r="AS22" i="2"/>
  <c r="AX7" i="2"/>
  <c r="AX4" i="2"/>
  <c r="AW5" i="2"/>
  <c r="AW24" i="2" s="1"/>
  <c r="AY7" i="2" l="1"/>
  <c r="AY4" i="2"/>
  <c r="AX5" i="2"/>
  <c r="AX24" i="2" s="1"/>
  <c r="AU16" i="2"/>
  <c r="AT22" i="2"/>
  <c r="AW6" i="2"/>
  <c r="AZ7" i="2" l="1"/>
  <c r="AW20" i="2"/>
  <c r="AV16" i="2"/>
  <c r="AU22" i="2"/>
  <c r="AX6" i="2"/>
  <c r="AZ4" i="2"/>
  <c r="AY5" i="2"/>
  <c r="AY24" i="2" s="1"/>
  <c r="AX20" i="2" l="1"/>
  <c r="AW16" i="2"/>
  <c r="AV22" i="2"/>
  <c r="BA4" i="2"/>
  <c r="AZ5" i="2"/>
  <c r="AZ24" i="2" s="1"/>
  <c r="AY6" i="2"/>
  <c r="BA7" i="2"/>
  <c r="AY20" i="2" l="1"/>
  <c r="BB4" i="2"/>
  <c r="BA5" i="2"/>
  <c r="BA24" i="2" s="1"/>
  <c r="AZ6" i="2"/>
  <c r="AW22" i="2"/>
  <c r="AX16" i="2"/>
  <c r="BB7" i="2"/>
  <c r="BB5" i="2" l="1"/>
  <c r="BB24" i="2" s="1"/>
  <c r="AZ20" i="2"/>
  <c r="BA6" i="2"/>
  <c r="AY16" i="2"/>
  <c r="AX22" i="2"/>
  <c r="BA20" i="2" l="1"/>
  <c r="AZ16" i="2"/>
  <c r="AY22" i="2"/>
  <c r="BB6" i="2"/>
  <c r="BB20" i="2" l="1"/>
  <c r="BA16" i="2"/>
  <c r="AZ22" i="2"/>
  <c r="BB16" i="2" l="1"/>
  <c r="BA22" i="2"/>
  <c r="BB22" i="2" l="1"/>
  <c r="AI37" i="2"/>
  <c r="AI39" i="2" s="1"/>
  <c r="AI40" i="2" s="1"/>
  <c r="AI42" i="2" s="1"/>
</calcChain>
</file>

<file path=xl/sharedStrings.xml><?xml version="1.0" encoding="utf-8"?>
<sst xmlns="http://schemas.openxmlformats.org/spreadsheetml/2006/main" count="158" uniqueCount="125">
  <si>
    <t>Price</t>
  </si>
  <si>
    <t>S/O</t>
  </si>
  <si>
    <t>MC</t>
  </si>
  <si>
    <t>Cash</t>
  </si>
  <si>
    <t>Debt</t>
  </si>
  <si>
    <t>EV</t>
  </si>
  <si>
    <t>Q321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</si>
  <si>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</si>
  <si>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</si>
  <si>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</si>
  <si>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</si>
  <si>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</si>
  <si>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</si>
  <si>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</si>
  <si>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</si>
  <si>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</si>
  <si>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</si>
  <si>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</si>
  <si>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</si>
  <si>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</si>
  <si>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</si>
  <si>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</si>
  <si>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</si>
  <si>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COGS</t>
  </si>
  <si>
    <t>Gross Profit</t>
  </si>
  <si>
    <t>R&amp;D</t>
  </si>
  <si>
    <t>Marketing</t>
  </si>
  <si>
    <t>G&amp;A</t>
  </si>
  <si>
    <t>Operating cost</t>
  </si>
  <si>
    <t>Operating Income</t>
  </si>
  <si>
    <t>Pretax Income</t>
  </si>
  <si>
    <t>Tax</t>
  </si>
  <si>
    <t>Net Income</t>
  </si>
  <si>
    <t>EPS</t>
  </si>
  <si>
    <t>Revenue Y/Y</t>
  </si>
  <si>
    <t>Gross Margin %</t>
  </si>
  <si>
    <t>Income Margin %</t>
  </si>
  <si>
    <t>Tax Rate</t>
  </si>
  <si>
    <t>R&amp;D Y/Y</t>
  </si>
  <si>
    <t>Marketing Y/Y</t>
  </si>
  <si>
    <t>G&amp;A Y/Y</t>
  </si>
  <si>
    <t>Semiconductor Industry</t>
  </si>
  <si>
    <t>Copper Shortage</t>
  </si>
  <si>
    <t>Laws could favor foreign companies</t>
  </si>
  <si>
    <t>10% net sales in TSM, 005930(Samsung),INTC</t>
  </si>
  <si>
    <t>Fear for Chinese and US trade laws</t>
  </si>
  <si>
    <t>1.5 Billion revolving credit facilit &amp; 2.0 billion revolving loan facility</t>
  </si>
  <si>
    <t>US Government Funding</t>
  </si>
  <si>
    <t>Failure to forecasting demand may result in poorer gross margin; Excessive or obsolete inventory charges</t>
  </si>
  <si>
    <t>Q420: 24,000 Employees</t>
  </si>
  <si>
    <t>Currency exchange &amp; commission, weak curriences such as USD JPY, Israeli Shekel, EUR, Taiwanese doklllar, Singapore dollar, the Yuan and Korean won</t>
  </si>
  <si>
    <t>FUTURE PLAN:Allocating capital investment to market segments that applied does not serve or have very little impact in</t>
  </si>
  <si>
    <t>FUTURE PLAN:Planned acquisition of Kokusai Electric (Japanese Semiconductor Tool manufacturer similar to AMAT)</t>
  </si>
  <si>
    <t>Expiration</t>
  </si>
  <si>
    <t>Title</t>
  </si>
  <si>
    <t>Info</t>
  </si>
  <si>
    <t>link</t>
  </si>
  <si>
    <t xml:space="preserve">Thermally matched support ring for substrate processing chamber </t>
  </si>
  <si>
    <t xml:space="preserve">Carrier head with a non-stick membrane </t>
  </si>
  <si>
    <t>Q116</t>
  </si>
  <si>
    <t>Q216</t>
  </si>
  <si>
    <t>Q317</t>
  </si>
  <si>
    <t>Q417</t>
  </si>
  <si>
    <t>Q217</t>
  </si>
  <si>
    <t>Q117</t>
  </si>
  <si>
    <t>Q416</t>
  </si>
  <si>
    <t>Q316</t>
  </si>
  <si>
    <t>Interest Expense</t>
  </si>
  <si>
    <t>Other Income(net)</t>
  </si>
  <si>
    <t>Income Y/Y</t>
  </si>
  <si>
    <t xml:space="preserve">Multiple zone carrier head with flexible membrane </t>
  </si>
  <si>
    <t xml:space="preserve">Halogen lamp assembly with integrated heat sink </t>
  </si>
  <si>
    <t xml:space="preserve">Method of surface texturizing </t>
  </si>
  <si>
    <t>Maturity</t>
  </si>
  <si>
    <t>Discount</t>
  </si>
  <si>
    <t>NPV</t>
  </si>
  <si>
    <t>net Cash</t>
  </si>
  <si>
    <t>each share</t>
  </si>
  <si>
    <t>Operates in Asia to serve to customers and reduces operation costs</t>
  </si>
  <si>
    <t>Semiconductor Systems</t>
  </si>
  <si>
    <t>Applied Global Services</t>
  </si>
  <si>
    <t>Display &amp; Adjacent Markets</t>
  </si>
  <si>
    <t>Type</t>
  </si>
  <si>
    <t>% of Revenue</t>
  </si>
  <si>
    <t>Corporate</t>
  </si>
  <si>
    <t>Competitors</t>
  </si>
  <si>
    <t>ASML, KLA Tencor, Brooks</t>
  </si>
  <si>
    <t>NVDA, Sony, LG</t>
  </si>
  <si>
    <t xml:space="preserve"> A global company with a broad set of capabilities in materials engineering, Applied provides manufacturing equipment, services and software to the semiconductor, display and related industries</t>
  </si>
  <si>
    <t>Description</t>
  </si>
  <si>
    <t>Manufacturing of Tools that Manfacture Semiconductors</t>
  </si>
  <si>
    <t>People who build/maintain said tools</t>
  </si>
  <si>
    <t>Manufacturing of Tools that Manfacture LCD &amp; Display chips</t>
  </si>
  <si>
    <t>From 25 customers; Applied is expecting to grow that number to more than 50</t>
  </si>
  <si>
    <t>Converting to a subscription based company</t>
  </si>
  <si>
    <t>#</t>
  </si>
  <si>
    <t xml:space="preserve"> Gas distribution plate assembly for large area plasma enhanced chemical vapor deposition </t>
  </si>
  <si>
    <t>COGS margin %</t>
  </si>
  <si>
    <t>Money towards management</t>
  </si>
  <si>
    <t>A/R</t>
  </si>
  <si>
    <t>Inventories</t>
  </si>
  <si>
    <t>OA</t>
  </si>
  <si>
    <t>PP&amp;E</t>
  </si>
  <si>
    <t>Intangibles</t>
  </si>
  <si>
    <t>Deferred ICT</t>
  </si>
  <si>
    <t>Total Assets</t>
  </si>
  <si>
    <t>A/P</t>
  </si>
  <si>
    <t>Contract Liabilities</t>
  </si>
  <si>
    <t>Tax Payable</t>
  </si>
  <si>
    <t>OL</t>
  </si>
  <si>
    <t>Total Liabilties</t>
  </si>
  <si>
    <t>Net Cash</t>
  </si>
  <si>
    <t>L + S/E</t>
  </si>
  <si>
    <t>Operating Margin %</t>
  </si>
  <si>
    <r>
      <t xml:space="preserve">90% Of Applied's net sales are customers </t>
    </r>
    <r>
      <rPr>
        <b/>
        <sz val="11"/>
        <color theme="1"/>
        <rFont val="Arial"/>
        <family val="2"/>
      </rPr>
      <t>outside of the US</t>
    </r>
  </si>
  <si>
    <r>
      <rPr>
        <b/>
        <sz val="11"/>
        <color theme="1"/>
        <rFont val="Arial"/>
        <family val="2"/>
      </rPr>
      <t xml:space="preserve">Volatile market </t>
    </r>
    <r>
      <rPr>
        <sz val="11"/>
        <color theme="1"/>
        <rFont val="Arial"/>
        <family val="2"/>
      </rPr>
      <t>due to growth &amp; rapid innovation</t>
    </r>
  </si>
  <si>
    <r>
      <rPr>
        <b/>
        <sz val="11"/>
        <color theme="1"/>
        <rFont val="Arial"/>
        <family val="2"/>
      </rPr>
      <t>Dependence</t>
    </r>
    <r>
      <rPr>
        <sz val="11"/>
        <color theme="1"/>
        <rFont val="Arial"/>
        <family val="2"/>
      </rPr>
      <t xml:space="preserve"> on unfamiliar supply chains</t>
    </r>
  </si>
  <si>
    <t>Q122</t>
  </si>
  <si>
    <t>M&amp;S</t>
  </si>
  <si>
    <t>Operating Expenses</t>
  </si>
  <si>
    <t>Other Income</t>
  </si>
  <si>
    <t>Taxes</t>
  </si>
  <si>
    <t>Shares</t>
  </si>
  <si>
    <t>Tax Rate %</t>
  </si>
  <si>
    <t>Revenue Growth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</si>
</sst>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10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6" fillId="0" borderId="0" xfId="0" applyFont="1"/>
    <xf numFmtId="0" fontId="7" fillId="0" borderId="0" xfId="1" applyFont="1"/>
    <xf numFmtId="4" fontId="2" fillId="0" borderId="0" xfId="0" applyNumberFormat="1" applyFon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44824</xdr:colOff>
      <xdr:row>0</xdr:row>
      <xdr:rowOff>57150</xdr:rowOff>
    </xdr:from>
    <xdr:to>
      <xdr:col>32</xdr:col>
      <xdr:colOff>44824</xdr:colOff>
      <xdr:row>38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CD93E4-E7B9-4883-8440-62AAA6F1F4F1}"/>
            </a:ext>
          </a:extLst>
        </xdr:cNvPr>
        <xdr:cNvCxnSpPr/>
      </xdr:nvCxnSpPr>
      <xdr:spPr>
        <a:xfrm>
          <a:off x="19565471" y="57150"/>
          <a:ext cx="0" cy="7562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atft.uspto.gov/netacgi/nph-Parser?Sect1=PTO2&amp;Sect2=HITOFF&amp;p=1&amp;u=%2Fnetahtml%2FPTO%2Fsearch-bool.html&amp;r=2&amp;f=G&amp;l=50&amp;co1=AND&amp;d=PTXT&amp;s1=7,842,158&amp;OS=7,842,158&amp;RS=7,842,158" TargetMode="External"/><Relationship Id="rId2" Type="http://schemas.openxmlformats.org/officeDocument/2006/relationships/hyperlink" Target="https://patft.uspto.gov/netacgi/nph-Parser?Sect1=PTO2&amp;Sect2=HITOFF&amp;p=1&amp;u=%2Fnetahtml%2FPTO%2Fsearch-bool.html&amp;r=11&amp;f=G&amp;l=50&amp;co1=AND&amp;d=PTXT&amp;s1=6,923,714&amp;OS=6,923,714&amp;RS=6,923,714" TargetMode="External"/><Relationship Id="rId1" Type="http://schemas.openxmlformats.org/officeDocument/2006/relationships/hyperlink" Target="https://patft.uspto.gov/netacgi/nph-Parser?Sect1=PTO1&amp;Sect2=HITOFF&amp;d=PALL&amp;p=1&amp;u=%2Fnetahtml%2FPTO%2Fsrchnum.htm&amp;r=1&amp;f=G&amp;l=50&amp;s1=6,888,104.PN.&amp;OS=PN/6,888,104&amp;RS=PN/6,888,10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atft.uspto.gov/netacgi/nph-Parser?Sect1=PTO2&amp;Sect2=HITOFF&amp;p=1&amp;u=%2Fnetahtml%2FPTO%2Fsearch-bool.html&amp;r=18&amp;f=G&amp;l=50&amp;co1=AND&amp;d=PTXT&amp;s1=6,933,508&amp;OS=6,933,508&amp;RS=6,933,508" TargetMode="External"/><Relationship Id="rId4" Type="http://schemas.openxmlformats.org/officeDocument/2006/relationships/hyperlink" Target="https://patft.uspto.gov/netacgi/nph-Parser?Sect1=PTO2&amp;Sect2=HITOFF&amp;p=1&amp;u=%2Fnetahtml%2FPTO%2Fsearch-bool.html&amp;r=9&amp;f=G&amp;l=50&amp;co1=AND&amp;d=PTXT&amp;s1=7,522,822&amp;OS=7,522,822&amp;RS=7,522,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110-1E62-44EA-994E-1C3D5820525B}">
  <dimension ref="B2:L35"/>
  <sheetViews>
    <sheetView zoomScale="130" zoomScaleNormal="130" workbookViewId="0">
      <selection activeCell="B18" sqref="B18"/>
    </sheetView>
  </sheetViews>
  <sheetFormatPr defaultRowHeight="14.25" x14ac:dyDescent="0.2"/>
  <cols>
    <col min="1" max="1" width="2.85546875" style="1" customWidth="1"/>
    <col min="2" max="2" width="25.7109375" style="1" bestFit="1" customWidth="1"/>
    <col min="3" max="3" width="54.85546875" style="1" bestFit="1" customWidth="1"/>
    <col min="4" max="16384" width="9.140625" style="1"/>
  </cols>
  <sheetData>
    <row r="2" spans="2:12" x14ac:dyDescent="0.2">
      <c r="J2" s="1" t="s">
        <v>0</v>
      </c>
      <c r="K2" s="1">
        <v>152.72999999999999</v>
      </c>
    </row>
    <row r="3" spans="2:12" x14ac:dyDescent="0.2">
      <c r="J3" s="1" t="s">
        <v>1</v>
      </c>
      <c r="K3" s="1">
        <v>903</v>
      </c>
      <c r="L3" s="2" t="s">
        <v>6</v>
      </c>
    </row>
    <row r="4" spans="2:12" x14ac:dyDescent="0.2">
      <c r="B4" s="1" t="s">
        <v>82</v>
      </c>
      <c r="C4" s="1" t="s">
        <v>89</v>
      </c>
      <c r="D4" s="1" t="s">
        <v>83</v>
      </c>
      <c r="E4" s="1" t="s">
        <v>85</v>
      </c>
      <c r="J4" s="1" t="s">
        <v>2</v>
      </c>
      <c r="K4" s="5">
        <f>+K2*K3</f>
        <v>137915.19</v>
      </c>
      <c r="L4" s="2"/>
    </row>
    <row r="5" spans="2:12" x14ac:dyDescent="0.2">
      <c r="B5" s="1" t="s">
        <v>79</v>
      </c>
      <c r="C5" s="1" t="s">
        <v>90</v>
      </c>
      <c r="D5" s="8">
        <f>2880/6656</f>
        <v>0.43269230769230771</v>
      </c>
      <c r="E5" s="1" t="s">
        <v>86</v>
      </c>
      <c r="J5" s="1" t="s">
        <v>3</v>
      </c>
      <c r="K5" s="1">
        <f>6066+444+1658</f>
        <v>8168</v>
      </c>
      <c r="L5" s="2" t="s">
        <v>6</v>
      </c>
    </row>
    <row r="6" spans="2:12" x14ac:dyDescent="0.2">
      <c r="B6" s="1" t="s">
        <v>80</v>
      </c>
      <c r="C6" s="1" t="s">
        <v>91</v>
      </c>
      <c r="D6" s="8">
        <f>2607/6656</f>
        <v>0.39167668269230771</v>
      </c>
      <c r="J6" s="1" t="s">
        <v>4</v>
      </c>
      <c r="K6" s="1">
        <v>5451</v>
      </c>
      <c r="L6" s="2" t="s">
        <v>6</v>
      </c>
    </row>
    <row r="7" spans="2:12" x14ac:dyDescent="0.2">
      <c r="B7" s="1" t="s">
        <v>81</v>
      </c>
      <c r="C7" s="1" t="s">
        <v>92</v>
      </c>
      <c r="D7" s="8">
        <f>1115/6656</f>
        <v>0.16751802884615385</v>
      </c>
      <c r="E7" s="1" t="s">
        <v>87</v>
      </c>
      <c r="J7" s="1" t="s">
        <v>5</v>
      </c>
      <c r="K7" s="5">
        <f>+K4-K5+K6</f>
        <v>135198.19</v>
      </c>
    </row>
    <row r="8" spans="2:12" x14ac:dyDescent="0.2">
      <c r="B8" s="1" t="s">
        <v>84</v>
      </c>
      <c r="C8" s="1" t="s">
        <v>98</v>
      </c>
      <c r="D8" s="8">
        <f>54/6656</f>
        <v>8.1129807692307699E-3</v>
      </c>
    </row>
    <row r="11" spans="2:12" x14ac:dyDescent="0.2">
      <c r="B11" s="1" t="s">
        <v>88</v>
      </c>
    </row>
    <row r="18" spans="2:2" x14ac:dyDescent="0.2">
      <c r="B18" s="1" t="s">
        <v>41</v>
      </c>
    </row>
    <row r="19" spans="2:2" x14ac:dyDescent="0.2">
      <c r="B19" s="1" t="s">
        <v>44</v>
      </c>
    </row>
    <row r="20" spans="2:2" x14ac:dyDescent="0.2">
      <c r="B20" s="1" t="s">
        <v>49</v>
      </c>
    </row>
    <row r="21" spans="2:2" ht="15" x14ac:dyDescent="0.25">
      <c r="B21" s="1" t="s">
        <v>114</v>
      </c>
    </row>
    <row r="22" spans="2:2" x14ac:dyDescent="0.2">
      <c r="B22" s="1" t="s">
        <v>51</v>
      </c>
    </row>
    <row r="23" spans="2:2" x14ac:dyDescent="0.2">
      <c r="B23" s="1" t="s">
        <v>45</v>
      </c>
    </row>
    <row r="24" spans="2:2" ht="15" x14ac:dyDescent="0.25">
      <c r="B24" s="1" t="s">
        <v>115</v>
      </c>
    </row>
    <row r="25" spans="2:2" ht="15" x14ac:dyDescent="0.25">
      <c r="B25" s="1" t="s">
        <v>116</v>
      </c>
    </row>
    <row r="26" spans="2:2" x14ac:dyDescent="0.2">
      <c r="B26" s="1" t="s">
        <v>46</v>
      </c>
    </row>
    <row r="27" spans="2:2" x14ac:dyDescent="0.2">
      <c r="B27" s="1" t="s">
        <v>52</v>
      </c>
    </row>
    <row r="28" spans="2:2" x14ac:dyDescent="0.2">
      <c r="B28" s="1" t="s">
        <v>47</v>
      </c>
    </row>
    <row r="29" spans="2:2" x14ac:dyDescent="0.2">
      <c r="B29" s="1" t="s">
        <v>48</v>
      </c>
    </row>
    <row r="30" spans="2:2" x14ac:dyDescent="0.2">
      <c r="B30" s="1" t="s">
        <v>42</v>
      </c>
    </row>
    <row r="31" spans="2:2" x14ac:dyDescent="0.2">
      <c r="B31" s="1" t="s">
        <v>43</v>
      </c>
    </row>
    <row r="32" spans="2:2" x14ac:dyDescent="0.2">
      <c r="B32" s="1" t="s">
        <v>78</v>
      </c>
    </row>
    <row r="33" spans="2:2" x14ac:dyDescent="0.2">
      <c r="B33" s="1" t="s">
        <v>50</v>
      </c>
    </row>
    <row r="34" spans="2:2" x14ac:dyDescent="0.2">
      <c r="B34" s="1" t="s">
        <v>93</v>
      </c>
    </row>
    <row r="35" spans="2:2" x14ac:dyDescent="0.2">
      <c r="B35" s="1" t="s">
        <v>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8551-66AE-4144-92A0-ECC71FC7EF4B}">
  <dimension ref="B2:CI55"/>
  <sheetViews>
    <sheetView tabSelected="1" zoomScaleNormal="100" workbookViewId="0">
      <pane xSplit="2" ySplit="2" topLeftCell="S33" activePane="bottomRight" state="frozen"/>
      <selection pane="topRight" activeCell="C1" sqref="C1"/>
      <selection pane="bottomLeft" activeCell="A3" sqref="A3"/>
      <selection pane="bottomRight" activeCell="T42" sqref="T42"/>
    </sheetView>
  </sheetViews>
  <sheetFormatPr defaultRowHeight="14.25" x14ac:dyDescent="0.2"/>
  <cols>
    <col min="1" max="1" width="5.28515625" style="1" customWidth="1"/>
    <col min="2" max="2" width="16.42578125" style="1" bestFit="1" customWidth="1"/>
    <col min="3" max="3" width="7.85546875" style="1" customWidth="1"/>
    <col min="4" max="10" width="9.140625" style="1"/>
    <col min="11" max="11" width="9.140625" style="1" customWidth="1"/>
    <col min="12" max="34" width="9.140625" style="1"/>
    <col min="35" max="35" width="10.85546875" style="1" bestFit="1" customWidth="1"/>
    <col min="36" max="16384" width="9.140625" style="1"/>
  </cols>
  <sheetData>
    <row r="2" spans="2:87" x14ac:dyDescent="0.2">
      <c r="C2" s="2" t="s">
        <v>59</v>
      </c>
      <c r="D2" s="2" t="s">
        <v>60</v>
      </c>
      <c r="E2" s="2" t="s">
        <v>66</v>
      </c>
      <c r="F2" s="2" t="s">
        <v>65</v>
      </c>
      <c r="G2" s="2" t="s">
        <v>64</v>
      </c>
      <c r="H2" s="2" t="s">
        <v>63</v>
      </c>
      <c r="I2" s="2" t="s">
        <v>61</v>
      </c>
      <c r="J2" s="2" t="s">
        <v>62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6</v>
      </c>
      <c r="Z2" s="2" t="s">
        <v>22</v>
      </c>
      <c r="AB2" s="2">
        <v>2016</v>
      </c>
      <c r="AC2" s="1">
        <v>2017</v>
      </c>
      <c r="AD2" s="1">
        <v>2018</v>
      </c>
      <c r="AE2" s="1">
        <v>2019</v>
      </c>
      <c r="AF2" s="1">
        <v>2020</v>
      </c>
      <c r="AG2" s="1">
        <f>+AF2+1</f>
        <v>2021</v>
      </c>
      <c r="AH2" s="1">
        <f t="shared" ref="AH2:CI2" si="0">+AG2+1</f>
        <v>2022</v>
      </c>
      <c r="AI2" s="1">
        <f t="shared" si="0"/>
        <v>2023</v>
      </c>
      <c r="AJ2" s="1">
        <f t="shared" si="0"/>
        <v>2024</v>
      </c>
      <c r="AK2" s="1">
        <f t="shared" si="0"/>
        <v>2025</v>
      </c>
      <c r="AL2" s="1">
        <f t="shared" si="0"/>
        <v>2026</v>
      </c>
      <c r="AM2" s="1">
        <f t="shared" si="0"/>
        <v>2027</v>
      </c>
      <c r="AN2" s="1">
        <f t="shared" si="0"/>
        <v>2028</v>
      </c>
      <c r="AO2" s="1">
        <f t="shared" si="0"/>
        <v>2029</v>
      </c>
      <c r="AP2" s="1">
        <f t="shared" si="0"/>
        <v>2030</v>
      </c>
      <c r="AQ2" s="1">
        <f t="shared" si="0"/>
        <v>2031</v>
      </c>
      <c r="AR2" s="1">
        <f t="shared" si="0"/>
        <v>2032</v>
      </c>
      <c r="AS2" s="1">
        <f t="shared" si="0"/>
        <v>2033</v>
      </c>
      <c r="AT2" s="1">
        <f t="shared" si="0"/>
        <v>2034</v>
      </c>
      <c r="AU2" s="1">
        <f t="shared" si="0"/>
        <v>2035</v>
      </c>
      <c r="AV2" s="1">
        <f t="shared" si="0"/>
        <v>2036</v>
      </c>
      <c r="AW2" s="1">
        <f t="shared" si="0"/>
        <v>2037</v>
      </c>
      <c r="AX2" s="1">
        <f t="shared" si="0"/>
        <v>2038</v>
      </c>
      <c r="AY2" s="1">
        <f t="shared" si="0"/>
        <v>2039</v>
      </c>
      <c r="AZ2" s="1">
        <f t="shared" si="0"/>
        <v>2040</v>
      </c>
      <c r="BA2" s="1">
        <f t="shared" si="0"/>
        <v>2041</v>
      </c>
      <c r="BB2" s="1">
        <f t="shared" si="0"/>
        <v>2042</v>
      </c>
      <c r="BC2" s="1">
        <f t="shared" si="0"/>
        <v>2043</v>
      </c>
      <c r="BD2" s="1">
        <f t="shared" si="0"/>
        <v>2044</v>
      </c>
      <c r="BE2" s="1">
        <f t="shared" si="0"/>
        <v>2045</v>
      </c>
      <c r="BF2" s="1">
        <f t="shared" si="0"/>
        <v>2046</v>
      </c>
      <c r="BG2" s="1">
        <f t="shared" si="0"/>
        <v>2047</v>
      </c>
      <c r="BH2" s="1">
        <f t="shared" si="0"/>
        <v>2048</v>
      </c>
      <c r="BI2" s="1">
        <f t="shared" si="0"/>
        <v>2049</v>
      </c>
      <c r="BJ2" s="1">
        <f t="shared" si="0"/>
        <v>2050</v>
      </c>
      <c r="BK2" s="1">
        <f t="shared" si="0"/>
        <v>2051</v>
      </c>
      <c r="BL2" s="1">
        <f t="shared" si="0"/>
        <v>2052</v>
      </c>
      <c r="BM2" s="1">
        <f t="shared" si="0"/>
        <v>2053</v>
      </c>
      <c r="BN2" s="1">
        <f t="shared" si="0"/>
        <v>2054</v>
      </c>
      <c r="BO2" s="1">
        <f t="shared" si="0"/>
        <v>2055</v>
      </c>
      <c r="BP2" s="1">
        <f t="shared" si="0"/>
        <v>2056</v>
      </c>
      <c r="BQ2" s="1">
        <f t="shared" si="0"/>
        <v>2057</v>
      </c>
      <c r="BR2" s="1">
        <f t="shared" si="0"/>
        <v>2058</v>
      </c>
      <c r="BS2" s="1">
        <f t="shared" si="0"/>
        <v>2059</v>
      </c>
      <c r="BT2" s="1">
        <f t="shared" si="0"/>
        <v>2060</v>
      </c>
      <c r="BU2" s="1">
        <f t="shared" si="0"/>
        <v>2061</v>
      </c>
      <c r="BV2" s="1">
        <f t="shared" si="0"/>
        <v>2062</v>
      </c>
      <c r="BW2" s="1">
        <f t="shared" si="0"/>
        <v>2063</v>
      </c>
      <c r="BX2" s="1">
        <f t="shared" si="0"/>
        <v>2064</v>
      </c>
      <c r="BY2" s="1">
        <f t="shared" si="0"/>
        <v>2065</v>
      </c>
      <c r="BZ2" s="1">
        <f t="shared" si="0"/>
        <v>2066</v>
      </c>
      <c r="CA2" s="1">
        <f t="shared" si="0"/>
        <v>2067</v>
      </c>
      <c r="CB2" s="1">
        <f t="shared" si="0"/>
        <v>2068</v>
      </c>
      <c r="CC2" s="1">
        <f t="shared" si="0"/>
        <v>2069</v>
      </c>
      <c r="CD2" s="1">
        <f t="shared" si="0"/>
        <v>2070</v>
      </c>
      <c r="CE2" s="1">
        <f t="shared" si="0"/>
        <v>2071</v>
      </c>
      <c r="CF2" s="1">
        <f t="shared" si="0"/>
        <v>2072</v>
      </c>
      <c r="CG2" s="1">
        <f t="shared" si="0"/>
        <v>2073</v>
      </c>
      <c r="CH2" s="1">
        <f t="shared" si="0"/>
        <v>2074</v>
      </c>
      <c r="CI2" s="1">
        <f t="shared" si="0"/>
        <v>2075</v>
      </c>
    </row>
    <row r="4" spans="2:87" s="3" customFormat="1" ht="15" x14ac:dyDescent="0.25">
      <c r="B4" s="3" t="s">
        <v>7</v>
      </c>
      <c r="C4" s="4">
        <v>2257</v>
      </c>
      <c r="D4" s="4">
        <v>2450</v>
      </c>
      <c r="E4" s="4">
        <v>2821</v>
      </c>
      <c r="F4" s="4">
        <f>10825-E4-D4-C4</f>
        <v>3297</v>
      </c>
      <c r="G4" s="4">
        <v>3278</v>
      </c>
      <c r="H4" s="4">
        <v>3546</v>
      </c>
      <c r="I4" s="4">
        <v>3744</v>
      </c>
      <c r="J4" s="4">
        <f>14537-I4-H4-G4</f>
        <v>3969</v>
      </c>
      <c r="K4" s="4">
        <v>4205</v>
      </c>
      <c r="L4" s="4">
        <v>4579</v>
      </c>
      <c r="M4" s="4">
        <v>4162</v>
      </c>
      <c r="N4" s="4">
        <f>16705-M4-L4-K4</f>
        <v>3759</v>
      </c>
      <c r="O4" s="4">
        <v>3753</v>
      </c>
      <c r="P4" s="4">
        <v>3539</v>
      </c>
      <c r="Q4" s="4">
        <v>3562</v>
      </c>
      <c r="R4" s="4">
        <f>14608-Q4-P4-O4</f>
        <v>3754</v>
      </c>
      <c r="S4" s="4">
        <v>4162</v>
      </c>
      <c r="T4" s="4">
        <v>3957</v>
      </c>
      <c r="U4" s="4">
        <v>4395</v>
      </c>
      <c r="V4" s="4">
        <f>17202-U4-T4-S4</f>
        <v>4688</v>
      </c>
      <c r="W4" s="4">
        <v>5162</v>
      </c>
      <c r="X4" s="4">
        <v>5582</v>
      </c>
      <c r="Y4" s="4">
        <v>6196</v>
      </c>
      <c r="Z4" s="4">
        <v>6271</v>
      </c>
      <c r="AB4" s="4">
        <f>SUM(C4:F4)</f>
        <v>10825</v>
      </c>
      <c r="AC4" s="4">
        <f>SUM(G4:J4)</f>
        <v>14537</v>
      </c>
      <c r="AD4" s="4">
        <f t="shared" ref="AD4:AD16" si="1">SUM(K4:N4)</f>
        <v>16705</v>
      </c>
      <c r="AE4" s="4">
        <f t="shared" ref="AE4:AE16" si="2">SUM(O4:R4)</f>
        <v>14608</v>
      </c>
      <c r="AF4" s="4">
        <f t="shared" ref="AF4:AF15" si="3">SUM(S4:V4)</f>
        <v>17202</v>
      </c>
      <c r="AG4" s="4">
        <f>+AF4*1.08/1.02</f>
        <v>18213.882352941175</v>
      </c>
      <c r="AH4" s="4">
        <f>+AG4*1.08/1.02</f>
        <v>19285.287197231835</v>
      </c>
      <c r="AI4" s="4">
        <f t="shared" ref="AI4:BB4" si="4">+AH4*1.08/1.02</f>
        <v>20419.715855892533</v>
      </c>
      <c r="AJ4" s="4">
        <f t="shared" si="4"/>
        <v>21620.875612121505</v>
      </c>
      <c r="AK4" s="4">
        <f t="shared" si="4"/>
        <v>22892.691824599242</v>
      </c>
      <c r="AL4" s="4">
        <f t="shared" si="4"/>
        <v>24239.320755458022</v>
      </c>
      <c r="AM4" s="4">
        <f t="shared" si="4"/>
        <v>25665.163152837908</v>
      </c>
      <c r="AN4" s="4">
        <f t="shared" si="4"/>
        <v>27174.87863241661</v>
      </c>
      <c r="AO4" s="4">
        <f t="shared" si="4"/>
        <v>28773.400904911705</v>
      </c>
      <c r="AP4" s="4">
        <f t="shared" si="4"/>
        <v>30465.95389931828</v>
      </c>
      <c r="AQ4" s="4">
        <f t="shared" si="4"/>
        <v>32258.068834572296</v>
      </c>
      <c r="AR4" s="4">
        <f t="shared" si="4"/>
        <v>34155.602295429497</v>
      </c>
      <c r="AS4" s="4">
        <f t="shared" si="4"/>
        <v>36164.755371631232</v>
      </c>
      <c r="AT4" s="4">
        <f t="shared" si="4"/>
        <v>38292.093922903659</v>
      </c>
      <c r="AU4" s="4">
        <f t="shared" si="4"/>
        <v>40544.570036015641</v>
      </c>
      <c r="AV4" s="4">
        <f t="shared" si="4"/>
        <v>42929.544744016559</v>
      </c>
      <c r="AW4" s="4">
        <f t="shared" si="4"/>
        <v>45454.812081899887</v>
      </c>
      <c r="AX4" s="4">
        <f t="shared" si="4"/>
        <v>48128.624557305768</v>
      </c>
      <c r="AY4" s="4">
        <f t="shared" si="4"/>
        <v>50959.720119500227</v>
      </c>
      <c r="AZ4" s="4">
        <f t="shared" si="4"/>
        <v>53957.350714764951</v>
      </c>
      <c r="BA4" s="4">
        <f t="shared" si="4"/>
        <v>57131.312521515836</v>
      </c>
      <c r="BB4" s="4">
        <f t="shared" si="4"/>
        <v>60491.97796395795</v>
      </c>
    </row>
    <row r="5" spans="2:87" x14ac:dyDescent="0.2">
      <c r="B5" s="1" t="s">
        <v>23</v>
      </c>
      <c r="C5" s="5">
        <v>1341</v>
      </c>
      <c r="D5" s="5">
        <v>1446</v>
      </c>
      <c r="E5" s="5">
        <v>1629</v>
      </c>
      <c r="F5" s="5">
        <f>6314-E5-D5-C5</f>
        <v>1898</v>
      </c>
      <c r="G5" s="5">
        <v>1833</v>
      </c>
      <c r="H5" s="5">
        <v>1946</v>
      </c>
      <c r="I5" s="5">
        <v>2044</v>
      </c>
      <c r="J5" s="5">
        <f>8005-G5-H5-I5</f>
        <v>2182</v>
      </c>
      <c r="K5" s="5">
        <v>2265</v>
      </c>
      <c r="L5" s="5">
        <v>2523</v>
      </c>
      <c r="M5" s="5">
        <v>2298</v>
      </c>
      <c r="N5" s="5">
        <f>9188-M5-L5-K5</f>
        <v>2102</v>
      </c>
      <c r="O5" s="5">
        <v>2088</v>
      </c>
      <c r="P5" s="5">
        <v>2009</v>
      </c>
      <c r="Q5" s="5">
        <v>2005</v>
      </c>
      <c r="R5" s="5">
        <f>8222-Q5-P5-O5</f>
        <v>2120</v>
      </c>
      <c r="S5" s="5">
        <v>2304</v>
      </c>
      <c r="T5" s="5">
        <v>2208</v>
      </c>
      <c r="U5" s="5">
        <v>2440</v>
      </c>
      <c r="V5" s="5">
        <f>9510-U5-T5-S5</f>
        <v>2558</v>
      </c>
      <c r="W5" s="5">
        <v>2813</v>
      </c>
      <c r="X5" s="5">
        <v>2929</v>
      </c>
      <c r="Y5" s="5">
        <v>3229</v>
      </c>
      <c r="Z5" s="5">
        <v>3312</v>
      </c>
      <c r="AB5" s="5">
        <f t="shared" ref="AB5:AB16" si="5">SUM(C5:F5)</f>
        <v>6314</v>
      </c>
      <c r="AC5" s="5">
        <f>SUM(G5:J5)</f>
        <v>8005</v>
      </c>
      <c r="AD5" s="5">
        <f t="shared" si="1"/>
        <v>9188</v>
      </c>
      <c r="AE5" s="5">
        <f t="shared" si="2"/>
        <v>8222</v>
      </c>
      <c r="AF5" s="5">
        <f>SUM(S5:V5)</f>
        <v>9510</v>
      </c>
      <c r="AG5" s="5">
        <f>+AG4*(1-0.44)</f>
        <v>10199.774117647059</v>
      </c>
      <c r="AH5" s="5">
        <f t="shared" ref="AH5:AJ5" si="6">+AH4*(1-0.44)</f>
        <v>10799.760830449828</v>
      </c>
      <c r="AI5" s="5">
        <f t="shared" si="6"/>
        <v>11435.040879299819</v>
      </c>
      <c r="AJ5" s="5">
        <f t="shared" si="6"/>
        <v>12107.690342788044</v>
      </c>
      <c r="AK5" s="5">
        <f>+AK4*(1-0.4)</f>
        <v>13735.615094759545</v>
      </c>
      <c r="AL5" s="5">
        <f t="shared" ref="AL5:BB5" si="7">+AL4*(1-0.4)</f>
        <v>14543.592453274812</v>
      </c>
      <c r="AM5" s="5">
        <f t="shared" si="7"/>
        <v>15399.097891702744</v>
      </c>
      <c r="AN5" s="5">
        <f t="shared" si="7"/>
        <v>16304.927179449965</v>
      </c>
      <c r="AO5" s="5">
        <f t="shared" si="7"/>
        <v>17264.040542947023</v>
      </c>
      <c r="AP5" s="5">
        <f t="shared" si="7"/>
        <v>18279.572339590966</v>
      </c>
      <c r="AQ5" s="5">
        <f t="shared" si="7"/>
        <v>19354.841300743377</v>
      </c>
      <c r="AR5" s="5">
        <f t="shared" si="7"/>
        <v>20493.361377257697</v>
      </c>
      <c r="AS5" s="5">
        <f t="shared" si="7"/>
        <v>21698.853222978738</v>
      </c>
      <c r="AT5" s="5">
        <f t="shared" si="7"/>
        <v>22975.256353742196</v>
      </c>
      <c r="AU5" s="5">
        <f t="shared" si="7"/>
        <v>24326.742021609385</v>
      </c>
      <c r="AV5" s="5">
        <f t="shared" si="7"/>
        <v>25757.726846409936</v>
      </c>
      <c r="AW5" s="5">
        <f t="shared" si="7"/>
        <v>27272.887249139931</v>
      </c>
      <c r="AX5" s="5">
        <f t="shared" si="7"/>
        <v>28877.174734383461</v>
      </c>
      <c r="AY5" s="5">
        <f t="shared" si="7"/>
        <v>30575.832071700133</v>
      </c>
      <c r="AZ5" s="5">
        <f t="shared" si="7"/>
        <v>32374.41042885897</v>
      </c>
      <c r="BA5" s="5">
        <f t="shared" si="7"/>
        <v>34278.787512909497</v>
      </c>
      <c r="BB5" s="5">
        <f t="shared" si="7"/>
        <v>36295.186778374766</v>
      </c>
    </row>
    <row r="6" spans="2:87" s="3" customFormat="1" ht="15" x14ac:dyDescent="0.25">
      <c r="B6" s="3" t="s">
        <v>24</v>
      </c>
      <c r="C6" s="4">
        <f t="shared" ref="C6" si="8">+C4-C5</f>
        <v>916</v>
      </c>
      <c r="D6" s="4">
        <f t="shared" ref="D6:E6" si="9">+D4-D5</f>
        <v>1004</v>
      </c>
      <c r="E6" s="4">
        <f t="shared" si="9"/>
        <v>1192</v>
      </c>
      <c r="F6" s="4">
        <f t="shared" ref="F6" si="10">+F4-F5</f>
        <v>1399</v>
      </c>
      <c r="G6" s="4">
        <f t="shared" ref="G6:H6" si="11">+G4-G5</f>
        <v>1445</v>
      </c>
      <c r="H6" s="4">
        <f t="shared" si="11"/>
        <v>1600</v>
      </c>
      <c r="I6" s="4">
        <f t="shared" ref="I6:J6" si="12">+I4-I5</f>
        <v>1700</v>
      </c>
      <c r="J6" s="4">
        <f t="shared" si="12"/>
        <v>1787</v>
      </c>
      <c r="K6" s="4">
        <f t="shared" ref="K6:Y6" si="13">+K4-K5</f>
        <v>1940</v>
      </c>
      <c r="L6" s="4">
        <f t="shared" si="13"/>
        <v>2056</v>
      </c>
      <c r="M6" s="4">
        <f t="shared" si="13"/>
        <v>1864</v>
      </c>
      <c r="N6" s="4">
        <f t="shared" si="13"/>
        <v>1657</v>
      </c>
      <c r="O6" s="4">
        <f t="shared" si="13"/>
        <v>1665</v>
      </c>
      <c r="P6" s="4">
        <f t="shared" si="13"/>
        <v>1530</v>
      </c>
      <c r="Q6" s="4">
        <f t="shared" si="13"/>
        <v>1557</v>
      </c>
      <c r="R6" s="4">
        <f t="shared" si="13"/>
        <v>1634</v>
      </c>
      <c r="S6" s="4">
        <f t="shared" si="13"/>
        <v>1858</v>
      </c>
      <c r="T6" s="4">
        <f t="shared" si="13"/>
        <v>1749</v>
      </c>
      <c r="U6" s="4">
        <f t="shared" si="13"/>
        <v>1955</v>
      </c>
      <c r="V6" s="4">
        <f t="shared" si="13"/>
        <v>2130</v>
      </c>
      <c r="W6" s="4">
        <f t="shared" si="13"/>
        <v>2349</v>
      </c>
      <c r="X6" s="4">
        <f t="shared" si="13"/>
        <v>2653</v>
      </c>
      <c r="Y6" s="4">
        <f t="shared" si="13"/>
        <v>2967</v>
      </c>
      <c r="Z6" s="4">
        <f t="shared" ref="Z6" si="14">+Z4-Z5</f>
        <v>2959</v>
      </c>
      <c r="AB6" s="4">
        <f t="shared" si="5"/>
        <v>4511</v>
      </c>
      <c r="AC6" s="4">
        <f t="shared" ref="AC6:AC15" si="15">SUM(G6:J6)</f>
        <v>6532</v>
      </c>
      <c r="AD6" s="4">
        <f t="shared" si="1"/>
        <v>7517</v>
      </c>
      <c r="AE6" s="4">
        <f t="shared" si="2"/>
        <v>6386</v>
      </c>
      <c r="AF6" s="4">
        <f>SUM(S6:V6)</f>
        <v>7692</v>
      </c>
      <c r="AG6" s="4">
        <f>+AG4-AG5</f>
        <v>8014.1082352941157</v>
      </c>
      <c r="AH6" s="4">
        <f t="shared" ref="AH6:BA6" si="16">+AH4-AH5</f>
        <v>8485.5263667820072</v>
      </c>
      <c r="AI6" s="4">
        <f t="shared" si="16"/>
        <v>8984.6749765927143</v>
      </c>
      <c r="AJ6" s="4">
        <f t="shared" si="16"/>
        <v>9513.1852693334604</v>
      </c>
      <c r="AK6" s="4">
        <f t="shared" si="16"/>
        <v>9157.0767298396968</v>
      </c>
      <c r="AL6" s="4">
        <f t="shared" si="16"/>
        <v>9695.72830218321</v>
      </c>
      <c r="AM6" s="4">
        <f t="shared" si="16"/>
        <v>10266.065261135163</v>
      </c>
      <c r="AN6" s="4">
        <f t="shared" si="16"/>
        <v>10869.951452966645</v>
      </c>
      <c r="AO6" s="4">
        <f t="shared" si="16"/>
        <v>11509.360361964682</v>
      </c>
      <c r="AP6" s="4">
        <f>+AP4-AP5</f>
        <v>12186.381559727313</v>
      </c>
      <c r="AQ6" s="4">
        <f t="shared" si="16"/>
        <v>12903.227533828918</v>
      </c>
      <c r="AR6" s="4">
        <f t="shared" si="16"/>
        <v>13662.240918171799</v>
      </c>
      <c r="AS6" s="4">
        <f t="shared" si="16"/>
        <v>14465.902148652494</v>
      </c>
      <c r="AT6" s="4">
        <f t="shared" si="16"/>
        <v>15316.837569161464</v>
      </c>
      <c r="AU6" s="4">
        <f t="shared" si="16"/>
        <v>16217.828014406256</v>
      </c>
      <c r="AV6" s="4">
        <f t="shared" si="16"/>
        <v>17171.817897606623</v>
      </c>
      <c r="AW6" s="4">
        <f t="shared" si="16"/>
        <v>18181.924832759956</v>
      </c>
      <c r="AX6" s="4">
        <f t="shared" si="16"/>
        <v>19251.449822922306</v>
      </c>
      <c r="AY6" s="4">
        <f t="shared" si="16"/>
        <v>20383.888047800094</v>
      </c>
      <c r="AZ6" s="4">
        <f t="shared" si="16"/>
        <v>21582.940285905981</v>
      </c>
      <c r="BA6" s="4">
        <f t="shared" si="16"/>
        <v>22852.525008606339</v>
      </c>
      <c r="BB6" s="4">
        <f>+BB4-BB5</f>
        <v>24196.791185583184</v>
      </c>
    </row>
    <row r="7" spans="2:87" x14ac:dyDescent="0.2">
      <c r="B7" s="1" t="s">
        <v>25</v>
      </c>
      <c r="C7" s="5">
        <v>374</v>
      </c>
      <c r="D7" s="5">
        <v>386</v>
      </c>
      <c r="E7" s="5">
        <v>386</v>
      </c>
      <c r="F7" s="5">
        <f>1540-E7-D7-C7</f>
        <v>394</v>
      </c>
      <c r="G7" s="5">
        <v>417</v>
      </c>
      <c r="H7" s="5">
        <v>437</v>
      </c>
      <c r="I7" s="5">
        <v>454</v>
      </c>
      <c r="J7" s="5">
        <f>1774-I7-H7-G7</f>
        <v>466</v>
      </c>
      <c r="K7" s="5">
        <v>489</v>
      </c>
      <c r="L7" s="5">
        <v>509</v>
      </c>
      <c r="M7" s="5">
        <v>505</v>
      </c>
      <c r="N7" s="5">
        <f>2022-M7-L7-K7</f>
        <v>519</v>
      </c>
      <c r="O7" s="5">
        <v>516</v>
      </c>
      <c r="P7" s="5">
        <v>508</v>
      </c>
      <c r="Q7" s="5">
        <v>515</v>
      </c>
      <c r="R7" s="5">
        <f>2054-Q7-P7-O7</f>
        <v>515</v>
      </c>
      <c r="S7" s="5">
        <v>552</v>
      </c>
      <c r="T7" s="5">
        <v>550</v>
      </c>
      <c r="U7" s="5">
        <v>572</v>
      </c>
      <c r="V7" s="5">
        <f>2234-U7-T7-S7</f>
        <v>560</v>
      </c>
      <c r="W7" s="5">
        <v>606</v>
      </c>
      <c r="X7" s="5">
        <v>617</v>
      </c>
      <c r="Y7" s="5">
        <v>640</v>
      </c>
      <c r="Z7" s="5">
        <v>654</v>
      </c>
      <c r="AB7" s="5">
        <f t="shared" si="5"/>
        <v>1540</v>
      </c>
      <c r="AC7" s="5">
        <f t="shared" si="15"/>
        <v>1774</v>
      </c>
      <c r="AD7" s="5">
        <f t="shared" si="1"/>
        <v>2022</v>
      </c>
      <c r="AE7" s="5">
        <f t="shared" si="2"/>
        <v>2054</v>
      </c>
      <c r="AF7" s="5">
        <f>SUM(S7:V7)</f>
        <v>2234</v>
      </c>
      <c r="AG7" s="5">
        <f>+AF7*1.1</f>
        <v>2457.4</v>
      </c>
      <c r="AH7" s="5">
        <f t="shared" ref="AH7:BA7" si="17">+AG7*1.1</f>
        <v>2703.1400000000003</v>
      </c>
      <c r="AI7" s="5">
        <f t="shared" si="17"/>
        <v>2973.4540000000006</v>
      </c>
      <c r="AJ7" s="5">
        <f t="shared" si="17"/>
        <v>3270.7994000000008</v>
      </c>
      <c r="AK7" s="5">
        <f t="shared" si="17"/>
        <v>3597.8793400000013</v>
      </c>
      <c r="AL7" s="5">
        <f t="shared" si="17"/>
        <v>3957.6672740000017</v>
      </c>
      <c r="AM7" s="5">
        <f t="shared" si="17"/>
        <v>4353.4340014000027</v>
      </c>
      <c r="AN7" s="5">
        <f t="shared" si="17"/>
        <v>4788.7774015400037</v>
      </c>
      <c r="AO7" s="5">
        <f t="shared" si="17"/>
        <v>5267.6551416940047</v>
      </c>
      <c r="AP7" s="5">
        <f t="shared" si="17"/>
        <v>5794.420655863406</v>
      </c>
      <c r="AQ7" s="5">
        <f t="shared" si="17"/>
        <v>6373.8627214497474</v>
      </c>
      <c r="AR7" s="5">
        <f t="shared" si="17"/>
        <v>7011.2489935947224</v>
      </c>
      <c r="AS7" s="5">
        <f t="shared" si="17"/>
        <v>7712.3738929541951</v>
      </c>
      <c r="AT7" s="5">
        <f t="shared" si="17"/>
        <v>8483.6112822496161</v>
      </c>
      <c r="AU7" s="5">
        <f t="shared" si="17"/>
        <v>9331.9724104745783</v>
      </c>
      <c r="AV7" s="5">
        <f t="shared" si="17"/>
        <v>10265.169651522037</v>
      </c>
      <c r="AW7" s="5">
        <f t="shared" si="17"/>
        <v>11291.686616674242</v>
      </c>
      <c r="AX7" s="5">
        <f t="shared" si="17"/>
        <v>12420.855278341667</v>
      </c>
      <c r="AY7" s="5">
        <f t="shared" si="17"/>
        <v>13662.940806175835</v>
      </c>
      <c r="AZ7" s="5">
        <f t="shared" si="17"/>
        <v>15029.23488679342</v>
      </c>
      <c r="BA7" s="5">
        <f t="shared" si="17"/>
        <v>16532.158375472762</v>
      </c>
      <c r="BB7" s="5">
        <f>+BA7*1.1</f>
        <v>18185.374213020041</v>
      </c>
    </row>
    <row r="8" spans="2:87" x14ac:dyDescent="0.2">
      <c r="B8" s="1" t="s">
        <v>26</v>
      </c>
      <c r="C8" s="5">
        <v>106</v>
      </c>
      <c r="D8" s="5">
        <v>102</v>
      </c>
      <c r="E8" s="5">
        <v>107</v>
      </c>
      <c r="F8" s="5">
        <f>429-E8-D8-C8</f>
        <v>114</v>
      </c>
      <c r="G8" s="5">
        <v>118</v>
      </c>
      <c r="H8" s="5">
        <v>116</v>
      </c>
      <c r="I8" s="5">
        <v>117</v>
      </c>
      <c r="J8" s="5">
        <f>456-I8-H8-G8</f>
        <v>105</v>
      </c>
      <c r="K8" s="5">
        <v>126</v>
      </c>
      <c r="L8" s="5">
        <v>130</v>
      </c>
      <c r="M8" s="5">
        <v>138</v>
      </c>
      <c r="N8" s="5">
        <f>521-M8-L8-K8</f>
        <v>127</v>
      </c>
      <c r="O8" s="5">
        <v>131</v>
      </c>
      <c r="P8" s="5">
        <v>133</v>
      </c>
      <c r="Q8" s="5">
        <v>128</v>
      </c>
      <c r="R8" s="5">
        <f>521-Q8-P8-O8</f>
        <v>129</v>
      </c>
      <c r="S8" s="5">
        <v>135</v>
      </c>
      <c r="T8" s="5">
        <v>130</v>
      </c>
      <c r="U8" s="5">
        <v>130</v>
      </c>
      <c r="V8" s="5">
        <f>526-U8-T8-S8</f>
        <v>131</v>
      </c>
      <c r="W8" s="5">
        <v>147</v>
      </c>
      <c r="X8" s="5">
        <v>148</v>
      </c>
      <c r="Y8" s="5">
        <v>159</v>
      </c>
      <c r="Z8" s="5">
        <v>167</v>
      </c>
      <c r="AB8" s="5">
        <f t="shared" si="5"/>
        <v>429</v>
      </c>
      <c r="AC8" s="5">
        <f t="shared" si="15"/>
        <v>456</v>
      </c>
      <c r="AD8" s="5">
        <f t="shared" si="1"/>
        <v>521</v>
      </c>
      <c r="AE8" s="5">
        <f t="shared" si="2"/>
        <v>521</v>
      </c>
      <c r="AF8" s="5">
        <f t="shared" si="3"/>
        <v>526</v>
      </c>
      <c r="AG8" s="5">
        <f>+AF8*1.05</f>
        <v>552.30000000000007</v>
      </c>
      <c r="AH8" s="5">
        <f t="shared" ref="AH8:BB8" si="18">+AG8*1.05</f>
        <v>579.91500000000008</v>
      </c>
      <c r="AI8" s="5">
        <f t="shared" si="18"/>
        <v>608.91075000000012</v>
      </c>
      <c r="AJ8" s="5">
        <f t="shared" si="18"/>
        <v>639.35628750000012</v>
      </c>
      <c r="AK8" s="5">
        <f t="shared" si="18"/>
        <v>671.32410187500011</v>
      </c>
      <c r="AL8" s="5">
        <f t="shared" si="18"/>
        <v>704.89030696875011</v>
      </c>
      <c r="AM8" s="5">
        <f t="shared" si="18"/>
        <v>740.13482231718763</v>
      </c>
      <c r="AN8" s="5">
        <f t="shared" si="18"/>
        <v>777.14156343304705</v>
      </c>
      <c r="AO8" s="5">
        <f t="shared" si="18"/>
        <v>815.9986416046994</v>
      </c>
      <c r="AP8" s="5">
        <f t="shared" si="18"/>
        <v>856.79857368493435</v>
      </c>
      <c r="AQ8" s="5">
        <f t="shared" si="18"/>
        <v>899.63850236918108</v>
      </c>
      <c r="AR8" s="5">
        <f t="shared" si="18"/>
        <v>944.6204274876402</v>
      </c>
      <c r="AS8" s="5">
        <f t="shared" si="18"/>
        <v>991.85144886202227</v>
      </c>
      <c r="AT8" s="5">
        <f t="shared" si="18"/>
        <v>1041.4440213051234</v>
      </c>
      <c r="AU8" s="5">
        <f t="shared" si="18"/>
        <v>1093.5162223703796</v>
      </c>
      <c r="AV8" s="5">
        <f t="shared" si="18"/>
        <v>1148.1920334888987</v>
      </c>
      <c r="AW8" s="5">
        <f t="shared" si="18"/>
        <v>1205.6016351633436</v>
      </c>
      <c r="AX8" s="5">
        <f t="shared" si="18"/>
        <v>1265.8817169215108</v>
      </c>
      <c r="AY8" s="5">
        <f t="shared" si="18"/>
        <v>1329.1758027675864</v>
      </c>
      <c r="AZ8" s="5">
        <f t="shared" si="18"/>
        <v>1395.6345929059657</v>
      </c>
      <c r="BA8" s="5">
        <f t="shared" si="18"/>
        <v>1465.4163225512641</v>
      </c>
      <c r="BB8" s="5">
        <f t="shared" si="18"/>
        <v>1538.6871386788273</v>
      </c>
    </row>
    <row r="9" spans="2:87" x14ac:dyDescent="0.2">
      <c r="B9" s="1" t="s">
        <v>27</v>
      </c>
      <c r="C9" s="5">
        <v>82</v>
      </c>
      <c r="D9" s="5">
        <v>91</v>
      </c>
      <c r="E9" s="5">
        <v>103</v>
      </c>
      <c r="F9" s="5">
        <f>390-E9-D9-C9</f>
        <v>114</v>
      </c>
      <c r="G9" s="5">
        <v>103</v>
      </c>
      <c r="H9" s="5">
        <v>107</v>
      </c>
      <c r="I9" s="5">
        <v>106</v>
      </c>
      <c r="J9" s="5">
        <f>434-I9-H9-G9</f>
        <v>118</v>
      </c>
      <c r="K9" s="5">
        <v>110</v>
      </c>
      <c r="L9" s="5">
        <v>125</v>
      </c>
      <c r="M9" s="5">
        <v>128</v>
      </c>
      <c r="N9" s="5">
        <f>483-M9-L9-K9</f>
        <v>120</v>
      </c>
      <c r="O9" s="5">
        <v>110</v>
      </c>
      <c r="P9" s="5">
        <v>113</v>
      </c>
      <c r="Q9" s="5">
        <v>112</v>
      </c>
      <c r="R9" s="5">
        <f>461-Q9-P9-O9</f>
        <v>126</v>
      </c>
      <c r="S9" s="5">
        <v>129</v>
      </c>
      <c r="T9" s="5">
        <v>137</v>
      </c>
      <c r="U9" s="5">
        <v>145</v>
      </c>
      <c r="V9" s="5">
        <f>567-U9-T9-S9</f>
        <v>156</v>
      </c>
      <c r="W9" s="5">
        <v>161</v>
      </c>
      <c r="X9" s="5">
        <v>149</v>
      </c>
      <c r="Y9" s="5">
        <v>155</v>
      </c>
      <c r="Z9" s="5">
        <v>166</v>
      </c>
      <c r="AB9" s="5">
        <f t="shared" si="5"/>
        <v>390</v>
      </c>
      <c r="AC9" s="5">
        <f t="shared" si="15"/>
        <v>434</v>
      </c>
      <c r="AD9" s="5">
        <f t="shared" si="1"/>
        <v>483</v>
      </c>
      <c r="AE9" s="5">
        <f t="shared" si="2"/>
        <v>461</v>
      </c>
      <c r="AF9" s="5">
        <f>SUM(S9:V9)</f>
        <v>567</v>
      </c>
      <c r="AG9" s="5">
        <f>+AF9*1.1</f>
        <v>623.70000000000005</v>
      </c>
      <c r="AH9" s="5">
        <f t="shared" ref="AH9:BB9" si="19">+AG9*1.1</f>
        <v>686.07</v>
      </c>
      <c r="AI9" s="5">
        <f t="shared" si="19"/>
        <v>754.67700000000013</v>
      </c>
      <c r="AJ9" s="5">
        <f t="shared" si="19"/>
        <v>830.14470000000017</v>
      </c>
      <c r="AK9" s="5">
        <f t="shared" si="19"/>
        <v>913.15917000000024</v>
      </c>
      <c r="AL9" s="5">
        <f t="shared" si="19"/>
        <v>1004.4750870000004</v>
      </c>
      <c r="AM9" s="5">
        <f t="shared" si="19"/>
        <v>1104.9225957000006</v>
      </c>
      <c r="AN9" s="5">
        <f t="shared" si="19"/>
        <v>1215.4148552700008</v>
      </c>
      <c r="AO9" s="5">
        <f t="shared" si="19"/>
        <v>1336.9563407970008</v>
      </c>
      <c r="AP9" s="5">
        <f t="shared" si="19"/>
        <v>1470.6519748767012</v>
      </c>
      <c r="AQ9" s="5">
        <f t="shared" si="19"/>
        <v>1617.7171723643714</v>
      </c>
      <c r="AR9" s="5">
        <f t="shared" si="19"/>
        <v>1779.4888896008088</v>
      </c>
      <c r="AS9" s="5">
        <f t="shared" si="19"/>
        <v>1957.4377785608897</v>
      </c>
      <c r="AT9" s="5">
        <f t="shared" si="19"/>
        <v>2153.1815564169788</v>
      </c>
      <c r="AU9" s="5">
        <f t="shared" si="19"/>
        <v>2368.4997120586768</v>
      </c>
      <c r="AV9" s="5">
        <f t="shared" si="19"/>
        <v>2605.3496832645446</v>
      </c>
      <c r="AW9" s="5">
        <f t="shared" si="19"/>
        <v>2865.8846515909995</v>
      </c>
      <c r="AX9" s="5">
        <f t="shared" si="19"/>
        <v>3152.4731167500995</v>
      </c>
      <c r="AY9" s="5">
        <f t="shared" si="19"/>
        <v>3467.7204284251097</v>
      </c>
      <c r="AZ9" s="5">
        <f t="shared" si="19"/>
        <v>3814.4924712676211</v>
      </c>
      <c r="BA9" s="5">
        <f t="shared" si="19"/>
        <v>4195.9417183943833</v>
      </c>
      <c r="BB9" s="5">
        <f t="shared" si="19"/>
        <v>4615.5358902338221</v>
      </c>
    </row>
    <row r="10" spans="2:87" x14ac:dyDescent="0.2">
      <c r="B10" s="1" t="s">
        <v>28</v>
      </c>
      <c r="C10" s="5">
        <f t="shared" ref="C10:X10" si="20">+SUM(C7:C9)</f>
        <v>562</v>
      </c>
      <c r="D10" s="5">
        <f t="shared" si="20"/>
        <v>579</v>
      </c>
      <c r="E10" s="5">
        <f t="shared" si="20"/>
        <v>596</v>
      </c>
      <c r="F10" s="5">
        <f t="shared" si="20"/>
        <v>622</v>
      </c>
      <c r="G10" s="5">
        <f t="shared" si="20"/>
        <v>638</v>
      </c>
      <c r="H10" s="5">
        <f t="shared" si="20"/>
        <v>660</v>
      </c>
      <c r="I10" s="5">
        <f t="shared" si="20"/>
        <v>677</v>
      </c>
      <c r="J10" s="5">
        <f t="shared" si="20"/>
        <v>689</v>
      </c>
      <c r="K10" s="5">
        <f t="shared" si="20"/>
        <v>725</v>
      </c>
      <c r="L10" s="5">
        <f t="shared" si="20"/>
        <v>764</v>
      </c>
      <c r="M10" s="5">
        <f t="shared" si="20"/>
        <v>771</v>
      </c>
      <c r="N10" s="5">
        <f t="shared" si="20"/>
        <v>766</v>
      </c>
      <c r="O10" s="5">
        <f t="shared" si="20"/>
        <v>757</v>
      </c>
      <c r="P10" s="5">
        <f t="shared" si="20"/>
        <v>754</v>
      </c>
      <c r="Q10" s="5">
        <f t="shared" si="20"/>
        <v>755</v>
      </c>
      <c r="R10" s="5">
        <f t="shared" si="20"/>
        <v>770</v>
      </c>
      <c r="S10" s="5">
        <f t="shared" si="20"/>
        <v>816</v>
      </c>
      <c r="T10" s="5">
        <f t="shared" si="20"/>
        <v>817</v>
      </c>
      <c r="U10" s="5">
        <f t="shared" si="20"/>
        <v>847</v>
      </c>
      <c r="V10" s="5">
        <f t="shared" si="20"/>
        <v>847</v>
      </c>
      <c r="W10" s="5">
        <f t="shared" si="20"/>
        <v>914</v>
      </c>
      <c r="X10" s="5">
        <f t="shared" si="20"/>
        <v>914</v>
      </c>
      <c r="Y10" s="5">
        <f>+SUM(Y7:Y9)</f>
        <v>954</v>
      </c>
      <c r="Z10" s="5">
        <f t="shared" ref="Z10:BB10" si="21">+SUM(Z7:Z9)</f>
        <v>987</v>
      </c>
      <c r="AA10" s="5"/>
      <c r="AB10" s="5">
        <f t="shared" si="21"/>
        <v>2359</v>
      </c>
      <c r="AC10" s="5">
        <f t="shared" si="21"/>
        <v>2664</v>
      </c>
      <c r="AD10" s="5">
        <f t="shared" si="21"/>
        <v>3026</v>
      </c>
      <c r="AE10" s="5">
        <f t="shared" si="21"/>
        <v>3036</v>
      </c>
      <c r="AF10" s="5">
        <f t="shared" si="21"/>
        <v>3327</v>
      </c>
      <c r="AG10" s="5">
        <f t="shared" si="21"/>
        <v>3633.4000000000005</v>
      </c>
      <c r="AH10" s="5">
        <f t="shared" si="21"/>
        <v>3969.1250000000005</v>
      </c>
      <c r="AI10" s="5">
        <f t="shared" si="21"/>
        <v>4337.0417500000003</v>
      </c>
      <c r="AJ10" s="5">
        <f t="shared" si="21"/>
        <v>4740.3003875000013</v>
      </c>
      <c r="AK10" s="5">
        <f t="shared" si="21"/>
        <v>5182.3626118750017</v>
      </c>
      <c r="AL10" s="5">
        <f t="shared" si="21"/>
        <v>5667.0326679687523</v>
      </c>
      <c r="AM10" s="5">
        <f t="shared" si="21"/>
        <v>6198.4914194171915</v>
      </c>
      <c r="AN10" s="5">
        <f t="shared" si="21"/>
        <v>6781.3338202430514</v>
      </c>
      <c r="AO10" s="5">
        <f t="shared" si="21"/>
        <v>7420.610124095705</v>
      </c>
      <c r="AP10" s="5">
        <f t="shared" si="21"/>
        <v>8121.8712044250415</v>
      </c>
      <c r="AQ10" s="5">
        <f t="shared" si="21"/>
        <v>8891.2183961832998</v>
      </c>
      <c r="AR10" s="5">
        <f t="shared" si="21"/>
        <v>9735.358310683172</v>
      </c>
      <c r="AS10" s="5">
        <f t="shared" si="21"/>
        <v>10661.663120377108</v>
      </c>
      <c r="AT10" s="5">
        <f t="shared" si="21"/>
        <v>11678.236859971719</v>
      </c>
      <c r="AU10" s="5">
        <f t="shared" si="21"/>
        <v>12793.988344903635</v>
      </c>
      <c r="AV10" s="5">
        <f t="shared" si="21"/>
        <v>14018.711368275481</v>
      </c>
      <c r="AW10" s="5">
        <f t="shared" si="21"/>
        <v>15363.172903428585</v>
      </c>
      <c r="AX10" s="5">
        <f t="shared" si="21"/>
        <v>16839.210112013279</v>
      </c>
      <c r="AY10" s="5">
        <f t="shared" si="21"/>
        <v>18459.837037368532</v>
      </c>
      <c r="AZ10" s="5">
        <f t="shared" si="21"/>
        <v>20239.361950967006</v>
      </c>
      <c r="BA10" s="5">
        <f t="shared" si="21"/>
        <v>22193.51641641841</v>
      </c>
      <c r="BB10" s="5">
        <f t="shared" si="21"/>
        <v>24339.59724193269</v>
      </c>
    </row>
    <row r="11" spans="2:87" s="3" customFormat="1" ht="15" x14ac:dyDescent="0.25">
      <c r="B11" s="3" t="s">
        <v>29</v>
      </c>
      <c r="C11" s="4">
        <f t="shared" ref="C11:X11" si="22">+C6-C10</f>
        <v>354</v>
      </c>
      <c r="D11" s="4">
        <f t="shared" si="22"/>
        <v>425</v>
      </c>
      <c r="E11" s="4">
        <f t="shared" si="22"/>
        <v>596</v>
      </c>
      <c r="F11" s="4">
        <f t="shared" si="22"/>
        <v>777</v>
      </c>
      <c r="G11" s="4">
        <f t="shared" si="22"/>
        <v>807</v>
      </c>
      <c r="H11" s="4">
        <f t="shared" si="22"/>
        <v>940</v>
      </c>
      <c r="I11" s="4">
        <f t="shared" si="22"/>
        <v>1023</v>
      </c>
      <c r="J11" s="4">
        <f t="shared" si="22"/>
        <v>1098</v>
      </c>
      <c r="K11" s="4">
        <f t="shared" si="22"/>
        <v>1215</v>
      </c>
      <c r="L11" s="4">
        <f t="shared" si="22"/>
        <v>1292</v>
      </c>
      <c r="M11" s="4">
        <f t="shared" si="22"/>
        <v>1093</v>
      </c>
      <c r="N11" s="4">
        <f t="shared" si="22"/>
        <v>891</v>
      </c>
      <c r="O11" s="4">
        <f t="shared" si="22"/>
        <v>908</v>
      </c>
      <c r="P11" s="4">
        <f t="shared" si="22"/>
        <v>776</v>
      </c>
      <c r="Q11" s="4">
        <f t="shared" si="22"/>
        <v>802</v>
      </c>
      <c r="R11" s="4">
        <f t="shared" si="22"/>
        <v>864</v>
      </c>
      <c r="S11" s="4">
        <f t="shared" si="22"/>
        <v>1042</v>
      </c>
      <c r="T11" s="4">
        <f t="shared" si="22"/>
        <v>932</v>
      </c>
      <c r="U11" s="4">
        <f t="shared" si="22"/>
        <v>1108</v>
      </c>
      <c r="V11" s="4">
        <f t="shared" si="22"/>
        <v>1283</v>
      </c>
      <c r="W11" s="4">
        <f t="shared" si="22"/>
        <v>1435</v>
      </c>
      <c r="X11" s="4">
        <f t="shared" si="22"/>
        <v>1739</v>
      </c>
      <c r="Y11" s="4">
        <f>+Y6-Y10</f>
        <v>2013</v>
      </c>
      <c r="Z11" s="4">
        <f>+Z6-Z10</f>
        <v>1972</v>
      </c>
      <c r="AA11" s="4"/>
      <c r="AB11" s="4">
        <f t="shared" ref="AB11:BB11" si="23">+AB6-AB10</f>
        <v>2152</v>
      </c>
      <c r="AC11" s="4">
        <f t="shared" si="23"/>
        <v>3868</v>
      </c>
      <c r="AD11" s="4">
        <f t="shared" si="23"/>
        <v>4491</v>
      </c>
      <c r="AE11" s="4">
        <f t="shared" si="23"/>
        <v>3350</v>
      </c>
      <c r="AF11" s="4">
        <f t="shared" si="23"/>
        <v>4365</v>
      </c>
      <c r="AG11" s="4">
        <f t="shared" si="23"/>
        <v>4380.7082352941152</v>
      </c>
      <c r="AH11" s="4">
        <f t="shared" si="23"/>
        <v>4516.4013667820072</v>
      </c>
      <c r="AI11" s="4">
        <f t="shared" si="23"/>
        <v>4647.633226592714</v>
      </c>
      <c r="AJ11" s="4">
        <f t="shared" si="23"/>
        <v>4772.8848818334591</v>
      </c>
      <c r="AK11" s="4">
        <f t="shared" si="23"/>
        <v>3974.7141179646951</v>
      </c>
      <c r="AL11" s="4">
        <f t="shared" si="23"/>
        <v>4028.6956342144576</v>
      </c>
      <c r="AM11" s="4">
        <f t="shared" si="23"/>
        <v>4067.5738417179718</v>
      </c>
      <c r="AN11" s="4">
        <f t="shared" si="23"/>
        <v>4088.6176327235935</v>
      </c>
      <c r="AO11" s="4">
        <f t="shared" si="23"/>
        <v>4088.7502378689769</v>
      </c>
      <c r="AP11" s="4">
        <f t="shared" si="23"/>
        <v>4064.5103553022718</v>
      </c>
      <c r="AQ11" s="4">
        <f t="shared" si="23"/>
        <v>4012.0091376456185</v>
      </c>
      <c r="AR11" s="4">
        <f t="shared" si="23"/>
        <v>3926.8826074886274</v>
      </c>
      <c r="AS11" s="4">
        <f t="shared" si="23"/>
        <v>3804.2390282753859</v>
      </c>
      <c r="AT11" s="4">
        <f t="shared" si="23"/>
        <v>3638.6007091897445</v>
      </c>
      <c r="AU11" s="4">
        <f t="shared" si="23"/>
        <v>3423.8396695026204</v>
      </c>
      <c r="AV11" s="4">
        <f t="shared" si="23"/>
        <v>3153.1065293311422</v>
      </c>
      <c r="AW11" s="4">
        <f t="shared" si="23"/>
        <v>2818.7519293313708</v>
      </c>
      <c r="AX11" s="4">
        <f t="shared" si="23"/>
        <v>2412.2397109090271</v>
      </c>
      <c r="AY11" s="4">
        <f t="shared" si="23"/>
        <v>1924.0510104315617</v>
      </c>
      <c r="AZ11" s="4">
        <f t="shared" si="23"/>
        <v>1343.5783349389749</v>
      </c>
      <c r="BA11" s="4">
        <f t="shared" si="23"/>
        <v>659.00859218792903</v>
      </c>
      <c r="BB11" s="4">
        <f t="shared" si="23"/>
        <v>-142.80605634950552</v>
      </c>
    </row>
    <row r="12" spans="2:87" x14ac:dyDescent="0.2">
      <c r="B12" s="1" t="s">
        <v>67</v>
      </c>
      <c r="C12" s="5">
        <v>42</v>
      </c>
      <c r="D12" s="5">
        <v>37</v>
      </c>
      <c r="E12" s="5">
        <v>38</v>
      </c>
      <c r="F12" s="5">
        <f>155-E12-D12-C12</f>
        <v>38</v>
      </c>
      <c r="G12" s="5">
        <v>38</v>
      </c>
      <c r="H12" s="5">
        <v>44</v>
      </c>
      <c r="I12" s="5">
        <v>59</v>
      </c>
      <c r="J12" s="5">
        <f>198-I12-H12-G12</f>
        <v>57</v>
      </c>
      <c r="K12" s="5">
        <v>59</v>
      </c>
      <c r="L12" s="5">
        <v>56</v>
      </c>
      <c r="M12" s="5">
        <v>59</v>
      </c>
      <c r="N12" s="5">
        <f>234-M12-L12-K12</f>
        <v>60</v>
      </c>
      <c r="O12" s="5">
        <v>60</v>
      </c>
      <c r="P12" s="5">
        <v>60</v>
      </c>
      <c r="Q12" s="5">
        <v>58</v>
      </c>
      <c r="R12" s="5">
        <f>237-Q12-P12-O12</f>
        <v>59</v>
      </c>
      <c r="S12" s="5">
        <v>59</v>
      </c>
      <c r="T12" s="5">
        <v>61</v>
      </c>
      <c r="U12" s="5">
        <v>61</v>
      </c>
      <c r="V12" s="5">
        <f>240-U12-T12-S12</f>
        <v>59</v>
      </c>
      <c r="W12" s="5">
        <v>61</v>
      </c>
      <c r="X12" s="5">
        <v>61</v>
      </c>
      <c r="Y12" s="5">
        <v>57</v>
      </c>
      <c r="Z12" s="5">
        <v>57</v>
      </c>
      <c r="AB12" s="5">
        <f t="shared" si="5"/>
        <v>155</v>
      </c>
      <c r="AC12" s="5">
        <f t="shared" si="15"/>
        <v>198</v>
      </c>
      <c r="AD12" s="5">
        <f t="shared" si="1"/>
        <v>234</v>
      </c>
      <c r="AE12" s="5">
        <f t="shared" si="2"/>
        <v>237</v>
      </c>
      <c r="AF12" s="5">
        <f t="shared" si="3"/>
        <v>240</v>
      </c>
    </row>
    <row r="13" spans="2:87" x14ac:dyDescent="0.2">
      <c r="B13" s="1" t="s">
        <v>68</v>
      </c>
      <c r="C13" s="5">
        <v>2</v>
      </c>
      <c r="D13" s="5">
        <v>7</v>
      </c>
      <c r="E13" s="5">
        <v>6</v>
      </c>
      <c r="F13" s="5">
        <f>16-E13-D13-C13</f>
        <v>1</v>
      </c>
      <c r="G13" s="5">
        <v>2</v>
      </c>
      <c r="H13" s="5">
        <v>12</v>
      </c>
      <c r="I13" s="5">
        <v>14</v>
      </c>
      <c r="J13" s="5">
        <f>61-I13-H13-G13</f>
        <v>33</v>
      </c>
      <c r="K13" s="5">
        <v>27</v>
      </c>
      <c r="L13" s="5">
        <v>25</v>
      </c>
      <c r="M13" s="5">
        <v>43</v>
      </c>
      <c r="N13" s="5">
        <f>139-M13-L13-K13</f>
        <v>44</v>
      </c>
      <c r="O13" s="5">
        <v>40</v>
      </c>
      <c r="P13" s="5">
        <v>43</v>
      </c>
      <c r="Q13" s="5">
        <v>38</v>
      </c>
      <c r="R13" s="5">
        <f>156-Q13-P13-O13</f>
        <v>35</v>
      </c>
      <c r="S13" s="5">
        <v>22</v>
      </c>
      <c r="T13" s="5">
        <v>7</v>
      </c>
      <c r="U13" s="5">
        <v>-7</v>
      </c>
      <c r="V13" s="5">
        <f>41-U13-T13-S13</f>
        <v>19</v>
      </c>
      <c r="W13" s="5">
        <v>18</v>
      </c>
      <c r="X13" s="5">
        <v>27</v>
      </c>
      <c r="Y13" s="5">
        <v>24</v>
      </c>
      <c r="Z13" s="5">
        <v>6</v>
      </c>
      <c r="AB13" s="5">
        <f t="shared" si="5"/>
        <v>16</v>
      </c>
      <c r="AC13" s="5">
        <f t="shared" si="15"/>
        <v>61</v>
      </c>
      <c r="AD13" s="5">
        <f t="shared" si="1"/>
        <v>139</v>
      </c>
      <c r="AE13" s="5">
        <f t="shared" si="2"/>
        <v>156</v>
      </c>
      <c r="AF13" s="5">
        <f t="shared" si="3"/>
        <v>41</v>
      </c>
    </row>
    <row r="14" spans="2:87" x14ac:dyDescent="0.2">
      <c r="B14" s="1" t="s">
        <v>30</v>
      </c>
      <c r="C14" s="5">
        <f t="shared" ref="C14:J14" si="24">+C11-C12+C13</f>
        <v>314</v>
      </c>
      <c r="D14" s="5">
        <f t="shared" si="24"/>
        <v>395</v>
      </c>
      <c r="E14" s="5">
        <f t="shared" si="24"/>
        <v>564</v>
      </c>
      <c r="F14" s="5">
        <f t="shared" si="24"/>
        <v>740</v>
      </c>
      <c r="G14" s="5">
        <f t="shared" si="24"/>
        <v>771</v>
      </c>
      <c r="H14" s="5">
        <f t="shared" si="24"/>
        <v>908</v>
      </c>
      <c r="I14" s="5">
        <f t="shared" si="24"/>
        <v>978</v>
      </c>
      <c r="J14" s="5">
        <f t="shared" si="24"/>
        <v>1074</v>
      </c>
      <c r="K14" s="5">
        <f t="shared" ref="K14:Y14" si="25">+K11-K12+K13</f>
        <v>1183</v>
      </c>
      <c r="L14" s="5">
        <f t="shared" si="25"/>
        <v>1261</v>
      </c>
      <c r="M14" s="5">
        <f t="shared" si="25"/>
        <v>1077</v>
      </c>
      <c r="N14" s="5">
        <f t="shared" si="25"/>
        <v>875</v>
      </c>
      <c r="O14" s="5">
        <f t="shared" si="25"/>
        <v>888</v>
      </c>
      <c r="P14" s="5">
        <f t="shared" si="25"/>
        <v>759</v>
      </c>
      <c r="Q14" s="5">
        <f t="shared" si="25"/>
        <v>782</v>
      </c>
      <c r="R14" s="5">
        <f t="shared" si="25"/>
        <v>840</v>
      </c>
      <c r="S14" s="5">
        <f t="shared" si="25"/>
        <v>1005</v>
      </c>
      <c r="T14" s="5">
        <f t="shared" si="25"/>
        <v>878</v>
      </c>
      <c r="U14" s="5">
        <f t="shared" si="25"/>
        <v>1040</v>
      </c>
      <c r="V14" s="5">
        <f t="shared" si="25"/>
        <v>1243</v>
      </c>
      <c r="W14" s="5">
        <f t="shared" si="25"/>
        <v>1392</v>
      </c>
      <c r="X14" s="5">
        <f t="shared" si="25"/>
        <v>1705</v>
      </c>
      <c r="Y14" s="5">
        <f t="shared" si="25"/>
        <v>1980</v>
      </c>
      <c r="Z14" s="5">
        <f>+Z11-Z12+Z13</f>
        <v>1921</v>
      </c>
      <c r="AB14" s="5">
        <f t="shared" si="5"/>
        <v>2013</v>
      </c>
      <c r="AC14" s="5">
        <f t="shared" si="15"/>
        <v>3731</v>
      </c>
      <c r="AD14" s="5">
        <f t="shared" si="1"/>
        <v>4396</v>
      </c>
      <c r="AE14" s="5">
        <f t="shared" si="2"/>
        <v>3269</v>
      </c>
      <c r="AF14" s="5">
        <f t="shared" si="3"/>
        <v>4166</v>
      </c>
    </row>
    <row r="15" spans="2:87" x14ac:dyDescent="0.2">
      <c r="B15" s="1" t="s">
        <v>31</v>
      </c>
      <c r="C15" s="5">
        <v>28</v>
      </c>
      <c r="D15" s="5">
        <v>75</v>
      </c>
      <c r="E15" s="5">
        <v>59</v>
      </c>
      <c r="F15" s="5">
        <f>292-E15-D15-C15</f>
        <v>130</v>
      </c>
      <c r="G15" s="5">
        <v>68</v>
      </c>
      <c r="H15" s="5">
        <v>84</v>
      </c>
      <c r="I15" s="5">
        <v>53</v>
      </c>
      <c r="J15" s="5">
        <f>297-I15-H15-G15</f>
        <v>92</v>
      </c>
      <c r="K15" s="5">
        <v>1018</v>
      </c>
      <c r="L15" s="1">
        <v>161</v>
      </c>
      <c r="M15" s="1">
        <v>61</v>
      </c>
      <c r="N15" s="5">
        <f>1358-M15-L15-K15</f>
        <v>118</v>
      </c>
      <c r="O15" s="1">
        <v>117</v>
      </c>
      <c r="P15" s="1">
        <v>93</v>
      </c>
      <c r="Q15" s="1">
        <v>211</v>
      </c>
      <c r="R15" s="1">
        <f>563-Q15-P15-O15</f>
        <v>142</v>
      </c>
      <c r="S15" s="1">
        <v>113</v>
      </c>
      <c r="T15" s="1">
        <v>123</v>
      </c>
      <c r="U15" s="1">
        <v>199</v>
      </c>
      <c r="V15" s="1">
        <f>547-U15-T15-S15</f>
        <v>112</v>
      </c>
      <c r="W15" s="1">
        <v>110</v>
      </c>
      <c r="X15" s="1">
        <v>215</v>
      </c>
      <c r="Y15" s="1">
        <v>264</v>
      </c>
      <c r="Z15" s="1">
        <v>133</v>
      </c>
      <c r="AB15" s="5">
        <f t="shared" si="5"/>
        <v>292</v>
      </c>
      <c r="AC15" s="5">
        <f t="shared" si="15"/>
        <v>297</v>
      </c>
      <c r="AD15" s="5">
        <f t="shared" si="1"/>
        <v>1358</v>
      </c>
      <c r="AE15" s="5">
        <f t="shared" si="2"/>
        <v>563</v>
      </c>
      <c r="AF15" s="5">
        <f t="shared" si="3"/>
        <v>547</v>
      </c>
    </row>
    <row r="16" spans="2:87" s="3" customFormat="1" ht="15" x14ac:dyDescent="0.25">
      <c r="B16" s="3" t="s">
        <v>32</v>
      </c>
      <c r="C16" s="4">
        <f t="shared" ref="C16" si="26">+C14-C15</f>
        <v>286</v>
      </c>
      <c r="D16" s="4">
        <f t="shared" ref="D16:E16" si="27">+D14-D15</f>
        <v>320</v>
      </c>
      <c r="E16" s="4">
        <f t="shared" si="27"/>
        <v>505</v>
      </c>
      <c r="F16" s="4">
        <f t="shared" ref="F16" si="28">+F14-F15</f>
        <v>610</v>
      </c>
      <c r="G16" s="4">
        <f t="shared" ref="G16:H16" si="29">+G14-G15</f>
        <v>703</v>
      </c>
      <c r="H16" s="4">
        <f t="shared" si="29"/>
        <v>824</v>
      </c>
      <c r="I16" s="4">
        <f t="shared" ref="I16" si="30">+I14-I15</f>
        <v>925</v>
      </c>
      <c r="J16" s="4">
        <f>+J14-J15</f>
        <v>982</v>
      </c>
      <c r="K16" s="4">
        <f t="shared" ref="K16:Y16" si="31">+K14-K15</f>
        <v>165</v>
      </c>
      <c r="L16" s="4">
        <f t="shared" si="31"/>
        <v>1100</v>
      </c>
      <c r="M16" s="4">
        <f t="shared" si="31"/>
        <v>1016</v>
      </c>
      <c r="N16" s="4">
        <f t="shared" si="31"/>
        <v>757</v>
      </c>
      <c r="O16" s="4">
        <f t="shared" si="31"/>
        <v>771</v>
      </c>
      <c r="P16" s="4">
        <f t="shared" si="31"/>
        <v>666</v>
      </c>
      <c r="Q16" s="4">
        <f t="shared" si="31"/>
        <v>571</v>
      </c>
      <c r="R16" s="4">
        <f t="shared" si="31"/>
        <v>698</v>
      </c>
      <c r="S16" s="4">
        <f t="shared" si="31"/>
        <v>892</v>
      </c>
      <c r="T16" s="4">
        <f t="shared" si="31"/>
        <v>755</v>
      </c>
      <c r="U16" s="4">
        <f t="shared" si="31"/>
        <v>841</v>
      </c>
      <c r="V16" s="4">
        <f t="shared" si="31"/>
        <v>1131</v>
      </c>
      <c r="W16" s="4">
        <f t="shared" si="31"/>
        <v>1282</v>
      </c>
      <c r="X16" s="4">
        <f t="shared" si="31"/>
        <v>1490</v>
      </c>
      <c r="Y16" s="4">
        <f t="shared" si="31"/>
        <v>1716</v>
      </c>
      <c r="Z16" s="4">
        <f t="shared" ref="Z16" si="32">+Z14-Z15</f>
        <v>1788</v>
      </c>
      <c r="AB16" s="4">
        <f t="shared" si="5"/>
        <v>1721</v>
      </c>
      <c r="AC16" s="4">
        <f>SUM(G16:J16)</f>
        <v>3434</v>
      </c>
      <c r="AD16" s="4">
        <f t="shared" si="1"/>
        <v>3038</v>
      </c>
      <c r="AE16" s="4">
        <f t="shared" si="2"/>
        <v>2706</v>
      </c>
      <c r="AF16" s="4">
        <f>SUM(S16:V16)</f>
        <v>3619</v>
      </c>
      <c r="AG16" s="4">
        <f>AF16*1.1/0.98</f>
        <v>4062.1428571428578</v>
      </c>
      <c r="AH16" s="4">
        <f>AG16*1.1/0.98</f>
        <v>4559.5481049562695</v>
      </c>
      <c r="AI16" s="4">
        <f t="shared" ref="AI16:BB16" si="33">AH16*1.1/0.98</f>
        <v>5117.860117808058</v>
      </c>
      <c r="AJ16" s="4">
        <f t="shared" si="33"/>
        <v>5744.5368669274121</v>
      </c>
      <c r="AK16" s="4">
        <f t="shared" si="33"/>
        <v>6447.9495445103612</v>
      </c>
      <c r="AL16" s="4">
        <f t="shared" si="33"/>
        <v>7237.4943866953035</v>
      </c>
      <c r="AM16" s="4">
        <f t="shared" si="33"/>
        <v>8123.7181891477903</v>
      </c>
      <c r="AN16" s="4">
        <f t="shared" si="33"/>
        <v>9118.4591919005816</v>
      </c>
      <c r="AO16" s="4">
        <f t="shared" si="33"/>
        <v>10235.005215398613</v>
      </c>
      <c r="AP16" s="4">
        <f t="shared" si="33"/>
        <v>11488.271160141299</v>
      </c>
      <c r="AQ16" s="4">
        <f t="shared" si="33"/>
        <v>12894.998240974928</v>
      </c>
      <c r="AR16" s="4">
        <f t="shared" si="33"/>
        <v>14473.97761742084</v>
      </c>
      <c r="AS16" s="4">
        <f t="shared" si="33"/>
        <v>16246.301407309109</v>
      </c>
      <c r="AT16" s="4">
        <f t="shared" si="33"/>
        <v>18235.644436775532</v>
      </c>
      <c r="AU16" s="4">
        <f t="shared" si="33"/>
        <v>20468.580490258253</v>
      </c>
      <c r="AV16" s="4">
        <f t="shared" si="33"/>
        <v>22974.937284983756</v>
      </c>
      <c r="AW16" s="4">
        <f t="shared" si="33"/>
        <v>25788.194911716466</v>
      </c>
      <c r="AX16" s="4">
        <f t="shared" si="33"/>
        <v>28945.933064171546</v>
      </c>
      <c r="AY16" s="4">
        <f t="shared" si="33"/>
        <v>32490.333031212966</v>
      </c>
      <c r="AZ16" s="4">
        <f t="shared" si="33"/>
        <v>36468.741157483943</v>
      </c>
      <c r="BA16" s="4">
        <f t="shared" si="33"/>
        <v>40934.30129921667</v>
      </c>
      <c r="BB16" s="4">
        <f t="shared" si="33"/>
        <v>45946.664723610549</v>
      </c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</row>
    <row r="17" spans="2:54" x14ac:dyDescent="0.2">
      <c r="B17" s="1" t="s">
        <v>1</v>
      </c>
      <c r="C17" s="5">
        <v>1154</v>
      </c>
      <c r="D17" s="5">
        <v>1119</v>
      </c>
      <c r="E17" s="5">
        <v>1093</v>
      </c>
      <c r="F17" s="5">
        <v>1116</v>
      </c>
      <c r="G17" s="5">
        <v>1089</v>
      </c>
      <c r="H17" s="5">
        <v>1078</v>
      </c>
      <c r="I17" s="5">
        <v>1083</v>
      </c>
      <c r="J17" s="5">
        <v>1084</v>
      </c>
      <c r="K17" s="5">
        <v>1071</v>
      </c>
      <c r="L17" s="5">
        <v>1040</v>
      </c>
      <c r="M17" s="5">
        <v>1005</v>
      </c>
      <c r="N17" s="5">
        <v>1026</v>
      </c>
      <c r="O17" s="5">
        <v>965</v>
      </c>
      <c r="P17" s="5">
        <v>948</v>
      </c>
      <c r="Q17" s="5">
        <v>937</v>
      </c>
      <c r="R17" s="5">
        <v>945</v>
      </c>
      <c r="S17" s="5">
        <v>927</v>
      </c>
      <c r="T17" s="5">
        <v>923</v>
      </c>
      <c r="U17" s="5">
        <v>922</v>
      </c>
      <c r="V17" s="5">
        <v>923</v>
      </c>
      <c r="W17" s="5">
        <v>925</v>
      </c>
      <c r="X17" s="5">
        <v>927</v>
      </c>
      <c r="Y17" s="5">
        <v>918</v>
      </c>
      <c r="Z17" s="5">
        <v>897</v>
      </c>
      <c r="AB17" s="5">
        <f>AVERAGE(C17:F17)</f>
        <v>1120.5</v>
      </c>
      <c r="AC17" s="5">
        <f>AVERAGE(G17:J17)</f>
        <v>1083.5</v>
      </c>
      <c r="AD17" s="5">
        <f>AVERAGE(K17:N17)</f>
        <v>1035.5</v>
      </c>
      <c r="AE17" s="5">
        <f>AVERAGE(O17:R17)</f>
        <v>948.75</v>
      </c>
      <c r="AF17" s="5">
        <f>AVERAGE(S17:V17)</f>
        <v>923.75</v>
      </c>
    </row>
    <row r="18" spans="2:54" x14ac:dyDescent="0.2">
      <c r="B18" s="1" t="s">
        <v>33</v>
      </c>
      <c r="C18" s="6">
        <f t="shared" ref="C18" si="34">+C16/C17</f>
        <v>0.24783362218370883</v>
      </c>
      <c r="D18" s="6">
        <f t="shared" ref="D18:E18" si="35">+D16/D17</f>
        <v>0.28596961572832885</v>
      </c>
      <c r="E18" s="6">
        <f t="shared" si="35"/>
        <v>0.46203110704483075</v>
      </c>
      <c r="F18" s="6">
        <f t="shared" ref="F18" si="36">+F16/F17</f>
        <v>0.54659498207885304</v>
      </c>
      <c r="G18" s="6">
        <f t="shared" ref="G18:H18" si="37">+G16/G17</f>
        <v>0.6455463728191001</v>
      </c>
      <c r="H18" s="6">
        <f t="shared" si="37"/>
        <v>0.76437847866419295</v>
      </c>
      <c r="I18" s="6">
        <f t="shared" ref="I18:J18" si="38">+I16/I17</f>
        <v>0.85410895660203134</v>
      </c>
      <c r="J18" s="6">
        <f t="shared" si="38"/>
        <v>0.90590405904059046</v>
      </c>
      <c r="K18" s="6">
        <f t="shared" ref="K18:X18" si="39">+K16/K17</f>
        <v>0.15406162464985995</v>
      </c>
      <c r="L18" s="6">
        <f t="shared" si="39"/>
        <v>1.0576923076923077</v>
      </c>
      <c r="M18" s="6">
        <f t="shared" si="39"/>
        <v>1.0109452736318407</v>
      </c>
      <c r="N18" s="6">
        <f t="shared" si="39"/>
        <v>0.73781676413255359</v>
      </c>
      <c r="O18" s="6">
        <f t="shared" si="39"/>
        <v>0.79896373056994818</v>
      </c>
      <c r="P18" s="6">
        <f t="shared" si="39"/>
        <v>0.70253164556962022</v>
      </c>
      <c r="Q18" s="6">
        <f t="shared" si="39"/>
        <v>0.60939167556029883</v>
      </c>
      <c r="R18" s="6">
        <f t="shared" si="39"/>
        <v>0.73862433862433863</v>
      </c>
      <c r="S18" s="6">
        <f t="shared" si="39"/>
        <v>0.96224379719525355</v>
      </c>
      <c r="T18" s="6">
        <f t="shared" si="39"/>
        <v>0.81798483206933914</v>
      </c>
      <c r="U18" s="6">
        <f t="shared" si="39"/>
        <v>0.9121475054229935</v>
      </c>
      <c r="V18" s="6">
        <f t="shared" si="39"/>
        <v>1.2253521126760563</v>
      </c>
      <c r="W18" s="6">
        <f t="shared" si="39"/>
        <v>1.385945945945946</v>
      </c>
      <c r="X18" s="6">
        <f t="shared" si="39"/>
        <v>1.6073354908306365</v>
      </c>
      <c r="Y18" s="6">
        <f>+Y16/Y17</f>
        <v>1.869281045751634</v>
      </c>
      <c r="Z18" s="6">
        <f>+Z16/Z17</f>
        <v>1.9933110367892977</v>
      </c>
      <c r="AB18" s="7">
        <f>AVERAGE(C18:F18)</f>
        <v>0.38560733175893036</v>
      </c>
      <c r="AC18" s="7">
        <f>AVERAGE(G18:J18)</f>
        <v>0.79248446678147877</v>
      </c>
      <c r="AD18" s="7">
        <f>AVERAGE(K18:N18)</f>
        <v>0.74012899252664055</v>
      </c>
      <c r="AE18" s="7">
        <f>AVERAGE(O18:R18)</f>
        <v>0.71237784758105149</v>
      </c>
      <c r="AF18" s="7">
        <f>AVERAGE(S18:V18)</f>
        <v>0.97943206184091047</v>
      </c>
    </row>
    <row r="20" spans="2:54" x14ac:dyDescent="0.2">
      <c r="B20" s="1" t="s">
        <v>35</v>
      </c>
      <c r="C20" s="8">
        <f t="shared" ref="C20:Z20" si="40">+C6/C4</f>
        <v>0.4058484714222419</v>
      </c>
      <c r="D20" s="8">
        <f t="shared" si="40"/>
        <v>0.40979591836734691</v>
      </c>
      <c r="E20" s="8">
        <f t="shared" si="40"/>
        <v>0.42254519673874513</v>
      </c>
      <c r="F20" s="8">
        <f t="shared" si="40"/>
        <v>0.42432514407036698</v>
      </c>
      <c r="G20" s="8">
        <f t="shared" si="40"/>
        <v>0.44081757169005492</v>
      </c>
      <c r="H20" s="8">
        <f t="shared" si="40"/>
        <v>0.45121263395375072</v>
      </c>
      <c r="I20" s="8">
        <f t="shared" si="40"/>
        <v>0.45405982905982906</v>
      </c>
      <c r="J20" s="8">
        <f t="shared" si="40"/>
        <v>0.45023935500125978</v>
      </c>
      <c r="K20" s="8">
        <f t="shared" si="40"/>
        <v>0.46135552913198574</v>
      </c>
      <c r="L20" s="8">
        <f t="shared" si="40"/>
        <v>0.44900633326053724</v>
      </c>
      <c r="M20" s="8">
        <f t="shared" si="40"/>
        <v>0.44786160499759731</v>
      </c>
      <c r="N20" s="8">
        <f t="shared" si="40"/>
        <v>0.44080872572492685</v>
      </c>
      <c r="O20" s="8">
        <f t="shared" si="40"/>
        <v>0.44364508393285373</v>
      </c>
      <c r="P20" s="8">
        <f t="shared" si="40"/>
        <v>0.43232551568239613</v>
      </c>
      <c r="Q20" s="8">
        <f t="shared" si="40"/>
        <v>0.43711398090960135</v>
      </c>
      <c r="R20" s="8">
        <f t="shared" si="40"/>
        <v>0.43526904635055941</v>
      </c>
      <c r="S20" s="8">
        <f t="shared" si="40"/>
        <v>0.44641999038923597</v>
      </c>
      <c r="T20" s="8">
        <f t="shared" si="40"/>
        <v>0.44200151630022744</v>
      </c>
      <c r="U20" s="8">
        <f t="shared" si="40"/>
        <v>0.44482366325369738</v>
      </c>
      <c r="V20" s="8">
        <f t="shared" si="40"/>
        <v>0.45435153583617749</v>
      </c>
      <c r="W20" s="8">
        <f t="shared" si="40"/>
        <v>0.4550561797752809</v>
      </c>
      <c r="X20" s="8">
        <f t="shared" si="40"/>
        <v>0.47527767825152273</v>
      </c>
      <c r="Y20" s="8">
        <f t="shared" si="40"/>
        <v>0.47885732730794062</v>
      </c>
      <c r="Z20" s="8">
        <f t="shared" si="40"/>
        <v>0.47185456864933822</v>
      </c>
      <c r="AB20" s="8">
        <f t="shared" ref="AB20:BB20" si="41">+AB6/AB4</f>
        <v>0.41672055427251731</v>
      </c>
      <c r="AC20" s="8">
        <f t="shared" si="41"/>
        <v>0.44933617665267939</v>
      </c>
      <c r="AD20" s="8">
        <f t="shared" si="41"/>
        <v>0.4499850344208321</v>
      </c>
      <c r="AE20" s="8">
        <f t="shared" si="41"/>
        <v>0.43715772179627599</v>
      </c>
      <c r="AF20" s="8">
        <f t="shared" si="41"/>
        <v>0.44715730728985004</v>
      </c>
      <c r="AG20" s="8">
        <f t="shared" si="41"/>
        <v>0.43999999999999995</v>
      </c>
      <c r="AH20" s="8">
        <f t="shared" si="41"/>
        <v>0.44</v>
      </c>
      <c r="AI20" s="8">
        <f t="shared" si="41"/>
        <v>0.44</v>
      </c>
      <c r="AJ20" s="8">
        <f t="shared" si="41"/>
        <v>0.43999999999999995</v>
      </c>
      <c r="AK20" s="8">
        <f t="shared" si="41"/>
        <v>0.4</v>
      </c>
      <c r="AL20" s="8">
        <f t="shared" si="41"/>
        <v>0.4</v>
      </c>
      <c r="AM20" s="8">
        <f t="shared" si="41"/>
        <v>0.4</v>
      </c>
      <c r="AN20" s="8">
        <f t="shared" si="41"/>
        <v>0.4</v>
      </c>
      <c r="AO20" s="8">
        <f t="shared" si="41"/>
        <v>0.4</v>
      </c>
      <c r="AP20" s="8">
        <f t="shared" si="41"/>
        <v>0.4</v>
      </c>
      <c r="AQ20" s="8">
        <f t="shared" si="41"/>
        <v>0.4</v>
      </c>
      <c r="AR20" s="8">
        <f t="shared" si="41"/>
        <v>0.4</v>
      </c>
      <c r="AS20" s="8">
        <f t="shared" si="41"/>
        <v>0.4</v>
      </c>
      <c r="AT20" s="8">
        <f t="shared" si="41"/>
        <v>0.4</v>
      </c>
      <c r="AU20" s="8">
        <f t="shared" si="41"/>
        <v>0.39999999999999997</v>
      </c>
      <c r="AV20" s="8">
        <f t="shared" si="41"/>
        <v>0.39999999999999997</v>
      </c>
      <c r="AW20" s="8">
        <f t="shared" si="41"/>
        <v>0.4</v>
      </c>
      <c r="AX20" s="8">
        <f t="shared" si="41"/>
        <v>0.39999999999999997</v>
      </c>
      <c r="AY20" s="8">
        <f t="shared" si="41"/>
        <v>0.40000000000000008</v>
      </c>
      <c r="AZ20" s="8">
        <f t="shared" si="41"/>
        <v>0.4</v>
      </c>
      <c r="BA20" s="8">
        <f t="shared" si="41"/>
        <v>0.40000000000000008</v>
      </c>
      <c r="BB20" s="8">
        <f t="shared" si="41"/>
        <v>0.40000000000000008</v>
      </c>
    </row>
    <row r="21" spans="2:54" x14ac:dyDescent="0.2">
      <c r="B21" s="1" t="s">
        <v>113</v>
      </c>
      <c r="C21" s="8">
        <f t="shared" ref="C21:Z21" si="42">+C11/C4</f>
        <v>0.15684536996012405</v>
      </c>
      <c r="D21" s="8">
        <f t="shared" si="42"/>
        <v>0.17346938775510204</v>
      </c>
      <c r="E21" s="8">
        <f t="shared" si="42"/>
        <v>0.21127259836937257</v>
      </c>
      <c r="F21" s="8">
        <f t="shared" si="42"/>
        <v>0.2356687898089172</v>
      </c>
      <c r="G21" s="8">
        <f t="shared" si="42"/>
        <v>0.24618669920683345</v>
      </c>
      <c r="H21" s="8">
        <f t="shared" si="42"/>
        <v>0.26508742244782851</v>
      </c>
      <c r="I21" s="8">
        <f t="shared" si="42"/>
        <v>0.27323717948717946</v>
      </c>
      <c r="J21" s="8">
        <f t="shared" si="42"/>
        <v>0.27664399092970521</v>
      </c>
      <c r="K21" s="8">
        <f t="shared" si="42"/>
        <v>0.28894173602853745</v>
      </c>
      <c r="L21" s="8">
        <f t="shared" si="42"/>
        <v>0.28215767634854771</v>
      </c>
      <c r="M21" s="8">
        <f t="shared" si="42"/>
        <v>0.26261412782316196</v>
      </c>
      <c r="N21" s="8">
        <f t="shared" si="42"/>
        <v>0.23703112529928172</v>
      </c>
      <c r="O21" s="8">
        <f t="shared" si="42"/>
        <v>0.24193978150812684</v>
      </c>
      <c r="P21" s="8">
        <f t="shared" si="42"/>
        <v>0.21927098050296695</v>
      </c>
      <c r="Q21" s="8">
        <f t="shared" si="42"/>
        <v>0.22515440763615946</v>
      </c>
      <c r="R21" s="8">
        <f t="shared" si="42"/>
        <v>0.23015450186467767</v>
      </c>
      <c r="S21" s="8">
        <f t="shared" si="42"/>
        <v>0.25036040365209034</v>
      </c>
      <c r="T21" s="8">
        <f t="shared" si="42"/>
        <v>0.23553196866312864</v>
      </c>
      <c r="U21" s="8">
        <f t="shared" si="42"/>
        <v>0.25210466439135382</v>
      </c>
      <c r="V21" s="8">
        <f t="shared" si="42"/>
        <v>0.27367747440273038</v>
      </c>
      <c r="W21" s="8">
        <f t="shared" si="42"/>
        <v>0.27799302595893066</v>
      </c>
      <c r="X21" s="8">
        <f t="shared" si="42"/>
        <v>0.31153708348262271</v>
      </c>
      <c r="Y21" s="8">
        <f t="shared" si="42"/>
        <v>0.3248870238863783</v>
      </c>
      <c r="Z21" s="8">
        <f t="shared" si="42"/>
        <v>0.31446340296603414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2:54" x14ac:dyDescent="0.2">
      <c r="B22" s="1" t="s">
        <v>36</v>
      </c>
      <c r="C22" s="8">
        <f t="shared" ref="C22:Z22" si="43">+C16/C4</f>
        <v>0.12671688081524146</v>
      </c>
      <c r="D22" s="8">
        <f t="shared" si="43"/>
        <v>0.1306122448979592</v>
      </c>
      <c r="E22" s="8">
        <f t="shared" si="43"/>
        <v>0.17901453385324353</v>
      </c>
      <c r="F22" s="8">
        <f t="shared" si="43"/>
        <v>0.18501668183196845</v>
      </c>
      <c r="G22" s="8">
        <f t="shared" si="43"/>
        <v>0.21446003660768762</v>
      </c>
      <c r="H22" s="8">
        <f t="shared" si="43"/>
        <v>0.2323745064861816</v>
      </c>
      <c r="I22" s="8">
        <f t="shared" si="43"/>
        <v>0.24706196581196582</v>
      </c>
      <c r="J22" s="8">
        <f t="shared" si="43"/>
        <v>0.24741748551272361</v>
      </c>
      <c r="K22" s="8">
        <f t="shared" si="43"/>
        <v>3.9239001189060645E-2</v>
      </c>
      <c r="L22" s="8">
        <f t="shared" si="43"/>
        <v>0.24022712382616293</v>
      </c>
      <c r="M22" s="8">
        <f t="shared" si="43"/>
        <v>0.24411340701585776</v>
      </c>
      <c r="N22" s="8">
        <f t="shared" si="43"/>
        <v>0.20138334663474328</v>
      </c>
      <c r="O22" s="8">
        <f t="shared" si="43"/>
        <v>0.20543565147881696</v>
      </c>
      <c r="P22" s="8">
        <f t="shared" si="43"/>
        <v>0.18818875388527834</v>
      </c>
      <c r="Q22" s="8">
        <f t="shared" si="43"/>
        <v>0.16030320044918586</v>
      </c>
      <c r="R22" s="8">
        <f t="shared" si="43"/>
        <v>0.18593500266382526</v>
      </c>
      <c r="S22" s="8">
        <f t="shared" si="43"/>
        <v>0.21432003844305622</v>
      </c>
      <c r="T22" s="8">
        <f t="shared" si="43"/>
        <v>0.19080111195350014</v>
      </c>
      <c r="U22" s="8">
        <f t="shared" si="43"/>
        <v>0.19135381114903299</v>
      </c>
      <c r="V22" s="8">
        <f t="shared" si="43"/>
        <v>0.24125426621160409</v>
      </c>
      <c r="W22" s="8">
        <f t="shared" si="43"/>
        <v>0.24835335141418055</v>
      </c>
      <c r="X22" s="8">
        <f t="shared" si="43"/>
        <v>0.26692941597993552</v>
      </c>
      <c r="Y22" s="8">
        <f t="shared" si="43"/>
        <v>0.27695287282117498</v>
      </c>
      <c r="Z22" s="8">
        <f t="shared" si="43"/>
        <v>0.28512199011321959</v>
      </c>
      <c r="AB22" s="8">
        <f t="shared" ref="AB22:BB22" si="44">+AB16/AB4</f>
        <v>0.15898383371824482</v>
      </c>
      <c r="AC22" s="8">
        <f t="shared" si="44"/>
        <v>0.23622480566829471</v>
      </c>
      <c r="AD22" s="8">
        <f t="shared" si="44"/>
        <v>0.18186171804848847</v>
      </c>
      <c r="AE22" s="8">
        <f t="shared" si="44"/>
        <v>0.18524096385542169</v>
      </c>
      <c r="AF22" s="8">
        <f t="shared" si="44"/>
        <v>0.2103825136612022</v>
      </c>
      <c r="AG22" s="8">
        <f t="shared" si="44"/>
        <v>0.22302454679503866</v>
      </c>
      <c r="AH22" s="8">
        <f t="shared" si="44"/>
        <v>0.23642624858657724</v>
      </c>
      <c r="AI22" s="8">
        <f t="shared" si="44"/>
        <v>0.25063326805946678</v>
      </c>
      <c r="AJ22" s="8">
        <f t="shared" si="44"/>
        <v>0.26569399731927607</v>
      </c>
      <c r="AK22" s="8">
        <f t="shared" si="44"/>
        <v>0.28165973638721442</v>
      </c>
      <c r="AL22" s="8">
        <f t="shared" si="44"/>
        <v>0.29858486793882705</v>
      </c>
      <c r="AM22" s="8">
        <f t="shared" si="44"/>
        <v>0.3165270425428609</v>
      </c>
      <c r="AN22" s="8">
        <f t="shared" si="44"/>
        <v>0.33554737503126408</v>
      </c>
      <c r="AO22" s="8">
        <f t="shared" si="44"/>
        <v>0.35571065266919721</v>
      </c>
      <c r="AP22" s="8">
        <f t="shared" si="44"/>
        <v>0.37708555583412623</v>
      </c>
      <c r="AQ22" s="8">
        <f t="shared" si="44"/>
        <v>0.39974489195567808</v>
      </c>
      <c r="AR22" s="8">
        <f t="shared" si="44"/>
        <v>0.42376584351310542</v>
      </c>
      <c r="AS22" s="8">
        <f t="shared" si="44"/>
        <v>0.44923023093509479</v>
      </c>
      <c r="AT22" s="8">
        <f t="shared" si="44"/>
        <v>0.4762247912974078</v>
      </c>
      <c r="AU22" s="8">
        <f t="shared" si="44"/>
        <v>0.5048414737676602</v>
      </c>
      <c r="AV22" s="8">
        <f t="shared" si="44"/>
        <v>0.53517775280358548</v>
      </c>
      <c r="AW22" s="8">
        <f t="shared" si="44"/>
        <v>0.56733696017160151</v>
      </c>
      <c r="AX22" s="8">
        <f t="shared" si="44"/>
        <v>0.60142863691660697</v>
      </c>
      <c r="AY22" s="8">
        <f t="shared" si="44"/>
        <v>0.63756890648189068</v>
      </c>
      <c r="AZ22" s="8">
        <f t="shared" si="44"/>
        <v>0.67588087025007693</v>
      </c>
      <c r="BA22" s="8">
        <f t="shared" si="44"/>
        <v>0.71649502685240563</v>
      </c>
      <c r="BB22" s="8">
        <f t="shared" si="44"/>
        <v>0.75954971667460236</v>
      </c>
    </row>
    <row r="23" spans="2:54" x14ac:dyDescent="0.2">
      <c r="B23" s="1" t="s">
        <v>37</v>
      </c>
      <c r="C23" s="8">
        <f t="shared" ref="C23:J23" si="45">+C15/C14</f>
        <v>8.9171974522292988E-2</v>
      </c>
      <c r="D23" s="8">
        <f t="shared" si="45"/>
        <v>0.189873417721519</v>
      </c>
      <c r="E23" s="8">
        <f t="shared" si="45"/>
        <v>0.10460992907801418</v>
      </c>
      <c r="F23" s="8">
        <f t="shared" si="45"/>
        <v>0.17567567567567569</v>
      </c>
      <c r="G23" s="8">
        <f t="shared" si="45"/>
        <v>8.8197146562905324E-2</v>
      </c>
      <c r="H23" s="8">
        <f t="shared" si="45"/>
        <v>9.2511013215859028E-2</v>
      </c>
      <c r="I23" s="8">
        <f t="shared" si="45"/>
        <v>5.4192229038854803E-2</v>
      </c>
      <c r="J23" s="8">
        <f t="shared" si="45"/>
        <v>8.5661080074487903E-2</v>
      </c>
      <c r="K23" s="8">
        <f>+K15/K14</f>
        <v>0.86052409129332208</v>
      </c>
      <c r="L23" s="8">
        <f t="shared" ref="L23:N23" si="46">+L15/L14</f>
        <v>0.12767644726407612</v>
      </c>
      <c r="M23" s="8">
        <f t="shared" si="46"/>
        <v>5.6638811513463325E-2</v>
      </c>
      <c r="N23" s="8">
        <f t="shared" si="46"/>
        <v>0.13485714285714287</v>
      </c>
      <c r="O23" s="8">
        <f t="shared" ref="O23:R23" si="47">+O15/O14</f>
        <v>0.13175675675675674</v>
      </c>
      <c r="P23" s="8">
        <f t="shared" si="47"/>
        <v>0.1225296442687747</v>
      </c>
      <c r="Q23" s="8">
        <f t="shared" si="47"/>
        <v>0.26982097186700765</v>
      </c>
      <c r="R23" s="8">
        <f t="shared" si="47"/>
        <v>0.16904761904761906</v>
      </c>
      <c r="S23" s="8">
        <f>+S15/S14</f>
        <v>0.11243781094527364</v>
      </c>
      <c r="T23" s="8">
        <f t="shared" ref="T23:Y23" si="48">+T15/T14</f>
        <v>0.14009111617312073</v>
      </c>
      <c r="U23" s="8">
        <f t="shared" si="48"/>
        <v>0.19134615384615383</v>
      </c>
      <c r="V23" s="8">
        <f t="shared" si="48"/>
        <v>9.010458567980692E-2</v>
      </c>
      <c r="W23" s="8">
        <f t="shared" si="48"/>
        <v>7.9022988505747127E-2</v>
      </c>
      <c r="X23" s="8">
        <f t="shared" si="48"/>
        <v>0.12609970674486803</v>
      </c>
      <c r="Y23" s="8">
        <f t="shared" si="48"/>
        <v>0.13333333333333333</v>
      </c>
      <c r="Z23" s="8">
        <f t="shared" ref="Z23" si="49">+Z15/Z14</f>
        <v>6.9234773555439874E-2</v>
      </c>
      <c r="AB23" s="8">
        <f t="shared" ref="AB23:AE23" si="50">+AB15/AB14</f>
        <v>0.14505712866368603</v>
      </c>
      <c r="AC23" s="8">
        <f t="shared" si="50"/>
        <v>7.9603323505762533E-2</v>
      </c>
      <c r="AD23" s="8">
        <f t="shared" si="50"/>
        <v>0.30891719745222929</v>
      </c>
      <c r="AE23" s="8">
        <f t="shared" si="50"/>
        <v>0.17222392168858977</v>
      </c>
      <c r="AF23" s="8">
        <f>+AF15/AF14</f>
        <v>0.1313010081613058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2:54" x14ac:dyDescent="0.2">
      <c r="B24" s="1" t="s">
        <v>97</v>
      </c>
      <c r="AB24" s="8">
        <f t="shared" ref="AB24:BB24" si="51">+AB5/AB4</f>
        <v>0.58327944572748269</v>
      </c>
      <c r="AC24" s="8">
        <f t="shared" si="51"/>
        <v>0.55066382334732067</v>
      </c>
      <c r="AD24" s="8">
        <f t="shared" si="51"/>
        <v>0.55001496557916796</v>
      </c>
      <c r="AE24" s="8">
        <f t="shared" si="51"/>
        <v>0.56284227820372401</v>
      </c>
      <c r="AF24" s="8">
        <f t="shared" si="51"/>
        <v>0.55284269271014996</v>
      </c>
      <c r="AG24" s="8">
        <f t="shared" si="51"/>
        <v>0.56000000000000005</v>
      </c>
      <c r="AH24" s="8">
        <f t="shared" si="51"/>
        <v>0.56000000000000005</v>
      </c>
      <c r="AI24" s="8">
        <f t="shared" si="51"/>
        <v>0.56000000000000005</v>
      </c>
      <c r="AJ24" s="8">
        <f t="shared" si="51"/>
        <v>0.56000000000000005</v>
      </c>
      <c r="AK24" s="8">
        <f t="shared" si="51"/>
        <v>0.6</v>
      </c>
      <c r="AL24" s="8">
        <f t="shared" si="51"/>
        <v>0.6</v>
      </c>
      <c r="AM24" s="8">
        <f t="shared" si="51"/>
        <v>0.6</v>
      </c>
      <c r="AN24" s="8">
        <f t="shared" si="51"/>
        <v>0.6</v>
      </c>
      <c r="AO24" s="8">
        <f t="shared" si="51"/>
        <v>0.6</v>
      </c>
      <c r="AP24" s="8">
        <f t="shared" si="51"/>
        <v>0.6</v>
      </c>
      <c r="AQ24" s="8">
        <f t="shared" si="51"/>
        <v>0.6</v>
      </c>
      <c r="AR24" s="8">
        <f t="shared" si="51"/>
        <v>0.6</v>
      </c>
      <c r="AS24" s="8">
        <f t="shared" si="51"/>
        <v>0.6</v>
      </c>
      <c r="AT24" s="8">
        <f t="shared" si="51"/>
        <v>0.6</v>
      </c>
      <c r="AU24" s="8">
        <f t="shared" si="51"/>
        <v>0.6</v>
      </c>
      <c r="AV24" s="8">
        <f t="shared" si="51"/>
        <v>0.6</v>
      </c>
      <c r="AW24" s="8">
        <f t="shared" si="51"/>
        <v>0.6</v>
      </c>
      <c r="AX24" s="8">
        <f t="shared" si="51"/>
        <v>0.6</v>
      </c>
      <c r="AY24" s="8">
        <f t="shared" si="51"/>
        <v>0.6</v>
      </c>
      <c r="AZ24" s="8">
        <f t="shared" si="51"/>
        <v>0.6</v>
      </c>
      <c r="BA24" s="8">
        <f t="shared" si="51"/>
        <v>0.6</v>
      </c>
      <c r="BB24" s="8">
        <f t="shared" si="51"/>
        <v>0.6</v>
      </c>
    </row>
    <row r="26" spans="2:54" x14ac:dyDescent="0.2">
      <c r="B26" s="1" t="s">
        <v>34</v>
      </c>
      <c r="G26" s="8">
        <f t="shared" ref="G26:Z26" si="52">+G4/C4-1</f>
        <v>0.45237040319007527</v>
      </c>
      <c r="H26" s="8">
        <f t="shared" si="52"/>
        <v>0.44734693877551024</v>
      </c>
      <c r="I26" s="8">
        <f t="shared" si="52"/>
        <v>0.32718894009216593</v>
      </c>
      <c r="J26" s="8">
        <f t="shared" si="52"/>
        <v>0.20382165605095537</v>
      </c>
      <c r="K26" s="8">
        <f t="shared" si="52"/>
        <v>0.28279438682123237</v>
      </c>
      <c r="L26" s="8">
        <f t="shared" si="52"/>
        <v>0.29131415679639039</v>
      </c>
      <c r="M26" s="8">
        <f t="shared" si="52"/>
        <v>0.11164529914529919</v>
      </c>
      <c r="N26" s="8">
        <f t="shared" si="52"/>
        <v>-5.2910052910052907E-2</v>
      </c>
      <c r="O26" s="8">
        <f t="shared" si="52"/>
        <v>-0.10749108204518432</v>
      </c>
      <c r="P26" s="8">
        <f t="shared" si="52"/>
        <v>-0.22712382616291771</v>
      </c>
      <c r="Q26" s="8">
        <f t="shared" si="52"/>
        <v>-0.14416146083613646</v>
      </c>
      <c r="R26" s="8">
        <f t="shared" si="52"/>
        <v>-1.330140994945439E-3</v>
      </c>
      <c r="S26" s="8">
        <f t="shared" si="52"/>
        <v>0.10897948308020244</v>
      </c>
      <c r="T26" s="8">
        <f t="shared" si="52"/>
        <v>0.11811246114721663</v>
      </c>
      <c r="U26" s="8">
        <f t="shared" si="52"/>
        <v>0.23385738349242002</v>
      </c>
      <c r="V26" s="8">
        <f t="shared" si="52"/>
        <v>0.24880127863612156</v>
      </c>
      <c r="W26" s="8">
        <f t="shared" si="52"/>
        <v>0.24026910139356072</v>
      </c>
      <c r="X26" s="8">
        <f t="shared" si="52"/>
        <v>0.41066464493303001</v>
      </c>
      <c r="Y26" s="8">
        <f t="shared" si="52"/>
        <v>0.40978384527872591</v>
      </c>
      <c r="Z26" s="8">
        <f t="shared" si="52"/>
        <v>0.33767064846416384</v>
      </c>
      <c r="AA26" s="9"/>
      <c r="AB26" s="8"/>
      <c r="AC26" s="8">
        <f>+AC4/AB4-1</f>
        <v>0.34290993071593534</v>
      </c>
      <c r="AD26" s="8">
        <f>+AD4/AC4-1</f>
        <v>0.14913668569856231</v>
      </c>
      <c r="AE26" s="8">
        <f>+AE4/AD4-1</f>
        <v>-0.12553127806046094</v>
      </c>
      <c r="AF26" s="8">
        <f>+AF4/AE4-1</f>
        <v>0.17757393209200445</v>
      </c>
    </row>
    <row r="27" spans="2:54" x14ac:dyDescent="0.2">
      <c r="B27" s="1" t="s">
        <v>38</v>
      </c>
      <c r="G27" s="8">
        <f t="shared" ref="G27:P29" si="53">+G7/C7-1</f>
        <v>0.11497326203208558</v>
      </c>
      <c r="H27" s="8">
        <f t="shared" si="53"/>
        <v>0.13212435233160624</v>
      </c>
      <c r="I27" s="8">
        <f t="shared" si="53"/>
        <v>0.17616580310880825</v>
      </c>
      <c r="J27" s="8">
        <f t="shared" si="53"/>
        <v>0.18274111675126914</v>
      </c>
      <c r="K27" s="8">
        <f t="shared" si="53"/>
        <v>0.17266187050359716</v>
      </c>
      <c r="L27" s="8">
        <f t="shared" si="53"/>
        <v>0.16475972540045758</v>
      </c>
      <c r="M27" s="8">
        <f t="shared" si="53"/>
        <v>0.11233480176211463</v>
      </c>
      <c r="N27" s="8">
        <f t="shared" si="53"/>
        <v>0.11373390557939911</v>
      </c>
      <c r="O27" s="8">
        <f t="shared" si="53"/>
        <v>5.5214723926380271E-2</v>
      </c>
      <c r="P27" s="8">
        <f t="shared" si="53"/>
        <v>-1.9646365422396617E-3</v>
      </c>
      <c r="Q27" s="8">
        <f t="shared" ref="Q27:Z29" si="54">+Q7/M7-1</f>
        <v>1.980198019801982E-2</v>
      </c>
      <c r="R27" s="8">
        <f t="shared" si="54"/>
        <v>-7.7071290944122905E-3</v>
      </c>
      <c r="S27" s="8">
        <f t="shared" si="54"/>
        <v>6.9767441860465018E-2</v>
      </c>
      <c r="T27" s="8">
        <f t="shared" si="54"/>
        <v>8.2677165354330784E-2</v>
      </c>
      <c r="U27" s="8">
        <f t="shared" si="54"/>
        <v>0.11067961165048534</v>
      </c>
      <c r="V27" s="8">
        <f t="shared" si="54"/>
        <v>8.737864077669899E-2</v>
      </c>
      <c r="W27" s="8">
        <f t="shared" si="54"/>
        <v>9.7826086956521729E-2</v>
      </c>
      <c r="X27" s="8">
        <f t="shared" si="54"/>
        <v>0.12181818181818183</v>
      </c>
      <c r="Y27" s="8">
        <f t="shared" si="54"/>
        <v>0.11888111888111896</v>
      </c>
      <c r="Z27" s="8">
        <f t="shared" si="54"/>
        <v>0.16785714285714293</v>
      </c>
      <c r="AA27" s="9"/>
      <c r="AC27" s="8">
        <f t="shared" ref="AC27:AF29" si="55">+AC7/AB7-1</f>
        <v>0.15194805194805205</v>
      </c>
      <c r="AD27" s="8">
        <f t="shared" si="55"/>
        <v>0.13979706877113873</v>
      </c>
      <c r="AE27" s="8">
        <f t="shared" si="55"/>
        <v>1.5825914935707175E-2</v>
      </c>
      <c r="AF27" s="8">
        <f t="shared" si="55"/>
        <v>8.7633885102239573E-2</v>
      </c>
      <c r="AH27" s="8">
        <f>AVERAGE(AC27:AF27)</f>
        <v>9.8801230189284384E-2</v>
      </c>
    </row>
    <row r="28" spans="2:54" x14ac:dyDescent="0.2">
      <c r="B28" s="1" t="s">
        <v>39</v>
      </c>
      <c r="G28" s="8">
        <f t="shared" si="53"/>
        <v>0.1132075471698113</v>
      </c>
      <c r="H28" s="8">
        <f t="shared" si="53"/>
        <v>0.13725490196078427</v>
      </c>
      <c r="I28" s="8">
        <f t="shared" si="53"/>
        <v>9.3457943925233655E-2</v>
      </c>
      <c r="J28" s="8">
        <f t="shared" si="53"/>
        <v>-7.8947368421052655E-2</v>
      </c>
      <c r="K28" s="8">
        <f t="shared" si="53"/>
        <v>6.7796610169491567E-2</v>
      </c>
      <c r="L28" s="8">
        <f t="shared" si="53"/>
        <v>0.1206896551724137</v>
      </c>
      <c r="M28" s="8">
        <f t="shared" si="53"/>
        <v>0.17948717948717952</v>
      </c>
      <c r="N28" s="8">
        <f t="shared" si="53"/>
        <v>0.20952380952380945</v>
      </c>
      <c r="O28" s="8">
        <f t="shared" si="53"/>
        <v>3.9682539682539764E-2</v>
      </c>
      <c r="P28" s="8">
        <f t="shared" si="53"/>
        <v>2.3076923076922995E-2</v>
      </c>
      <c r="Q28" s="8">
        <f t="shared" si="54"/>
        <v>-7.2463768115942018E-2</v>
      </c>
      <c r="R28" s="8">
        <f t="shared" si="54"/>
        <v>1.5748031496062964E-2</v>
      </c>
      <c r="S28" s="8">
        <f t="shared" si="54"/>
        <v>3.0534351145038219E-2</v>
      </c>
      <c r="T28" s="8">
        <f t="shared" si="54"/>
        <v>-2.2556390977443663E-2</v>
      </c>
      <c r="U28" s="8">
        <f t="shared" si="54"/>
        <v>1.5625E-2</v>
      </c>
      <c r="V28" s="8">
        <f t="shared" si="54"/>
        <v>1.5503875968992276E-2</v>
      </c>
      <c r="W28" s="8">
        <f t="shared" si="54"/>
        <v>8.8888888888888795E-2</v>
      </c>
      <c r="X28" s="8">
        <f t="shared" si="54"/>
        <v>0.13846153846153841</v>
      </c>
      <c r="Y28" s="8">
        <f t="shared" si="54"/>
        <v>0.22307692307692317</v>
      </c>
      <c r="Z28" s="8">
        <f t="shared" si="54"/>
        <v>0.27480916030534353</v>
      </c>
      <c r="AA28" s="9"/>
      <c r="AC28" s="8">
        <f t="shared" si="55"/>
        <v>6.2937062937062915E-2</v>
      </c>
      <c r="AD28" s="8">
        <f t="shared" si="55"/>
        <v>0.14254385964912286</v>
      </c>
      <c r="AE28" s="8">
        <f t="shared" si="55"/>
        <v>0</v>
      </c>
      <c r="AF28" s="8">
        <f t="shared" si="55"/>
        <v>9.5969289827255722E-3</v>
      </c>
      <c r="AH28" s="8">
        <f>AVERAGE(AC28:AF28)</f>
        <v>5.3769462892227837E-2</v>
      </c>
    </row>
    <row r="29" spans="2:54" x14ac:dyDescent="0.2">
      <c r="B29" s="1" t="s">
        <v>40</v>
      </c>
      <c r="G29" s="8">
        <f t="shared" si="53"/>
        <v>0.25609756097560976</v>
      </c>
      <c r="H29" s="8">
        <f t="shared" si="53"/>
        <v>0.17582417582417587</v>
      </c>
      <c r="I29" s="8">
        <f t="shared" si="53"/>
        <v>2.9126213592232997E-2</v>
      </c>
      <c r="J29" s="8">
        <f t="shared" si="53"/>
        <v>3.5087719298245723E-2</v>
      </c>
      <c r="K29" s="8">
        <f t="shared" si="53"/>
        <v>6.7961165048543659E-2</v>
      </c>
      <c r="L29" s="8">
        <f t="shared" si="53"/>
        <v>0.16822429906542058</v>
      </c>
      <c r="M29" s="8">
        <f t="shared" si="53"/>
        <v>0.20754716981132071</v>
      </c>
      <c r="N29" s="8">
        <f t="shared" si="53"/>
        <v>1.6949152542372836E-2</v>
      </c>
      <c r="O29" s="8">
        <f t="shared" si="53"/>
        <v>0</v>
      </c>
      <c r="P29" s="8">
        <f t="shared" si="53"/>
        <v>-9.5999999999999974E-2</v>
      </c>
      <c r="Q29" s="8">
        <f t="shared" si="54"/>
        <v>-0.125</v>
      </c>
      <c r="R29" s="8">
        <f t="shared" si="54"/>
        <v>5.0000000000000044E-2</v>
      </c>
      <c r="S29" s="8">
        <f t="shared" si="54"/>
        <v>0.17272727272727262</v>
      </c>
      <c r="T29" s="8">
        <f t="shared" si="54"/>
        <v>0.21238938053097356</v>
      </c>
      <c r="U29" s="8">
        <f t="shared" si="54"/>
        <v>0.29464285714285721</v>
      </c>
      <c r="V29" s="8">
        <f t="shared" si="54"/>
        <v>0.23809523809523814</v>
      </c>
      <c r="W29" s="8">
        <f t="shared" si="54"/>
        <v>0.24806201550387597</v>
      </c>
      <c r="X29" s="8">
        <f t="shared" si="54"/>
        <v>8.7591240875912302E-2</v>
      </c>
      <c r="Y29" s="8">
        <f t="shared" si="54"/>
        <v>6.8965517241379226E-2</v>
      </c>
      <c r="Z29" s="8">
        <f t="shared" si="54"/>
        <v>6.4102564102564097E-2</v>
      </c>
      <c r="AA29" s="9"/>
      <c r="AC29" s="8">
        <f t="shared" si="55"/>
        <v>0.11282051282051286</v>
      </c>
      <c r="AD29" s="8">
        <f t="shared" si="55"/>
        <v>0.11290322580645151</v>
      </c>
      <c r="AE29" s="8">
        <f t="shared" si="55"/>
        <v>-4.554865424430643E-2</v>
      </c>
      <c r="AF29" s="8">
        <f t="shared" si="55"/>
        <v>0.22993492407809102</v>
      </c>
      <c r="AG29" s="8"/>
      <c r="AH29" s="8">
        <f>AVERAGE(AC29:AF29)</f>
        <v>0.10252750211518724</v>
      </c>
    </row>
    <row r="30" spans="2:54" x14ac:dyDescent="0.2">
      <c r="B30" s="1" t="s">
        <v>69</v>
      </c>
      <c r="G30" s="8">
        <f t="shared" ref="G30:Y30" si="56">+G16/C16-1</f>
        <v>1.4580419580419579</v>
      </c>
      <c r="H30" s="8">
        <f t="shared" si="56"/>
        <v>1.5750000000000002</v>
      </c>
      <c r="I30" s="8">
        <f t="shared" si="56"/>
        <v>0.83168316831683176</v>
      </c>
      <c r="J30" s="8">
        <f t="shared" si="56"/>
        <v>0.60983606557377046</v>
      </c>
      <c r="K30" s="8">
        <f t="shared" si="56"/>
        <v>-0.76529160739687052</v>
      </c>
      <c r="L30" s="8">
        <f t="shared" si="56"/>
        <v>0.33495145631067968</v>
      </c>
      <c r="M30" s="8">
        <f t="shared" si="56"/>
        <v>9.8378378378378484E-2</v>
      </c>
      <c r="N30" s="8">
        <f t="shared" si="56"/>
        <v>-0.22912423625254585</v>
      </c>
      <c r="O30" s="8">
        <f t="shared" si="56"/>
        <v>3.6727272727272728</v>
      </c>
      <c r="P30" s="8">
        <f t="shared" si="56"/>
        <v>-0.39454545454545453</v>
      </c>
      <c r="Q30" s="8">
        <f t="shared" si="56"/>
        <v>-0.43799212598425197</v>
      </c>
      <c r="R30" s="8">
        <f t="shared" si="56"/>
        <v>-7.7939233817701403E-2</v>
      </c>
      <c r="S30" s="8">
        <f t="shared" si="56"/>
        <v>0.15693904020752281</v>
      </c>
      <c r="T30" s="8">
        <f t="shared" si="56"/>
        <v>0.13363363363363367</v>
      </c>
      <c r="U30" s="8">
        <f t="shared" si="56"/>
        <v>0.47285464098073549</v>
      </c>
      <c r="V30" s="8">
        <f t="shared" si="56"/>
        <v>0.62034383954154726</v>
      </c>
      <c r="W30" s="8">
        <f t="shared" si="56"/>
        <v>0.43721973094170408</v>
      </c>
      <c r="X30" s="8">
        <f t="shared" si="56"/>
        <v>0.97350993377483452</v>
      </c>
      <c r="Y30" s="8">
        <f t="shared" si="56"/>
        <v>1.0404280618311534</v>
      </c>
      <c r="Z30" s="8">
        <f>+Z16/V16-1</f>
        <v>0.58090185676392569</v>
      </c>
      <c r="AA30" s="9"/>
      <c r="AC30" s="8">
        <f>+AC16/AB16-1</f>
        <v>0.9953515398024404</v>
      </c>
      <c r="AD30" s="8">
        <f>+AD16/AC16-1</f>
        <v>-0.11531741409435059</v>
      </c>
      <c r="AE30" s="8">
        <f>+AE16/AD16-1</f>
        <v>-0.10928242264647792</v>
      </c>
      <c r="AF30" s="8">
        <f>+AF16/AE16-1</f>
        <v>0.33739837398373984</v>
      </c>
    </row>
    <row r="34" spans="2:35" x14ac:dyDescent="0.2">
      <c r="AH34" s="8"/>
    </row>
    <row r="35" spans="2:35" x14ac:dyDescent="0.2">
      <c r="AH35" s="1" t="s">
        <v>73</v>
      </c>
      <c r="AI35" s="8">
        <v>0.02</v>
      </c>
    </row>
    <row r="36" spans="2:35" x14ac:dyDescent="0.2">
      <c r="AD36" s="5">
        <f>+SUM(W4:Z4)</f>
        <v>23211</v>
      </c>
      <c r="AH36" s="1" t="s">
        <v>74</v>
      </c>
      <c r="AI36" s="9">
        <v>0.04</v>
      </c>
    </row>
    <row r="37" spans="2:35" x14ac:dyDescent="0.2">
      <c r="AH37" s="1" t="s">
        <v>75</v>
      </c>
      <c r="AI37" s="5">
        <f>NPV(AI36,AB16:CI16)</f>
        <v>189260.75202500238</v>
      </c>
    </row>
    <row r="38" spans="2:35" s="3" customFormat="1" ht="15" x14ac:dyDescent="0.25">
      <c r="B38" s="3" t="s">
        <v>111</v>
      </c>
      <c r="U38" s="4">
        <f>+U39-U48</f>
        <v>1828</v>
      </c>
      <c r="Y38" s="4">
        <f>+Y39-Y48</f>
        <v>2717</v>
      </c>
      <c r="AH38" s="1" t="s">
        <v>76</v>
      </c>
      <c r="AI38" s="5">
        <v>2717</v>
      </c>
    </row>
    <row r="39" spans="2:35" x14ac:dyDescent="0.2">
      <c r="B39" s="1" t="s">
        <v>3</v>
      </c>
      <c r="U39" s="5">
        <f>5351+387+1538</f>
        <v>7276</v>
      </c>
      <c r="Y39" s="5">
        <f>6066+444+1658</f>
        <v>8168</v>
      </c>
      <c r="AI39" s="5">
        <f>+AI37+AI38</f>
        <v>191977.75202500238</v>
      </c>
    </row>
    <row r="40" spans="2:35" x14ac:dyDescent="0.2">
      <c r="B40" s="1" t="s">
        <v>99</v>
      </c>
      <c r="U40" s="5">
        <v>2963</v>
      </c>
      <c r="Y40" s="5">
        <v>3822</v>
      </c>
      <c r="AH40" s="1" t="s">
        <v>77</v>
      </c>
      <c r="AI40" s="7">
        <f>+AI39/902</f>
        <v>212.83564526053479</v>
      </c>
    </row>
    <row r="41" spans="2:35" x14ac:dyDescent="0.2">
      <c r="B41" s="1" t="s">
        <v>100</v>
      </c>
      <c r="U41" s="5">
        <v>3904</v>
      </c>
      <c r="Y41" s="5">
        <v>4117</v>
      </c>
      <c r="AI41" s="1">
        <v>156.27000000000001</v>
      </c>
    </row>
    <row r="42" spans="2:35" x14ac:dyDescent="0.2">
      <c r="B42" s="1" t="s">
        <v>101</v>
      </c>
      <c r="U42" s="5">
        <v>764</v>
      </c>
      <c r="Y42" s="5">
        <v>799</v>
      </c>
      <c r="AI42" s="8">
        <f>+AI40/AI41-1</f>
        <v>0.36197379702140386</v>
      </c>
    </row>
    <row r="43" spans="2:35" x14ac:dyDescent="0.2">
      <c r="B43" s="1" t="s">
        <v>102</v>
      </c>
      <c r="U43" s="5">
        <v>1604</v>
      </c>
      <c r="Y43" s="5">
        <v>1814</v>
      </c>
    </row>
    <row r="44" spans="2:35" x14ac:dyDescent="0.2">
      <c r="B44" s="1" t="s">
        <v>103</v>
      </c>
      <c r="U44" s="5">
        <f>3466+153</f>
        <v>3619</v>
      </c>
      <c r="Y44" s="5">
        <f>116+3479</f>
        <v>3595</v>
      </c>
    </row>
    <row r="45" spans="2:35" x14ac:dyDescent="0.2">
      <c r="B45" s="1" t="s">
        <v>104</v>
      </c>
      <c r="U45" s="5">
        <v>2223</v>
      </c>
      <c r="Y45" s="5">
        <v>2164</v>
      </c>
    </row>
    <row r="46" spans="2:35" x14ac:dyDescent="0.2">
      <c r="B46" s="1" t="s">
        <v>105</v>
      </c>
      <c r="U46" s="5">
        <f>SUM(U39:U45)</f>
        <v>22353</v>
      </c>
      <c r="Y46" s="5">
        <f>SUM(Y39:Y45)</f>
        <v>24479</v>
      </c>
    </row>
    <row r="47" spans="2:35" x14ac:dyDescent="0.2">
      <c r="U47" s="5"/>
      <c r="Y47" s="5"/>
    </row>
    <row r="48" spans="2:35" x14ac:dyDescent="0.2">
      <c r="B48" s="1" t="s">
        <v>4</v>
      </c>
      <c r="U48" s="5">
        <v>5448</v>
      </c>
      <c r="Y48" s="5">
        <v>5451</v>
      </c>
    </row>
    <row r="49" spans="2:25" x14ac:dyDescent="0.2">
      <c r="B49" s="1" t="s">
        <v>106</v>
      </c>
      <c r="U49" s="5">
        <v>3138</v>
      </c>
      <c r="Y49" s="5">
        <v>3437</v>
      </c>
    </row>
    <row r="50" spans="2:25" x14ac:dyDescent="0.2">
      <c r="B50" s="1" t="s">
        <v>107</v>
      </c>
      <c r="U50" s="5">
        <v>1321</v>
      </c>
      <c r="Y50" s="5">
        <v>1688</v>
      </c>
    </row>
    <row r="51" spans="2:25" x14ac:dyDescent="0.2">
      <c r="B51" s="1" t="s">
        <v>108</v>
      </c>
      <c r="U51" s="5">
        <v>1206</v>
      </c>
      <c r="Y51" s="5">
        <v>1144</v>
      </c>
    </row>
    <row r="52" spans="2:25" x14ac:dyDescent="0.2">
      <c r="B52" s="1" t="s">
        <v>109</v>
      </c>
      <c r="U52" s="5">
        <v>662</v>
      </c>
      <c r="Y52" s="5">
        <v>699</v>
      </c>
    </row>
    <row r="53" spans="2:25" x14ac:dyDescent="0.2">
      <c r="B53" s="1" t="s">
        <v>110</v>
      </c>
      <c r="U53" s="5">
        <f>+SUM(U48:U52)</f>
        <v>11775</v>
      </c>
      <c r="Y53" s="5">
        <f>+SUM(Y48:Y52)</f>
        <v>12419</v>
      </c>
    </row>
    <row r="54" spans="2:25" x14ac:dyDescent="0.2">
      <c r="B54" s="1" t="s">
        <v>112</v>
      </c>
      <c r="U54" s="5">
        <f>+U53+10578</f>
        <v>22353</v>
      </c>
      <c r="Y54" s="5">
        <f>+Y53+12060</f>
        <v>24479</v>
      </c>
    </row>
    <row r="55" spans="2:25" x14ac:dyDescent="0.2">
      <c r="U55" s="1">
        <f>+U49/U54</f>
        <v>0.140383841095155</v>
      </c>
      <c r="Y55" s="1">
        <f>+Y49/Y54</f>
        <v>0.14040606233914785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94B0-C80C-4C3A-BF97-B611DA0FE7E4}">
  <dimension ref="B2:O22"/>
  <sheetViews>
    <sheetView workbookViewId="0">
      <selection activeCell="B34" sqref="B34"/>
    </sheetView>
  </sheetViews>
  <sheetFormatPr defaultRowHeight="14.25" x14ac:dyDescent="0.2"/>
  <cols>
    <col min="1" max="1" width="9.140625" style="10"/>
    <col min="2" max="2" width="20.28515625" style="10" bestFit="1" customWidth="1"/>
    <col min="3" max="16384" width="9.140625" style="10"/>
  </cols>
  <sheetData>
    <row r="2" spans="2:15" x14ac:dyDescent="0.2"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6</v>
      </c>
      <c r="N2" s="10" t="s">
        <v>22</v>
      </c>
      <c r="O2" s="10" t="s">
        <v>117</v>
      </c>
    </row>
    <row r="3" spans="2:15" s="3" customFormat="1" ht="15" x14ac:dyDescent="0.25">
      <c r="B3" s="3" t="s">
        <v>7</v>
      </c>
      <c r="K3" s="4">
        <v>5162</v>
      </c>
      <c r="O3" s="4">
        <v>6271</v>
      </c>
    </row>
    <row r="4" spans="2:15" x14ac:dyDescent="0.2">
      <c r="B4" s="10" t="s">
        <v>23</v>
      </c>
      <c r="K4" s="11">
        <v>2813</v>
      </c>
      <c r="O4" s="11">
        <v>3312</v>
      </c>
    </row>
    <row r="5" spans="2:15" x14ac:dyDescent="0.2">
      <c r="B5" s="10" t="s">
        <v>24</v>
      </c>
      <c r="K5" s="11">
        <f>+K3-K4</f>
        <v>2349</v>
      </c>
      <c r="O5" s="11">
        <f>+O3-O4</f>
        <v>2959</v>
      </c>
    </row>
    <row r="6" spans="2:15" x14ac:dyDescent="0.2">
      <c r="B6" s="10" t="s">
        <v>25</v>
      </c>
      <c r="K6" s="11">
        <v>606</v>
      </c>
      <c r="O6" s="11">
        <v>654</v>
      </c>
    </row>
    <row r="7" spans="2:15" x14ac:dyDescent="0.2">
      <c r="B7" s="10" t="s">
        <v>118</v>
      </c>
      <c r="K7" s="11">
        <v>147</v>
      </c>
      <c r="O7" s="11">
        <v>167</v>
      </c>
    </row>
    <row r="8" spans="2:15" x14ac:dyDescent="0.2">
      <c r="B8" s="10" t="s">
        <v>27</v>
      </c>
      <c r="K8" s="11">
        <v>161</v>
      </c>
      <c r="O8" s="11">
        <v>166</v>
      </c>
    </row>
    <row r="9" spans="2:15" x14ac:dyDescent="0.2">
      <c r="B9" s="10" t="s">
        <v>119</v>
      </c>
      <c r="K9" s="11">
        <f>+SUM(K6:K8)</f>
        <v>914</v>
      </c>
      <c r="O9" s="11">
        <f>+SUM(O6:O8)</f>
        <v>987</v>
      </c>
    </row>
    <row r="10" spans="2:15" x14ac:dyDescent="0.2">
      <c r="B10" s="10" t="s">
        <v>29</v>
      </c>
      <c r="K10" s="11">
        <f>+K5-K9</f>
        <v>1435</v>
      </c>
      <c r="O10" s="11">
        <f>+O5-O9</f>
        <v>1972</v>
      </c>
    </row>
    <row r="11" spans="2:15" x14ac:dyDescent="0.2">
      <c r="B11" s="10" t="s">
        <v>120</v>
      </c>
      <c r="K11" s="10">
        <f>+-61+18</f>
        <v>-43</v>
      </c>
      <c r="O11" s="10">
        <f>+-57+6</f>
        <v>-51</v>
      </c>
    </row>
    <row r="12" spans="2:15" x14ac:dyDescent="0.2">
      <c r="B12" s="10" t="s">
        <v>30</v>
      </c>
      <c r="K12" s="11">
        <f>+K10+K11</f>
        <v>1392</v>
      </c>
      <c r="O12" s="11">
        <f>+O10+O11</f>
        <v>1921</v>
      </c>
    </row>
    <row r="13" spans="2:15" x14ac:dyDescent="0.2">
      <c r="B13" s="10" t="s">
        <v>121</v>
      </c>
      <c r="K13" s="10">
        <v>110</v>
      </c>
      <c r="O13" s="10">
        <v>133</v>
      </c>
    </row>
    <row r="14" spans="2:15" s="3" customFormat="1" ht="15" x14ac:dyDescent="0.25">
      <c r="B14" s="3" t="s">
        <v>32</v>
      </c>
      <c r="K14" s="4">
        <f>+K12-K13</f>
        <v>1282</v>
      </c>
      <c r="O14" s="4">
        <f>+O12-O13</f>
        <v>1788</v>
      </c>
    </row>
    <row r="15" spans="2:15" x14ac:dyDescent="0.2">
      <c r="B15" s="10" t="s">
        <v>122</v>
      </c>
      <c r="K15" s="10">
        <v>925</v>
      </c>
      <c r="O15" s="10">
        <v>897</v>
      </c>
    </row>
    <row r="16" spans="2:15" x14ac:dyDescent="0.2">
      <c r="B16" s="10" t="s">
        <v>33</v>
      </c>
      <c r="K16" s="14">
        <f>+K14/K15</f>
        <v>1.385945945945946</v>
      </c>
      <c r="O16" s="14">
        <f>+O14/O15</f>
        <v>1.9933110367892977</v>
      </c>
    </row>
    <row r="18" spans="2:15" x14ac:dyDescent="0.2">
      <c r="B18" s="10" t="s">
        <v>35</v>
      </c>
      <c r="K18" s="15">
        <f>+K5/K3</f>
        <v>0.4550561797752809</v>
      </c>
      <c r="O18" s="15">
        <f>+O5/O3</f>
        <v>0.47185456864933822</v>
      </c>
    </row>
    <row r="19" spans="2:15" x14ac:dyDescent="0.2">
      <c r="B19" s="10" t="s">
        <v>113</v>
      </c>
      <c r="K19" s="15">
        <f>+K10/K3</f>
        <v>0.27799302595893066</v>
      </c>
      <c r="O19" s="15">
        <f>+O10/O3</f>
        <v>0.31446340296603414</v>
      </c>
    </row>
    <row r="20" spans="2:15" x14ac:dyDescent="0.2">
      <c r="B20" s="10" t="s">
        <v>123</v>
      </c>
      <c r="K20" s="15">
        <f>+K13/K12</f>
        <v>7.9022988505747127E-2</v>
      </c>
      <c r="O20" s="15">
        <f>+O13/O12</f>
        <v>6.9234773555439874E-2</v>
      </c>
    </row>
    <row r="22" spans="2:15" x14ac:dyDescent="0.2">
      <c r="B22" s="10" t="s">
        <v>124</v>
      </c>
      <c r="O22" s="15">
        <f>+O3/K3-1</f>
        <v>0.21483920960867886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E276-EE18-4245-9DE0-76DB1B354361}">
  <dimension ref="B2:E4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RowHeight="14.25" x14ac:dyDescent="0.2"/>
  <cols>
    <col min="1" max="1" width="9.85546875" style="10" bestFit="1" customWidth="1"/>
    <col min="2" max="2" width="11.5703125" style="10" bestFit="1" customWidth="1"/>
    <col min="3" max="3" width="64.7109375" style="10" bestFit="1" customWidth="1"/>
    <col min="4" max="4" width="9.28515625" style="10" bestFit="1" customWidth="1"/>
    <col min="5" max="16384" width="9.140625" style="10"/>
  </cols>
  <sheetData>
    <row r="2" spans="2:5" x14ac:dyDescent="0.2">
      <c r="B2" s="10" t="s">
        <v>95</v>
      </c>
      <c r="C2" s="10" t="s">
        <v>54</v>
      </c>
      <c r="D2" s="10" t="s">
        <v>53</v>
      </c>
      <c r="E2" s="10" t="s">
        <v>55</v>
      </c>
    </row>
    <row r="3" spans="2:5" ht="15" x14ac:dyDescent="0.2">
      <c r="B3" s="11">
        <v>6888104</v>
      </c>
      <c r="C3" s="12" t="s">
        <v>57</v>
      </c>
      <c r="D3" s="10">
        <v>2024</v>
      </c>
      <c r="E3" s="13" t="s">
        <v>56</v>
      </c>
    </row>
    <row r="4" spans="2:5" ht="15" x14ac:dyDescent="0.2">
      <c r="B4" s="11">
        <v>6923714</v>
      </c>
      <c r="C4" s="12" t="s">
        <v>58</v>
      </c>
      <c r="D4" s="10">
        <v>2024</v>
      </c>
      <c r="E4" s="13" t="s">
        <v>56</v>
      </c>
    </row>
    <row r="5" spans="2:5" ht="15" x14ac:dyDescent="0.2">
      <c r="B5" s="11">
        <v>6933508</v>
      </c>
      <c r="C5" s="12" t="s">
        <v>72</v>
      </c>
      <c r="D5" s="10">
        <v>2025</v>
      </c>
      <c r="E5" s="13" t="s">
        <v>56</v>
      </c>
    </row>
    <row r="6" spans="2:5" x14ac:dyDescent="0.2">
      <c r="B6" s="11">
        <v>6942753</v>
      </c>
      <c r="C6" s="10" t="s">
        <v>96</v>
      </c>
      <c r="D6" s="10">
        <v>2023</v>
      </c>
    </row>
    <row r="7" spans="2:5" x14ac:dyDescent="0.2">
      <c r="B7" s="11">
        <v>7008484</v>
      </c>
    </row>
    <row r="8" spans="2:5" x14ac:dyDescent="0.2">
      <c r="B8" s="11">
        <v>7008517</v>
      </c>
    </row>
    <row r="9" spans="2:5" x14ac:dyDescent="0.2">
      <c r="B9" s="11">
        <v>7045014</v>
      </c>
    </row>
    <row r="10" spans="2:5" x14ac:dyDescent="0.2">
      <c r="B10" s="11">
        <v>7094139</v>
      </c>
    </row>
    <row r="11" spans="2:5" x14ac:dyDescent="0.2">
      <c r="B11" s="11">
        <v>7221553</v>
      </c>
    </row>
    <row r="12" spans="2:5" x14ac:dyDescent="0.2">
      <c r="B12" s="11">
        <v>7255771</v>
      </c>
    </row>
    <row r="13" spans="2:5" x14ac:dyDescent="0.2">
      <c r="B13" s="11">
        <v>7344434</v>
      </c>
    </row>
    <row r="14" spans="2:5" ht="15" x14ac:dyDescent="0.2">
      <c r="B14" s="11">
        <v>7522822</v>
      </c>
      <c r="C14" s="12" t="s">
        <v>71</v>
      </c>
      <c r="D14" s="10">
        <v>2029</v>
      </c>
      <c r="E14" s="13" t="s">
        <v>56</v>
      </c>
    </row>
    <row r="15" spans="2:5" x14ac:dyDescent="0.2">
      <c r="B15" s="11">
        <v>7575504</v>
      </c>
    </row>
    <row r="16" spans="2:5" x14ac:dyDescent="0.2">
      <c r="B16" s="11">
        <v>7586101</v>
      </c>
    </row>
    <row r="17" spans="2:5" x14ac:dyDescent="0.2">
      <c r="B17" s="11">
        <v>7677958</v>
      </c>
    </row>
    <row r="18" spans="2:5" x14ac:dyDescent="0.2">
      <c r="B18" s="11">
        <v>7699688</v>
      </c>
    </row>
    <row r="19" spans="2:5" x14ac:dyDescent="0.2">
      <c r="B19" s="11">
        <v>7727055</v>
      </c>
    </row>
    <row r="20" spans="2:5" x14ac:dyDescent="0.2">
      <c r="B20" s="11">
        <v>7789736</v>
      </c>
    </row>
    <row r="21" spans="2:5" x14ac:dyDescent="0.2">
      <c r="B21" s="11">
        <v>7824498</v>
      </c>
    </row>
    <row r="22" spans="2:5" ht="15" x14ac:dyDescent="0.2">
      <c r="B22" s="11">
        <v>7842158</v>
      </c>
      <c r="C22" s="12" t="s">
        <v>70</v>
      </c>
      <c r="D22" s="10">
        <v>2030</v>
      </c>
      <c r="E22" s="13" t="s">
        <v>56</v>
      </c>
    </row>
    <row r="23" spans="2:5" x14ac:dyDescent="0.2">
      <c r="B23" s="11">
        <v>7901552</v>
      </c>
    </row>
    <row r="24" spans="2:5" x14ac:dyDescent="0.2">
      <c r="B24" s="11">
        <v>7934979</v>
      </c>
    </row>
    <row r="25" spans="2:5" x14ac:dyDescent="0.2">
      <c r="B25" s="11">
        <v>7950985</v>
      </c>
    </row>
    <row r="26" spans="2:5" x14ac:dyDescent="0.2">
      <c r="B26" s="11">
        <v>8061232</v>
      </c>
    </row>
    <row r="27" spans="2:5" x14ac:dyDescent="0.2">
      <c r="B27" s="11">
        <v>8419893</v>
      </c>
    </row>
    <row r="28" spans="2:5" x14ac:dyDescent="0.2">
      <c r="B28" s="11">
        <v>8454413</v>
      </c>
    </row>
    <row r="29" spans="2:5" x14ac:dyDescent="0.2">
      <c r="B29" s="11">
        <v>8465345</v>
      </c>
    </row>
    <row r="30" spans="2:5" x14ac:dyDescent="0.2">
      <c r="B30" s="11">
        <v>8469776</v>
      </c>
    </row>
    <row r="31" spans="2:5" x14ac:dyDescent="0.2">
      <c r="B31" s="11">
        <v>8647438</v>
      </c>
    </row>
    <row r="32" spans="2:5" x14ac:dyDescent="0.2">
      <c r="B32" s="11">
        <v>8840446</v>
      </c>
    </row>
    <row r="33" spans="2:2" x14ac:dyDescent="0.2">
      <c r="B33" s="11">
        <v>9476122</v>
      </c>
    </row>
    <row r="34" spans="2:2" x14ac:dyDescent="0.2">
      <c r="B34" s="11">
        <v>9543126</v>
      </c>
    </row>
    <row r="35" spans="2:2" x14ac:dyDescent="0.2">
      <c r="B35" s="11">
        <v>9960024</v>
      </c>
    </row>
    <row r="36" spans="2:2" x14ac:dyDescent="0.2">
      <c r="B36" s="11">
        <v>10040168</v>
      </c>
    </row>
    <row r="37" spans="2:2" x14ac:dyDescent="0.2">
      <c r="B37" s="11">
        <v>10347474</v>
      </c>
    </row>
    <row r="38" spans="2:2" x14ac:dyDescent="0.2">
      <c r="B38" s="11">
        <v>10373859</v>
      </c>
    </row>
    <row r="39" spans="2:2" x14ac:dyDescent="0.2">
      <c r="B39" s="11">
        <v>10546733</v>
      </c>
    </row>
    <row r="40" spans="2:2" x14ac:dyDescent="0.2">
      <c r="B40" s="11">
        <v>10662529</v>
      </c>
    </row>
    <row r="41" spans="2:2" x14ac:dyDescent="0.2">
      <c r="B41" s="11">
        <v>10714321</v>
      </c>
    </row>
    <row r="42" spans="2:2" x14ac:dyDescent="0.2">
      <c r="B42" s="11">
        <v>10718049</v>
      </c>
    </row>
    <row r="43" spans="2:2" x14ac:dyDescent="0.2">
      <c r="B43" s="11">
        <v>10731272</v>
      </c>
    </row>
    <row r="44" spans="2:2" x14ac:dyDescent="0.2">
      <c r="B44" s="11">
        <v>10837121</v>
      </c>
    </row>
  </sheetData>
  <hyperlinks>
    <hyperlink ref="E3" r:id="rId1" xr:uid="{DACCDBAA-F42B-4A28-96D4-CAF10FB19AA1}"/>
    <hyperlink ref="E4" r:id="rId2" xr:uid="{95757581-FD82-4EC5-85C7-7449292CD63B}"/>
    <hyperlink ref="E22" r:id="rId3" xr:uid="{C8E8C836-8405-4772-9A02-F6C57C455B5E}"/>
    <hyperlink ref="E14" r:id="rId4" xr:uid="{AA20FDA3-3CF5-4ECA-B110-4EA462ABA366}"/>
    <hyperlink ref="E5" r:id="rId5" xr:uid="{44E28C59-8AF1-4961-940D-691B027A2D45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Modern Model</vt:lpstr>
      <vt:lpstr>Patents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2021-11-14T15:42:11Z</dcterms:created>
  <dcterms:modified xsi:type="dcterms:W3CDTF">2022-05-04T23:47:32Z</dcterms:modified>
</cp:coreProperties>
</file>