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502C0198-8200-4792-A010-30FC0A930D31}" xr6:coauthVersionLast="47" xr6:coauthVersionMax="47" xr10:uidLastSave="{00000000-0000-0000-0000-000000000000}"/>
  <bookViews>
    <workbookView xWindow="-120" yWindow="-120" windowWidth="29040" windowHeight="15840" activeTab="1" xr2:uid="{84393649-E09A-407F-A75F-EC7B8C5150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J41" i="2"/>
  <c r="F41" i="2"/>
  <c r="D21" i="1"/>
  <c r="D19" i="1"/>
  <c r="D18" i="1"/>
  <c r="D13" i="1"/>
  <c r="U14" i="2"/>
  <c r="U9" i="2"/>
  <c r="U6" i="2"/>
  <c r="V28" i="2" s="1"/>
  <c r="V14" i="2"/>
  <c r="V9" i="2"/>
  <c r="V6" i="2"/>
  <c r="W14" i="2"/>
  <c r="W9" i="2"/>
  <c r="W6" i="2"/>
  <c r="W28" i="2" s="1"/>
  <c r="U10" i="2" l="1"/>
  <c r="V10" i="2"/>
  <c r="V23" i="2" s="1"/>
  <c r="W10" i="2"/>
  <c r="W23" i="2" s="1"/>
  <c r="E14" i="2"/>
  <c r="E9" i="2"/>
  <c r="E6" i="2"/>
  <c r="I14" i="2"/>
  <c r="I9" i="2"/>
  <c r="I6" i="2"/>
  <c r="F89" i="2"/>
  <c r="F81" i="2"/>
  <c r="F72" i="2"/>
  <c r="F73" i="2" s="1"/>
  <c r="J89" i="2"/>
  <c r="J76" i="2"/>
  <c r="J81" i="2" s="1"/>
  <c r="J72" i="2"/>
  <c r="J73" i="2" s="1"/>
  <c r="F38" i="2"/>
  <c r="F33" i="2"/>
  <c r="F56" i="2"/>
  <c r="F58" i="2" s="1"/>
  <c r="F14" i="2"/>
  <c r="F9" i="2"/>
  <c r="F6" i="2"/>
  <c r="J14" i="2"/>
  <c r="J9" i="2"/>
  <c r="J6" i="2"/>
  <c r="G89" i="2"/>
  <c r="G81" i="2"/>
  <c r="G72" i="2"/>
  <c r="G73" i="2" s="1"/>
  <c r="K89" i="2"/>
  <c r="K81" i="2"/>
  <c r="K72" i="2"/>
  <c r="K73" i="2" s="1"/>
  <c r="K49" i="2"/>
  <c r="K56" i="2" s="1"/>
  <c r="K58" i="2" s="1"/>
  <c r="K38" i="2"/>
  <c r="K33" i="2"/>
  <c r="K42" i="2" s="1"/>
  <c r="G14" i="2"/>
  <c r="G9" i="2"/>
  <c r="G6" i="2"/>
  <c r="K14" i="2"/>
  <c r="K9" i="2"/>
  <c r="K6" i="2"/>
  <c r="H89" i="2"/>
  <c r="L89" i="2"/>
  <c r="H81" i="2"/>
  <c r="L81" i="2"/>
  <c r="L72" i="2"/>
  <c r="L73" i="2" s="1"/>
  <c r="H72" i="2"/>
  <c r="H73" i="2" s="1"/>
  <c r="J49" i="2"/>
  <c r="J56" i="2" s="1"/>
  <c r="J58" i="2" s="1"/>
  <c r="L49" i="2"/>
  <c r="L56" i="2" s="1"/>
  <c r="L58" i="2" s="1"/>
  <c r="J39" i="2"/>
  <c r="J33" i="2"/>
  <c r="L39" i="2"/>
  <c r="L33" i="2"/>
  <c r="L32" i="2" s="1"/>
  <c r="H14" i="2"/>
  <c r="H9" i="2"/>
  <c r="L14" i="2"/>
  <c r="L9" i="2"/>
  <c r="H6" i="2"/>
  <c r="L6" i="2"/>
  <c r="L28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I10" i="1"/>
  <c r="I9" i="1"/>
  <c r="V15" i="2" l="1"/>
  <c r="V17" i="2" s="1"/>
  <c r="U15" i="2"/>
  <c r="U23" i="2"/>
  <c r="V24" i="2"/>
  <c r="W15" i="2"/>
  <c r="W17" i="2" s="1"/>
  <c r="I28" i="2"/>
  <c r="F90" i="2"/>
  <c r="E10" i="2"/>
  <c r="E23" i="2" s="1"/>
  <c r="I10" i="2"/>
  <c r="I23" i="2" s="1"/>
  <c r="H90" i="2"/>
  <c r="L42" i="2"/>
  <c r="J42" i="2"/>
  <c r="H10" i="2"/>
  <c r="H15" i="2" s="1"/>
  <c r="K32" i="2"/>
  <c r="L90" i="2"/>
  <c r="K28" i="2"/>
  <c r="F42" i="2"/>
  <c r="F32" i="2"/>
  <c r="J32" i="2"/>
  <c r="J28" i="2"/>
  <c r="J90" i="2"/>
  <c r="F10" i="2"/>
  <c r="F15" i="2" s="1"/>
  <c r="J10" i="2"/>
  <c r="G90" i="2"/>
  <c r="K90" i="2"/>
  <c r="G10" i="2"/>
  <c r="K10" i="2"/>
  <c r="L10" i="2"/>
  <c r="W24" i="2" l="1"/>
  <c r="U24" i="2"/>
  <c r="U17" i="2"/>
  <c r="V25" i="2"/>
  <c r="V19" i="2"/>
  <c r="W25" i="2"/>
  <c r="W19" i="2"/>
  <c r="E15" i="2"/>
  <c r="E24" i="2" s="1"/>
  <c r="I15" i="2"/>
  <c r="I24" i="2" s="1"/>
  <c r="F23" i="2"/>
  <c r="H23" i="2"/>
  <c r="K15" i="2"/>
  <c r="K23" i="2"/>
  <c r="J15" i="2"/>
  <c r="J23" i="2"/>
  <c r="G15" i="2"/>
  <c r="G23" i="2"/>
  <c r="L15" i="2"/>
  <c r="L23" i="2"/>
  <c r="F24" i="2"/>
  <c r="F17" i="2"/>
  <c r="H17" i="2"/>
  <c r="H24" i="2"/>
  <c r="U25" i="2" l="1"/>
  <c r="U19" i="2"/>
  <c r="V26" i="2"/>
  <c r="V20" i="2"/>
  <c r="W26" i="2"/>
  <c r="W20" i="2"/>
  <c r="E17" i="2"/>
  <c r="E19" i="2" s="1"/>
  <c r="E26" i="2" s="1"/>
  <c r="I17" i="2"/>
  <c r="I25" i="2" s="1"/>
  <c r="J17" i="2"/>
  <c r="J24" i="2"/>
  <c r="L17" i="2"/>
  <c r="L24" i="2"/>
  <c r="G17" i="2"/>
  <c r="G24" i="2"/>
  <c r="K17" i="2"/>
  <c r="K24" i="2"/>
  <c r="F25" i="2"/>
  <c r="F19" i="2"/>
  <c r="H19" i="2"/>
  <c r="H26" i="2" s="1"/>
  <c r="H25" i="2"/>
  <c r="I8" i="1"/>
  <c r="I11" i="1" s="1"/>
  <c r="E25" i="2" l="1"/>
  <c r="U26" i="2"/>
  <c r="U20" i="2"/>
  <c r="E20" i="2"/>
  <c r="F20" i="2"/>
  <c r="F26" i="2"/>
  <c r="F60" i="2"/>
  <c r="I19" i="2"/>
  <c r="H20" i="2"/>
  <c r="H60" i="2"/>
  <c r="K19" i="2"/>
  <c r="K26" i="2" s="1"/>
  <c r="K25" i="2"/>
  <c r="L19" i="2"/>
  <c r="L26" i="2" s="1"/>
  <c r="L25" i="2"/>
  <c r="G19" i="2"/>
  <c r="G26" i="2" s="1"/>
  <c r="G25" i="2"/>
  <c r="J19" i="2"/>
  <c r="J26" i="2" s="1"/>
  <c r="J25" i="2"/>
  <c r="I20" i="2" l="1"/>
  <c r="I26" i="2"/>
  <c r="G20" i="2"/>
  <c r="G60" i="2"/>
  <c r="K20" i="2"/>
  <c r="K60" i="2"/>
  <c r="J20" i="2"/>
  <c r="J60" i="2"/>
  <c r="L20" i="2"/>
  <c r="L60" i="2"/>
</calcChain>
</file>

<file path=xl/sharedStrings.xml><?xml version="1.0" encoding="utf-8"?>
<sst xmlns="http://schemas.openxmlformats.org/spreadsheetml/2006/main" count="120" uniqueCount="106">
  <si>
    <t>Price</t>
  </si>
  <si>
    <t>Shares</t>
  </si>
  <si>
    <t>MC</t>
  </si>
  <si>
    <t>Cash</t>
  </si>
  <si>
    <t>Debt</t>
  </si>
  <si>
    <t>EV</t>
  </si>
  <si>
    <t>Q222</t>
  </si>
  <si>
    <t>Q121</t>
  </si>
  <si>
    <t>Q221</t>
  </si>
  <si>
    <t>Q321</t>
  </si>
  <si>
    <t>Q421</t>
  </si>
  <si>
    <t>Q122</t>
  </si>
  <si>
    <t>Q322</t>
  </si>
  <si>
    <t>Q422</t>
  </si>
  <si>
    <t>Main</t>
  </si>
  <si>
    <t>Subscription</t>
  </si>
  <si>
    <t>Maintenance</t>
  </si>
  <si>
    <t>Other</t>
  </si>
  <si>
    <t>Revenue</t>
  </si>
  <si>
    <t>Cost of Subscription</t>
  </si>
  <si>
    <t>Cost of Other revenue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</si>
  <si>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</si>
  <si>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</si>
  <si>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</si>
  <si>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</si>
  <si>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</si>
  <si>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</si>
  <si>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</si>
  <si>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Expense</t>
  </si>
  <si>
    <t>Pretax Income</t>
  </si>
  <si>
    <t>Net Income</t>
  </si>
  <si>
    <t>Taxes</t>
  </si>
  <si>
    <t>EPS</t>
  </si>
  <si>
    <t>Operating Margin %</t>
  </si>
  <si>
    <t>Gross Margin %</t>
  </si>
  <si>
    <t>Tax Rate %</t>
  </si>
  <si>
    <t>Profit Margin %</t>
  </si>
  <si>
    <t>Revenue Growth Y/Y</t>
  </si>
  <si>
    <t>Net Cash</t>
  </si>
  <si>
    <t>A/R</t>
  </si>
  <si>
    <t>Preapids</t>
  </si>
  <si>
    <t>PP&amp;E</t>
  </si>
  <si>
    <t>Operating Lease</t>
  </si>
  <si>
    <t>Intangibles</t>
  </si>
  <si>
    <t>D/T</t>
  </si>
  <si>
    <t>LT OA</t>
  </si>
  <si>
    <t>Total Assets</t>
  </si>
  <si>
    <t>A/P</t>
  </si>
  <si>
    <t>Accrued Compensation</t>
  </si>
  <si>
    <t>Income tAxes</t>
  </si>
  <si>
    <t>D/R</t>
  </si>
  <si>
    <t>LT D/R</t>
  </si>
  <si>
    <t>LT Operating Lease</t>
  </si>
  <si>
    <t>LT Income Tax</t>
  </si>
  <si>
    <t>LT D/T</t>
  </si>
  <si>
    <t>LT OL</t>
  </si>
  <si>
    <t>Total Liabilties</t>
  </si>
  <si>
    <t>OL</t>
  </si>
  <si>
    <t>Equity</t>
  </si>
  <si>
    <t>L + S/E</t>
  </si>
  <si>
    <t>Reported NI</t>
  </si>
  <si>
    <t>Model NI</t>
  </si>
  <si>
    <t>D/A</t>
  </si>
  <si>
    <t>SBC</t>
  </si>
  <si>
    <t>Income Tax</t>
  </si>
  <si>
    <t>Prepaids</t>
  </si>
  <si>
    <t>Asset Impairments</t>
  </si>
  <si>
    <t>CFFO</t>
  </si>
  <si>
    <t>Security Purhcases</t>
  </si>
  <si>
    <t>Capex</t>
  </si>
  <si>
    <t>Developed Tech Purhcase</t>
  </si>
  <si>
    <t>Merger</t>
  </si>
  <si>
    <t>CFFF</t>
  </si>
  <si>
    <t>CFFI</t>
  </si>
  <si>
    <t>Stock Issuance</t>
  </si>
  <si>
    <t>Equity Awards Tax</t>
  </si>
  <si>
    <t>Common Share Repurchase</t>
  </si>
  <si>
    <t>CF</t>
  </si>
  <si>
    <t>Debt Proceeds</t>
  </si>
  <si>
    <t>Debt Repayment</t>
  </si>
  <si>
    <t>Security Sale &amp; Maturity</t>
  </si>
  <si>
    <t>Q123</t>
  </si>
  <si>
    <t>Q223</t>
  </si>
  <si>
    <t>Q323</t>
  </si>
  <si>
    <t>Q423</t>
  </si>
  <si>
    <t>Q124</t>
  </si>
  <si>
    <t>Free Cashflow</t>
  </si>
  <si>
    <t>Business</t>
  </si>
  <si>
    <t>Description</t>
  </si>
  <si>
    <t>Competitors</t>
  </si>
  <si>
    <t>AEC</t>
  </si>
  <si>
    <t>AutoCAD</t>
  </si>
  <si>
    <t>MFG</t>
  </si>
  <si>
    <t>M&amp;E</t>
  </si>
  <si>
    <t>Subscription Based Model</t>
  </si>
  <si>
    <t>Primary Software</t>
  </si>
  <si>
    <t xml:space="preserve"> Reveit</t>
  </si>
  <si>
    <t xml:space="preserve"> Civil 3D</t>
  </si>
  <si>
    <t xml:space="preserve"> Infraworks</t>
  </si>
  <si>
    <t xml:space="preserve"> Navisworks Manage</t>
  </si>
  <si>
    <t>"Architecture, Engineering, and Construction Collection." Comes included :</t>
  </si>
  <si>
    <t>"Manufacturing &amp; Product Design"</t>
  </si>
  <si>
    <t>"Media &amp; Entertainment"</t>
  </si>
  <si>
    <t>&amp; of Revenue</t>
  </si>
  <si>
    <t xml:space="preserve"> Fusion 360</t>
  </si>
  <si>
    <t>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</si>
</sst>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12</xdr:col>
      <xdr:colOff>47625</xdr:colOff>
      <xdr:row>41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ABA549-B022-B4AA-5097-A02CF28849A7}"/>
            </a:ext>
          </a:extLst>
        </xdr:cNvPr>
        <xdr:cNvCxnSpPr/>
      </xdr:nvCxnSpPr>
      <xdr:spPr>
        <a:xfrm>
          <a:off x="8715375" y="0"/>
          <a:ext cx="0" cy="742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0</xdr:row>
      <xdr:rowOff>0</xdr:rowOff>
    </xdr:from>
    <xdr:to>
      <xdr:col>23</xdr:col>
      <xdr:colOff>28575</xdr:colOff>
      <xdr:row>35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F2ABD2-DCAA-1DF6-4DDB-4C5D86B5BC30}"/>
            </a:ext>
          </a:extLst>
        </xdr:cNvPr>
        <xdr:cNvCxnSpPr/>
      </xdr:nvCxnSpPr>
      <xdr:spPr>
        <a:xfrm>
          <a:off x="14182725" y="0"/>
          <a:ext cx="0" cy="638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9A65-A739-4FF4-9FDA-D0B313A68AFE}">
  <dimension ref="B6:T22"/>
  <sheetViews>
    <sheetView workbookViewId="0">
      <selection activeCell="K23" sqref="K23"/>
    </sheetView>
  </sheetViews>
  <sheetFormatPr defaultRowHeight="14.25" x14ac:dyDescent="0.2"/>
  <cols>
    <col min="2" max="2" width="17.875" bestFit="1" customWidth="1"/>
    <col min="3" max="3" width="62.75" bestFit="1" customWidth="1"/>
    <col min="4" max="4" width="11.875" bestFit="1" customWidth="1"/>
    <col min="7" max="7" width="9" style="1"/>
  </cols>
  <sheetData>
    <row r="6" spans="2:10" x14ac:dyDescent="0.2">
      <c r="H6" t="s">
        <v>0</v>
      </c>
      <c r="I6" s="6">
        <v>215.72</v>
      </c>
      <c r="J6" s="1"/>
    </row>
    <row r="7" spans="2:10" x14ac:dyDescent="0.2">
      <c r="H7" t="s">
        <v>1</v>
      </c>
      <c r="I7" s="2">
        <v>215.859048</v>
      </c>
      <c r="J7" s="1" t="s">
        <v>6</v>
      </c>
    </row>
    <row r="8" spans="2:10" x14ac:dyDescent="0.2">
      <c r="H8" t="s">
        <v>2</v>
      </c>
      <c r="I8" s="2">
        <f>+I6*I7</f>
        <v>46565.113834559997</v>
      </c>
      <c r="J8" s="1"/>
    </row>
    <row r="9" spans="2:10" x14ac:dyDescent="0.2">
      <c r="H9" t="s">
        <v>3</v>
      </c>
      <c r="I9" s="2">
        <f>1440+85+46</f>
        <v>1571</v>
      </c>
      <c r="J9" s="1" t="s">
        <v>6</v>
      </c>
    </row>
    <row r="10" spans="2:10" x14ac:dyDescent="0.2">
      <c r="H10" t="s">
        <v>4</v>
      </c>
      <c r="I10" s="2">
        <f>350+2279</f>
        <v>2629</v>
      </c>
      <c r="J10" s="1" t="s">
        <v>6</v>
      </c>
    </row>
    <row r="11" spans="2:10" ht="15" thickBot="1" x14ac:dyDescent="0.25">
      <c r="H11" t="s">
        <v>5</v>
      </c>
      <c r="I11" s="2">
        <f>+I8-I9+I10</f>
        <v>47623.113834559997</v>
      </c>
      <c r="J11" s="1"/>
    </row>
    <row r="12" spans="2:10" ht="15" thickBot="1" x14ac:dyDescent="0.25">
      <c r="B12" s="15" t="s">
        <v>87</v>
      </c>
      <c r="C12" s="16" t="s">
        <v>88</v>
      </c>
      <c r="D12" s="16" t="s">
        <v>103</v>
      </c>
      <c r="E12" s="17" t="s">
        <v>89</v>
      </c>
    </row>
    <row r="13" spans="2:10" x14ac:dyDescent="0.2">
      <c r="B13" s="11" t="s">
        <v>90</v>
      </c>
      <c r="C13" s="9" t="s">
        <v>100</v>
      </c>
      <c r="D13" s="18">
        <f>564/D22</f>
        <v>0.4559417946645109</v>
      </c>
      <c r="E13" s="12"/>
    </row>
    <row r="14" spans="2:10" x14ac:dyDescent="0.2">
      <c r="B14" s="11" t="s">
        <v>96</v>
      </c>
      <c r="C14" s="9"/>
      <c r="D14" s="18"/>
      <c r="E14" s="12"/>
    </row>
    <row r="15" spans="2:10" x14ac:dyDescent="0.2">
      <c r="B15" s="11" t="s">
        <v>97</v>
      </c>
      <c r="C15" s="9"/>
      <c r="D15" s="18"/>
      <c r="E15" s="12"/>
      <c r="H15" t="s">
        <v>94</v>
      </c>
    </row>
    <row r="16" spans="2:10" x14ac:dyDescent="0.2">
      <c r="B16" s="11" t="s">
        <v>98</v>
      </c>
      <c r="C16" s="9"/>
      <c r="D16" s="18"/>
      <c r="E16" s="12"/>
    </row>
    <row r="17" spans="2:5" x14ac:dyDescent="0.2">
      <c r="B17" s="11" t="s">
        <v>99</v>
      </c>
      <c r="C17" s="9"/>
      <c r="D17" s="18"/>
      <c r="E17" s="12"/>
    </row>
    <row r="18" spans="2:5" x14ac:dyDescent="0.2">
      <c r="B18" s="11" t="s">
        <v>91</v>
      </c>
      <c r="C18" s="9" t="s">
        <v>95</v>
      </c>
      <c r="D18" s="18">
        <f>344/D22</f>
        <v>0.27809215844785773</v>
      </c>
      <c r="E18" s="12"/>
    </row>
    <row r="19" spans="2:5" x14ac:dyDescent="0.2">
      <c r="B19" s="11" t="s">
        <v>92</v>
      </c>
      <c r="C19" s="9" t="s">
        <v>101</v>
      </c>
      <c r="D19" s="18">
        <f>242/D22</f>
        <v>0.19563459983831852</v>
      </c>
      <c r="E19" s="12"/>
    </row>
    <row r="20" spans="2:5" x14ac:dyDescent="0.2">
      <c r="B20" s="11" t="s">
        <v>104</v>
      </c>
      <c r="C20" s="9"/>
      <c r="E20" s="12"/>
    </row>
    <row r="21" spans="2:5" x14ac:dyDescent="0.2">
      <c r="B21" s="13" t="s">
        <v>93</v>
      </c>
      <c r="C21" s="10" t="s">
        <v>102</v>
      </c>
      <c r="D21" s="18">
        <f>71/D22</f>
        <v>5.7396928051738079E-2</v>
      </c>
      <c r="E21" s="14"/>
    </row>
    <row r="22" spans="2:5" x14ac:dyDescent="0.2">
      <c r="D22">
        <v>1237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4788-683A-42A3-B9A1-28D0A3E0A513}">
  <dimension ref="A1:AG9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3" sqref="Q23"/>
    </sheetView>
  </sheetViews>
  <sheetFormatPr defaultRowHeight="14.25" x14ac:dyDescent="0.2"/>
  <cols>
    <col min="1" max="1" width="4.625" bestFit="1" customWidth="1"/>
    <col min="2" max="2" width="19.125" bestFit="1" customWidth="1"/>
  </cols>
  <sheetData>
    <row r="1" spans="1:33" x14ac:dyDescent="0.2">
      <c r="A1" s="3" t="s">
        <v>14</v>
      </c>
    </row>
    <row r="2" spans="1:33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12</v>
      </c>
      <c r="J2" t="s">
        <v>13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T2">
        <v>2019</v>
      </c>
      <c r="U2">
        <f>+T2+1</f>
        <v>2020</v>
      </c>
      <c r="V2">
        <f t="shared" ref="V2:AG2" si="0">+U2+1</f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  <c r="AF2">
        <f t="shared" si="0"/>
        <v>2031</v>
      </c>
      <c r="AG2">
        <f t="shared" si="0"/>
        <v>2032</v>
      </c>
    </row>
    <row r="3" spans="1:33" s="2" customFormat="1" x14ac:dyDescent="0.2">
      <c r="B3" s="2" t="s">
        <v>15</v>
      </c>
      <c r="E3" s="2">
        <v>884.4</v>
      </c>
      <c r="F3" s="2">
        <v>950.3</v>
      </c>
      <c r="G3" s="2">
        <v>927</v>
      </c>
      <c r="H3" s="2">
        <v>997</v>
      </c>
      <c r="I3" s="2">
        <v>1070.7</v>
      </c>
      <c r="J3" s="2">
        <v>1121.5</v>
      </c>
      <c r="K3" s="2">
        <v>1089</v>
      </c>
      <c r="L3" s="2">
        <v>1160</v>
      </c>
      <c r="U3" s="2">
        <v>2751.9</v>
      </c>
      <c r="V3" s="2">
        <v>3478.9</v>
      </c>
      <c r="W3" s="2">
        <v>4156.3999999999996</v>
      </c>
    </row>
    <row r="4" spans="1:33" s="2" customFormat="1" x14ac:dyDescent="0.2">
      <c r="B4" s="2" t="s">
        <v>16</v>
      </c>
      <c r="E4" s="2">
        <v>39.799999999999997</v>
      </c>
      <c r="F4" s="2">
        <v>30.2</v>
      </c>
      <c r="G4" s="2">
        <v>19</v>
      </c>
      <c r="H4" s="2">
        <v>17</v>
      </c>
      <c r="I4" s="2">
        <v>17.600000000000001</v>
      </c>
      <c r="J4" s="2">
        <v>22.7</v>
      </c>
      <c r="K4" s="2">
        <v>18</v>
      </c>
      <c r="L4" s="2">
        <v>17</v>
      </c>
      <c r="U4" s="2">
        <v>386.6</v>
      </c>
      <c r="V4" s="2">
        <v>183.3</v>
      </c>
      <c r="W4" s="2">
        <v>76.3</v>
      </c>
    </row>
    <row r="5" spans="1:33" s="2" customFormat="1" x14ac:dyDescent="0.2">
      <c r="B5" s="2" t="s">
        <v>17</v>
      </c>
      <c r="E5" s="2">
        <v>28.2</v>
      </c>
      <c r="F5" s="2">
        <v>58.7</v>
      </c>
      <c r="G5" s="2">
        <v>43</v>
      </c>
      <c r="H5" s="2">
        <v>46</v>
      </c>
      <c r="I5" s="2">
        <v>37.5</v>
      </c>
      <c r="J5" s="2">
        <v>67.400000000000006</v>
      </c>
      <c r="K5" s="2">
        <v>63</v>
      </c>
      <c r="L5" s="2">
        <v>60</v>
      </c>
      <c r="U5" s="2">
        <v>135.80000000000001</v>
      </c>
      <c r="V5" s="2">
        <v>128.19999999999999</v>
      </c>
      <c r="W5" s="2">
        <v>153.69999999999999</v>
      </c>
    </row>
    <row r="6" spans="1:33" s="5" customFormat="1" ht="15" x14ac:dyDescent="0.25">
      <c r="B6" s="5" t="s">
        <v>18</v>
      </c>
      <c r="E6" s="5">
        <f t="shared" ref="E6:L6" si="1">+SUM(E3:E5)</f>
        <v>952.4</v>
      </c>
      <c r="F6" s="5">
        <f t="shared" si="1"/>
        <v>1039.2</v>
      </c>
      <c r="G6" s="5">
        <f t="shared" si="1"/>
        <v>989</v>
      </c>
      <c r="H6" s="5">
        <f t="shared" si="1"/>
        <v>1060</v>
      </c>
      <c r="I6" s="5">
        <f t="shared" si="1"/>
        <v>1125.8</v>
      </c>
      <c r="J6" s="5">
        <f t="shared" si="1"/>
        <v>1211.6000000000001</v>
      </c>
      <c r="K6" s="5">
        <f t="shared" si="1"/>
        <v>1170</v>
      </c>
      <c r="L6" s="5">
        <f t="shared" si="1"/>
        <v>1237</v>
      </c>
      <c r="U6" s="5">
        <f t="shared" ref="U6:W6" si="2">+SUM(U3:U5)</f>
        <v>3274.3</v>
      </c>
      <c r="V6" s="5">
        <f t="shared" si="2"/>
        <v>3790.4</v>
      </c>
      <c r="W6" s="5">
        <f t="shared" si="2"/>
        <v>4386.3999999999996</v>
      </c>
    </row>
    <row r="7" spans="1:33" x14ac:dyDescent="0.2">
      <c r="B7" s="2" t="s">
        <v>19</v>
      </c>
      <c r="E7" s="2">
        <v>60.7</v>
      </c>
      <c r="F7" s="2">
        <v>65.5</v>
      </c>
      <c r="G7" s="2">
        <v>68</v>
      </c>
      <c r="H7" s="2">
        <v>76</v>
      </c>
      <c r="I7" s="2">
        <v>74.8</v>
      </c>
      <c r="J7" s="2">
        <v>79.8</v>
      </c>
      <c r="K7" s="2">
        <v>84</v>
      </c>
      <c r="L7" s="2">
        <v>83</v>
      </c>
      <c r="M7" s="2"/>
      <c r="N7" s="2"/>
      <c r="O7" s="2"/>
      <c r="P7" s="2"/>
      <c r="U7" s="2">
        <v>223.9</v>
      </c>
      <c r="V7" s="2">
        <v>242.1</v>
      </c>
      <c r="W7" s="2">
        <v>299.10000000000002</v>
      </c>
    </row>
    <row r="8" spans="1:33" x14ac:dyDescent="0.2">
      <c r="B8" s="2" t="s">
        <v>20</v>
      </c>
      <c r="E8" s="2">
        <v>15.4</v>
      </c>
      <c r="F8" s="2">
        <v>16.600000000000001</v>
      </c>
      <c r="G8" s="2">
        <v>14</v>
      </c>
      <c r="H8" s="2">
        <v>16</v>
      </c>
      <c r="I8" s="2">
        <v>17.7</v>
      </c>
      <c r="J8" s="2">
        <v>19</v>
      </c>
      <c r="K8" s="2">
        <v>19</v>
      </c>
      <c r="L8" s="2">
        <v>21</v>
      </c>
      <c r="M8" s="2"/>
      <c r="N8" s="2"/>
      <c r="O8" s="2"/>
      <c r="P8" s="2"/>
      <c r="U8" s="2">
        <v>66.5</v>
      </c>
      <c r="V8" s="2">
        <v>64.099999999999994</v>
      </c>
      <c r="W8" s="2">
        <v>66.599999999999994</v>
      </c>
    </row>
    <row r="9" spans="1:33" x14ac:dyDescent="0.2">
      <c r="B9" s="2" t="s">
        <v>21</v>
      </c>
      <c r="E9" s="2">
        <f t="shared" ref="E9:L9" si="3">+SUM(E7:E8)</f>
        <v>76.100000000000009</v>
      </c>
      <c r="F9" s="2">
        <f t="shared" si="3"/>
        <v>82.1</v>
      </c>
      <c r="G9" s="2">
        <f t="shared" si="3"/>
        <v>82</v>
      </c>
      <c r="H9" s="2">
        <f t="shared" si="3"/>
        <v>92</v>
      </c>
      <c r="I9" s="2">
        <f t="shared" si="3"/>
        <v>92.5</v>
      </c>
      <c r="J9" s="2">
        <f t="shared" si="3"/>
        <v>98.8</v>
      </c>
      <c r="K9" s="2">
        <f t="shared" si="3"/>
        <v>103</v>
      </c>
      <c r="L9" s="2">
        <f t="shared" si="3"/>
        <v>104</v>
      </c>
      <c r="M9" s="2"/>
      <c r="N9" s="2"/>
      <c r="O9" s="2"/>
      <c r="P9" s="2"/>
      <c r="U9" s="2">
        <f t="shared" ref="U9:W9" si="4">+SUM(U7:U8)</f>
        <v>290.39999999999998</v>
      </c>
      <c r="V9" s="2">
        <f t="shared" si="4"/>
        <v>306.2</v>
      </c>
      <c r="W9" s="2">
        <f t="shared" si="4"/>
        <v>365.70000000000005</v>
      </c>
    </row>
    <row r="10" spans="1:33" x14ac:dyDescent="0.2">
      <c r="B10" s="2" t="s">
        <v>22</v>
      </c>
      <c r="E10" s="2">
        <f t="shared" ref="E10:L10" si="5">+E6-E9</f>
        <v>876.3</v>
      </c>
      <c r="F10" s="2">
        <f t="shared" si="5"/>
        <v>957.1</v>
      </c>
      <c r="G10" s="2">
        <f t="shared" si="5"/>
        <v>907</v>
      </c>
      <c r="H10" s="2">
        <f t="shared" si="5"/>
        <v>968</v>
      </c>
      <c r="I10" s="2">
        <f t="shared" si="5"/>
        <v>1033.3</v>
      </c>
      <c r="J10" s="2">
        <f t="shared" si="5"/>
        <v>1112.8000000000002</v>
      </c>
      <c r="K10" s="2">
        <f t="shared" si="5"/>
        <v>1067</v>
      </c>
      <c r="L10" s="2">
        <f t="shared" si="5"/>
        <v>1133</v>
      </c>
      <c r="M10" s="2"/>
      <c r="N10" s="2"/>
      <c r="O10" s="2"/>
      <c r="P10" s="2"/>
      <c r="U10" s="2">
        <f t="shared" ref="U10:W10" si="6">+U6-U9</f>
        <v>2983.9</v>
      </c>
      <c r="V10" s="2">
        <f t="shared" si="6"/>
        <v>3484.2000000000003</v>
      </c>
      <c r="W10" s="2">
        <f t="shared" si="6"/>
        <v>4020.7</v>
      </c>
    </row>
    <row r="11" spans="1:33" x14ac:dyDescent="0.2">
      <c r="B11" s="2" t="s">
        <v>23</v>
      </c>
      <c r="E11">
        <v>359.3</v>
      </c>
      <c r="F11">
        <v>388.8</v>
      </c>
      <c r="G11">
        <v>377</v>
      </c>
      <c r="H11">
        <v>399</v>
      </c>
      <c r="I11">
        <v>419.4</v>
      </c>
      <c r="J11">
        <v>427.8</v>
      </c>
      <c r="K11">
        <v>419</v>
      </c>
      <c r="L11">
        <v>433</v>
      </c>
      <c r="U11">
        <v>1310.3</v>
      </c>
      <c r="V11">
        <v>1440.3</v>
      </c>
      <c r="W11">
        <v>1623.1</v>
      </c>
    </row>
    <row r="12" spans="1:33" x14ac:dyDescent="0.2">
      <c r="B12" s="2" t="s">
        <v>24</v>
      </c>
      <c r="E12" s="2">
        <v>233</v>
      </c>
      <c r="F12" s="2">
        <v>249.6</v>
      </c>
      <c r="G12" s="2">
        <v>266</v>
      </c>
      <c r="H12" s="2">
        <v>277</v>
      </c>
      <c r="I12" s="2">
        <v>282.10000000000002</v>
      </c>
      <c r="J12" s="2">
        <v>290.3</v>
      </c>
      <c r="K12" s="2">
        <v>289</v>
      </c>
      <c r="L12" s="2">
        <v>306</v>
      </c>
      <c r="M12" s="2"/>
      <c r="N12" s="2"/>
      <c r="O12" s="2"/>
      <c r="P12" s="2"/>
      <c r="U12" s="2">
        <v>851.1</v>
      </c>
      <c r="V12" s="2">
        <v>932.5</v>
      </c>
      <c r="W12" s="2">
        <v>1114.8</v>
      </c>
    </row>
    <row r="13" spans="1:33" x14ac:dyDescent="0.2">
      <c r="B13" s="2" t="s">
        <v>25</v>
      </c>
      <c r="E13" s="2">
        <v>98.8</v>
      </c>
      <c r="F13" s="2">
        <v>117.1</v>
      </c>
      <c r="G13" s="2">
        <v>112</v>
      </c>
      <c r="H13" s="2">
        <v>119</v>
      </c>
      <c r="I13" s="2">
        <v>112.8</v>
      </c>
      <c r="J13" s="2">
        <v>227.6</v>
      </c>
      <c r="K13" s="2">
        <v>120</v>
      </c>
      <c r="L13" s="2">
        <v>128</v>
      </c>
      <c r="M13" s="2"/>
      <c r="N13" s="2"/>
      <c r="O13" s="2"/>
      <c r="P13" s="2"/>
      <c r="U13" s="2">
        <v>405.6</v>
      </c>
      <c r="V13" s="2">
        <v>413.9</v>
      </c>
      <c r="W13" s="2">
        <v>571.70000000000005</v>
      </c>
    </row>
    <row r="14" spans="1:33" x14ac:dyDescent="0.2">
      <c r="B14" s="2" t="s">
        <v>26</v>
      </c>
      <c r="E14">
        <f t="shared" ref="E14:L14" si="7">+SUM(E11:E13)</f>
        <v>691.09999999999991</v>
      </c>
      <c r="F14">
        <f t="shared" si="7"/>
        <v>755.5</v>
      </c>
      <c r="G14">
        <f t="shared" si="7"/>
        <v>755</v>
      </c>
      <c r="H14">
        <f t="shared" si="7"/>
        <v>795</v>
      </c>
      <c r="I14">
        <f t="shared" si="7"/>
        <v>814.3</v>
      </c>
      <c r="J14">
        <f t="shared" si="7"/>
        <v>945.7</v>
      </c>
      <c r="K14">
        <f t="shared" si="7"/>
        <v>828</v>
      </c>
      <c r="L14">
        <f t="shared" si="7"/>
        <v>867</v>
      </c>
      <c r="U14">
        <f t="shared" ref="U14:W14" si="8">+SUM(U11:U13)</f>
        <v>2567</v>
      </c>
      <c r="V14">
        <f t="shared" si="8"/>
        <v>2786.7000000000003</v>
      </c>
      <c r="W14">
        <f t="shared" si="8"/>
        <v>3309.5999999999995</v>
      </c>
    </row>
    <row r="15" spans="1:33" x14ac:dyDescent="0.2">
      <c r="B15" s="2" t="s">
        <v>27</v>
      </c>
      <c r="E15" s="2">
        <f t="shared" ref="E15:L15" si="9">+E10-E14</f>
        <v>185.20000000000005</v>
      </c>
      <c r="F15" s="2">
        <f t="shared" si="9"/>
        <v>201.60000000000002</v>
      </c>
      <c r="G15" s="2">
        <f t="shared" si="9"/>
        <v>152</v>
      </c>
      <c r="H15" s="2">
        <f t="shared" si="9"/>
        <v>173</v>
      </c>
      <c r="I15" s="2">
        <f t="shared" si="9"/>
        <v>219</v>
      </c>
      <c r="J15" s="2">
        <f t="shared" si="9"/>
        <v>167.10000000000014</v>
      </c>
      <c r="K15" s="2">
        <f t="shared" si="9"/>
        <v>239</v>
      </c>
      <c r="L15" s="2">
        <f t="shared" si="9"/>
        <v>266</v>
      </c>
      <c r="M15" s="2"/>
      <c r="N15" s="2"/>
      <c r="O15" s="2"/>
      <c r="P15" s="2"/>
      <c r="U15" s="2">
        <f t="shared" ref="U15:W15" si="10">+U10-U14</f>
        <v>416.90000000000009</v>
      </c>
      <c r="V15" s="2">
        <f t="shared" si="10"/>
        <v>697.5</v>
      </c>
      <c r="W15" s="2">
        <f t="shared" si="10"/>
        <v>711.10000000000036</v>
      </c>
    </row>
    <row r="16" spans="1:33" x14ac:dyDescent="0.2">
      <c r="B16" s="2" t="s">
        <v>28</v>
      </c>
      <c r="E16" s="2">
        <v>11.9</v>
      </c>
      <c r="F16" s="2">
        <v>13.3</v>
      </c>
      <c r="G16" s="2">
        <v>3</v>
      </c>
      <c r="H16" s="2">
        <v>9</v>
      </c>
      <c r="I16" s="2">
        <v>5.9</v>
      </c>
      <c r="J16" s="2">
        <v>35.299999999999997</v>
      </c>
      <c r="K16" s="2">
        <v>19</v>
      </c>
      <c r="L16" s="2">
        <v>10</v>
      </c>
      <c r="M16" s="2"/>
      <c r="N16" s="2"/>
      <c r="O16" s="2"/>
      <c r="P16" s="2"/>
      <c r="U16" s="2">
        <v>-48.2</v>
      </c>
      <c r="V16" s="2">
        <v>-82.4</v>
      </c>
      <c r="W16" s="2">
        <v>-52.9</v>
      </c>
    </row>
    <row r="17" spans="2:23" x14ac:dyDescent="0.2">
      <c r="B17" s="2" t="s">
        <v>29</v>
      </c>
      <c r="E17" s="2">
        <f t="shared" ref="E17:L17" si="11">+E15-E16</f>
        <v>173.30000000000004</v>
      </c>
      <c r="F17" s="2">
        <f t="shared" si="11"/>
        <v>188.3</v>
      </c>
      <c r="G17" s="2">
        <f t="shared" si="11"/>
        <v>149</v>
      </c>
      <c r="H17" s="2">
        <f t="shared" si="11"/>
        <v>164</v>
      </c>
      <c r="I17" s="2">
        <f t="shared" si="11"/>
        <v>213.1</v>
      </c>
      <c r="J17" s="2">
        <f t="shared" si="11"/>
        <v>131.80000000000013</v>
      </c>
      <c r="K17" s="2">
        <f t="shared" si="11"/>
        <v>220</v>
      </c>
      <c r="L17" s="2">
        <f t="shared" si="11"/>
        <v>256</v>
      </c>
      <c r="M17" s="2"/>
      <c r="N17" s="2"/>
      <c r="O17" s="2"/>
      <c r="P17" s="2"/>
      <c r="U17" s="2">
        <f t="shared" ref="U17:W17" si="12">+U15-U16</f>
        <v>465.10000000000008</v>
      </c>
      <c r="V17" s="2">
        <f t="shared" si="12"/>
        <v>779.9</v>
      </c>
      <c r="W17" s="2">
        <f t="shared" si="12"/>
        <v>764.00000000000034</v>
      </c>
    </row>
    <row r="18" spans="2:23" x14ac:dyDescent="0.2">
      <c r="B18" s="2" t="s">
        <v>31</v>
      </c>
      <c r="E18">
        <v>23.9</v>
      </c>
      <c r="F18" s="8">
        <v>-740.6</v>
      </c>
      <c r="G18">
        <v>-25</v>
      </c>
      <c r="H18">
        <v>24</v>
      </c>
      <c r="I18">
        <v>50.7</v>
      </c>
      <c r="J18">
        <v>18</v>
      </c>
      <c r="K18">
        <v>49</v>
      </c>
      <c r="L18">
        <v>46</v>
      </c>
      <c r="U18">
        <v>-80.3</v>
      </c>
      <c r="V18">
        <v>-661.5</v>
      </c>
      <c r="W18">
        <v>67.7</v>
      </c>
    </row>
    <row r="19" spans="2:23" s="4" customFormat="1" ht="15" x14ac:dyDescent="0.25">
      <c r="B19" s="5" t="s">
        <v>30</v>
      </c>
      <c r="E19" s="5">
        <f t="shared" ref="E19:L19" si="13">+E17-E18</f>
        <v>149.40000000000003</v>
      </c>
      <c r="F19" s="5">
        <f t="shared" si="13"/>
        <v>928.90000000000009</v>
      </c>
      <c r="G19" s="5">
        <f t="shared" si="13"/>
        <v>174</v>
      </c>
      <c r="H19" s="5">
        <f t="shared" si="13"/>
        <v>140</v>
      </c>
      <c r="I19" s="5">
        <f t="shared" si="13"/>
        <v>162.39999999999998</v>
      </c>
      <c r="J19" s="5">
        <f t="shared" si="13"/>
        <v>113.80000000000013</v>
      </c>
      <c r="K19" s="5">
        <f t="shared" si="13"/>
        <v>171</v>
      </c>
      <c r="L19" s="5">
        <f t="shared" si="13"/>
        <v>210</v>
      </c>
      <c r="M19" s="5"/>
      <c r="N19" s="5"/>
      <c r="O19" s="5"/>
      <c r="P19" s="5"/>
      <c r="U19" s="5">
        <f t="shared" ref="U19:W19" si="14">+U17-U18</f>
        <v>545.40000000000009</v>
      </c>
      <c r="V19" s="5">
        <f t="shared" si="14"/>
        <v>1441.4</v>
      </c>
      <c r="W19" s="5">
        <f t="shared" si="14"/>
        <v>696.3000000000003</v>
      </c>
    </row>
    <row r="20" spans="2:23" x14ac:dyDescent="0.2">
      <c r="B20" s="2" t="s">
        <v>32</v>
      </c>
      <c r="E20" s="6">
        <f t="shared" ref="E20:L20" si="15">+E19/E21</f>
        <v>0.67206477732793535</v>
      </c>
      <c r="F20" s="6">
        <f t="shared" si="15"/>
        <v>4.1748314606741577</v>
      </c>
      <c r="G20" s="6">
        <f t="shared" si="15"/>
        <v>0.78378378378378377</v>
      </c>
      <c r="H20" s="6">
        <f t="shared" si="15"/>
        <v>0.63063063063063063</v>
      </c>
      <c r="I20" s="6">
        <f t="shared" si="15"/>
        <v>0.7298876404494381</v>
      </c>
      <c r="J20" s="6">
        <f t="shared" si="15"/>
        <v>0.51446654611211629</v>
      </c>
      <c r="K20" s="6">
        <f t="shared" si="15"/>
        <v>0.78082191780821919</v>
      </c>
      <c r="L20" s="6">
        <f t="shared" si="15"/>
        <v>0.96330275229357798</v>
      </c>
      <c r="M20" s="6"/>
      <c r="N20" s="6"/>
      <c r="O20" s="6"/>
      <c r="P20" s="6"/>
      <c r="U20" s="6">
        <f t="shared" ref="U20:W20" si="16">+U19/U21</f>
        <v>2.45123595505618</v>
      </c>
      <c r="V20" s="6">
        <f t="shared" si="16"/>
        <v>6.4927927927927929</v>
      </c>
      <c r="W20" s="6">
        <f t="shared" si="16"/>
        <v>3.1364864864864876</v>
      </c>
    </row>
    <row r="21" spans="2:23" x14ac:dyDescent="0.2">
      <c r="B21" s="2" t="s">
        <v>1</v>
      </c>
      <c r="E21">
        <v>222.3</v>
      </c>
      <c r="F21">
        <v>222.5</v>
      </c>
      <c r="G21">
        <v>222</v>
      </c>
      <c r="H21">
        <v>222</v>
      </c>
      <c r="I21">
        <v>222.5</v>
      </c>
      <c r="J21">
        <v>221.2</v>
      </c>
      <c r="K21">
        <v>219</v>
      </c>
      <c r="L21">
        <v>218</v>
      </c>
      <c r="U21">
        <v>222.5</v>
      </c>
      <c r="V21">
        <v>222</v>
      </c>
      <c r="W21">
        <v>222</v>
      </c>
    </row>
    <row r="23" spans="2:23" x14ac:dyDescent="0.2">
      <c r="B23" t="s">
        <v>34</v>
      </c>
      <c r="E23" s="7">
        <f t="shared" ref="E23:L23" si="17">+E10/E6</f>
        <v>0.92009659806803856</v>
      </c>
      <c r="F23" s="7">
        <f t="shared" si="17"/>
        <v>0.92099692070823713</v>
      </c>
      <c r="G23" s="7">
        <f t="shared" si="17"/>
        <v>0.91708796764408496</v>
      </c>
      <c r="H23" s="7">
        <f t="shared" si="17"/>
        <v>0.91320754716981134</v>
      </c>
      <c r="I23" s="7">
        <f t="shared" si="17"/>
        <v>0.91783620536507371</v>
      </c>
      <c r="J23" s="7">
        <f t="shared" si="17"/>
        <v>0.91845493562231761</v>
      </c>
      <c r="K23" s="7">
        <f t="shared" si="17"/>
        <v>0.91196581196581195</v>
      </c>
      <c r="L23" s="7">
        <f t="shared" si="17"/>
        <v>0.91592562651576392</v>
      </c>
      <c r="M23" s="7"/>
      <c r="N23" s="7"/>
      <c r="O23" s="7"/>
      <c r="P23" s="7"/>
      <c r="U23" s="7">
        <f t="shared" ref="U23" si="18">+U10/U6</f>
        <v>0.91130928748129369</v>
      </c>
      <c r="V23" s="7">
        <f t="shared" ref="V23:W23" si="19">+V10/V6</f>
        <v>0.91921696918531026</v>
      </c>
      <c r="W23" s="7">
        <f t="shared" si="19"/>
        <v>0.9166286704358928</v>
      </c>
    </row>
    <row r="24" spans="2:23" x14ac:dyDescent="0.2">
      <c r="B24" t="s">
        <v>33</v>
      </c>
      <c r="E24" s="7">
        <f t="shared" ref="E24:L24" si="20">+E15/E6</f>
        <v>0.1944561108777825</v>
      </c>
      <c r="F24" s="7">
        <f t="shared" si="20"/>
        <v>0.19399538106235567</v>
      </c>
      <c r="G24" s="7">
        <f t="shared" si="20"/>
        <v>0.15369059656218403</v>
      </c>
      <c r="H24" s="7">
        <f t="shared" si="20"/>
        <v>0.16320754716981131</v>
      </c>
      <c r="I24" s="7">
        <f t="shared" si="20"/>
        <v>0.19452833540593356</v>
      </c>
      <c r="J24" s="7">
        <f t="shared" si="20"/>
        <v>0.1379168042258172</v>
      </c>
      <c r="K24" s="7">
        <f t="shared" si="20"/>
        <v>0.20427350427350427</v>
      </c>
      <c r="L24" s="7">
        <f t="shared" si="20"/>
        <v>0.21503637833468067</v>
      </c>
      <c r="M24" s="7"/>
      <c r="N24" s="7"/>
      <c r="O24" s="7"/>
      <c r="P24" s="7"/>
      <c r="U24" s="7">
        <f t="shared" ref="U24" si="21">+U15/U6</f>
        <v>0.12732492441132459</v>
      </c>
      <c r="V24" s="7">
        <f t="shared" ref="V24:W24" si="22">+V15/V6</f>
        <v>0.18401751794005911</v>
      </c>
      <c r="W24" s="7">
        <f t="shared" si="22"/>
        <v>0.16211471821995269</v>
      </c>
    </row>
    <row r="25" spans="2:23" x14ac:dyDescent="0.2">
      <c r="B25" t="s">
        <v>35</v>
      </c>
      <c r="E25" s="7">
        <f t="shared" ref="E25:L25" si="23">+E18/E17</f>
        <v>0.13791113675706862</v>
      </c>
      <c r="F25" s="7">
        <f t="shared" si="23"/>
        <v>-3.9330855018587361</v>
      </c>
      <c r="G25" s="7">
        <f t="shared" si="23"/>
        <v>-0.16778523489932887</v>
      </c>
      <c r="H25" s="7">
        <f t="shared" si="23"/>
        <v>0.14634146341463414</v>
      </c>
      <c r="I25" s="7">
        <f t="shared" si="23"/>
        <v>0.23791647114030973</v>
      </c>
      <c r="J25" s="7">
        <f t="shared" si="23"/>
        <v>0.13657056145675253</v>
      </c>
      <c r="K25" s="7">
        <f t="shared" si="23"/>
        <v>0.22272727272727272</v>
      </c>
      <c r="L25" s="7">
        <f t="shared" si="23"/>
        <v>0.1796875</v>
      </c>
      <c r="M25" s="7"/>
      <c r="N25" s="7"/>
      <c r="O25" s="7"/>
      <c r="P25" s="7"/>
      <c r="U25" s="7">
        <f t="shared" ref="U25" si="24">+U18/U17</f>
        <v>-0.17265104278649748</v>
      </c>
      <c r="V25" s="7">
        <f t="shared" ref="V25:W25" si="25">+V18/V17</f>
        <v>-0.84818566482882418</v>
      </c>
      <c r="W25" s="7">
        <f t="shared" si="25"/>
        <v>8.8612565445026145E-2</v>
      </c>
    </row>
    <row r="26" spans="2:23" x14ac:dyDescent="0.2">
      <c r="B26" t="s">
        <v>36</v>
      </c>
      <c r="E26" s="7">
        <f t="shared" ref="E26:K26" si="26">+E19/E6</f>
        <v>0.1568668626627468</v>
      </c>
      <c r="F26" s="7">
        <f>+F19/F6</f>
        <v>0.89386066204772907</v>
      </c>
      <c r="G26" s="7">
        <f t="shared" si="26"/>
        <v>0.17593528816986856</v>
      </c>
      <c r="H26" s="7">
        <f t="shared" si="26"/>
        <v>0.13207547169811321</v>
      </c>
      <c r="I26" s="7">
        <f t="shared" si="26"/>
        <v>0.14425297566175163</v>
      </c>
      <c r="J26" s="7">
        <f t="shared" si="26"/>
        <v>9.3925387916804312E-2</v>
      </c>
      <c r="K26" s="7">
        <f t="shared" si="26"/>
        <v>0.14615384615384616</v>
      </c>
      <c r="L26" s="7">
        <f>+L19/L6</f>
        <v>0.16976556184316896</v>
      </c>
      <c r="M26" s="7"/>
      <c r="N26" s="7"/>
      <c r="O26" s="7"/>
      <c r="P26" s="7"/>
      <c r="U26" s="7">
        <f>+U19/U6</f>
        <v>0.16656995388327278</v>
      </c>
      <c r="V26" s="7">
        <f>+V19/V6</f>
        <v>0.38027648796960745</v>
      </c>
      <c r="W26" s="7">
        <f>+W19/W6</f>
        <v>0.15874065292722969</v>
      </c>
    </row>
    <row r="28" spans="2:23" x14ac:dyDescent="0.2">
      <c r="B28" t="s">
        <v>37</v>
      </c>
      <c r="H28" s="7"/>
      <c r="I28" s="7">
        <f>+I6/E6-1</f>
        <v>0.18206635867282661</v>
      </c>
      <c r="J28" s="7">
        <f>+J6/F6-1</f>
        <v>0.16589684372594315</v>
      </c>
      <c r="K28" s="7">
        <f>+K6/G6-1</f>
        <v>0.18301314459049545</v>
      </c>
      <c r="L28" s="7">
        <f>+L6/H6-1</f>
        <v>0.16698113207547172</v>
      </c>
      <c r="M28" s="7"/>
      <c r="N28" s="7"/>
      <c r="O28" s="7"/>
      <c r="P28" s="7"/>
      <c r="V28" s="7">
        <f>+V6/U6-1</f>
        <v>0.15762147634608925</v>
      </c>
      <c r="W28" s="7">
        <f>+W6/V6-1</f>
        <v>0.15723934149430119</v>
      </c>
    </row>
    <row r="32" spans="2:23" s="4" customFormat="1" ht="15" x14ac:dyDescent="0.25">
      <c r="B32" s="4" t="s">
        <v>38</v>
      </c>
      <c r="F32" s="5">
        <f>+F33-F49</f>
        <v>139</v>
      </c>
      <c r="J32" s="5">
        <f>+J33-J49</f>
        <v>-819</v>
      </c>
      <c r="K32" s="5">
        <f>+K33-K49</f>
        <v>-1005</v>
      </c>
      <c r="L32" s="5">
        <f>+L33-L49</f>
        <v>-1058</v>
      </c>
      <c r="M32" s="5"/>
      <c r="N32" s="5"/>
      <c r="O32" s="5"/>
      <c r="P32" s="5"/>
    </row>
    <row r="33" spans="2:12" s="2" customFormat="1" x14ac:dyDescent="0.2">
      <c r="B33" s="2" t="s">
        <v>3</v>
      </c>
      <c r="F33" s="2">
        <f>1772.2+4</f>
        <v>1776.2</v>
      </c>
      <c r="J33" s="2">
        <f>1528+236+45</f>
        <v>1809</v>
      </c>
      <c r="K33" s="2">
        <f>1518+67+39</f>
        <v>1624</v>
      </c>
      <c r="L33" s="2">
        <f>1440+85+46</f>
        <v>1571</v>
      </c>
    </row>
    <row r="34" spans="2:12" s="2" customFormat="1" x14ac:dyDescent="0.2">
      <c r="B34" s="2" t="s">
        <v>39</v>
      </c>
      <c r="F34" s="2">
        <v>643.1</v>
      </c>
      <c r="J34" s="2">
        <v>716</v>
      </c>
      <c r="K34" s="2">
        <v>384</v>
      </c>
      <c r="L34" s="2">
        <v>434</v>
      </c>
    </row>
    <row r="35" spans="2:12" s="2" customFormat="1" x14ac:dyDescent="0.2">
      <c r="B35" s="2" t="s">
        <v>40</v>
      </c>
      <c r="F35" s="2">
        <v>206.2</v>
      </c>
      <c r="J35" s="2">
        <v>284</v>
      </c>
      <c r="K35" s="2">
        <v>389</v>
      </c>
      <c r="L35" s="2">
        <v>370</v>
      </c>
    </row>
    <row r="36" spans="2:12" s="2" customFormat="1" x14ac:dyDescent="0.2">
      <c r="B36" s="2" t="s">
        <v>41</v>
      </c>
      <c r="F36" s="2">
        <v>192.8</v>
      </c>
      <c r="J36" s="2">
        <v>162</v>
      </c>
      <c r="K36" s="2">
        <v>162</v>
      </c>
      <c r="L36" s="2">
        <v>154</v>
      </c>
    </row>
    <row r="37" spans="2:12" s="2" customFormat="1" x14ac:dyDescent="0.2">
      <c r="B37" s="2" t="s">
        <v>42</v>
      </c>
      <c r="F37" s="2">
        <v>416.7</v>
      </c>
      <c r="J37" s="2">
        <v>305</v>
      </c>
      <c r="K37" s="2">
        <v>303</v>
      </c>
      <c r="L37" s="2">
        <v>292</v>
      </c>
    </row>
    <row r="38" spans="2:12" s="2" customFormat="1" x14ac:dyDescent="0.2">
      <c r="B38" s="2" t="s">
        <v>43</v>
      </c>
      <c r="F38" s="2">
        <f>199.3+2706.5</f>
        <v>2905.8</v>
      </c>
      <c r="J38" s="2">
        <v>494</v>
      </c>
      <c r="K38" s="2">
        <f>479+3642</f>
        <v>4121</v>
      </c>
      <c r="L38" s="2">
        <v>451</v>
      </c>
    </row>
    <row r="39" spans="2:12" s="2" customFormat="1" x14ac:dyDescent="0.2">
      <c r="B39" s="2" t="s">
        <v>44</v>
      </c>
      <c r="F39" s="2">
        <v>763.1</v>
      </c>
      <c r="J39" s="2">
        <f>3604+741</f>
        <v>4345</v>
      </c>
      <c r="K39" s="2">
        <v>759</v>
      </c>
      <c r="L39" s="2">
        <f>3612+790</f>
        <v>4402</v>
      </c>
    </row>
    <row r="40" spans="2:12" s="2" customFormat="1" x14ac:dyDescent="0.2">
      <c r="B40" s="2" t="s">
        <v>45</v>
      </c>
      <c r="F40" s="2">
        <v>375.9</v>
      </c>
      <c r="J40" s="2">
        <v>492</v>
      </c>
      <c r="K40" s="2">
        <v>519</v>
      </c>
      <c r="L40" s="2">
        <v>553</v>
      </c>
    </row>
    <row r="41" spans="2:12" s="5" customFormat="1" ht="15" x14ac:dyDescent="0.25">
      <c r="B41" s="5" t="s">
        <v>105</v>
      </c>
      <c r="F41" s="5">
        <f>+SUM(F33:F35)</f>
        <v>2625.5</v>
      </c>
      <c r="J41" s="5">
        <f>+SUM(J33:J35)</f>
        <v>2809</v>
      </c>
      <c r="K41" s="5">
        <f>+SUM(K33:K35)</f>
        <v>2397</v>
      </c>
      <c r="L41" s="5">
        <f>+SUM(L33:L35)</f>
        <v>2375</v>
      </c>
    </row>
    <row r="42" spans="2:12" s="5" customFormat="1" ht="15" x14ac:dyDescent="0.25">
      <c r="B42" s="5" t="s">
        <v>46</v>
      </c>
      <c r="F42" s="5">
        <f>+SUM(F33:F40)</f>
        <v>7279.8</v>
      </c>
      <c r="J42" s="5">
        <f>+SUM(J33:J40)</f>
        <v>8607</v>
      </c>
      <c r="K42" s="5">
        <f>+SUM(K33:K40)</f>
        <v>8261</v>
      </c>
      <c r="L42" s="5">
        <f>+SUM(L33:L40)</f>
        <v>8227</v>
      </c>
    </row>
    <row r="44" spans="2:12" s="2" customFormat="1" x14ac:dyDescent="0.2">
      <c r="B44" s="2" t="s">
        <v>47</v>
      </c>
      <c r="F44" s="2">
        <v>122.5</v>
      </c>
      <c r="J44" s="2">
        <v>121</v>
      </c>
      <c r="K44" s="2">
        <v>135</v>
      </c>
      <c r="L44" s="2">
        <v>109</v>
      </c>
    </row>
    <row r="45" spans="2:12" s="2" customFormat="1" x14ac:dyDescent="0.2">
      <c r="B45" s="2" t="s">
        <v>48</v>
      </c>
      <c r="F45" s="2">
        <v>322.60000000000002</v>
      </c>
      <c r="J45" s="2">
        <v>341</v>
      </c>
      <c r="K45" s="2">
        <v>220</v>
      </c>
      <c r="L45" s="2">
        <v>223</v>
      </c>
    </row>
    <row r="46" spans="2:12" s="2" customFormat="1" x14ac:dyDescent="0.2">
      <c r="B46" s="2" t="s">
        <v>49</v>
      </c>
      <c r="F46" s="2">
        <v>42.6</v>
      </c>
      <c r="J46" s="2">
        <v>30</v>
      </c>
      <c r="K46" s="2">
        <v>50</v>
      </c>
      <c r="L46" s="2">
        <v>16</v>
      </c>
    </row>
    <row r="47" spans="2:12" s="2" customFormat="1" x14ac:dyDescent="0.2">
      <c r="B47" s="2" t="s">
        <v>50</v>
      </c>
      <c r="F47" s="2">
        <v>2500.9</v>
      </c>
      <c r="J47" s="2">
        <v>2863</v>
      </c>
      <c r="K47" s="2">
        <v>2809</v>
      </c>
      <c r="L47" s="2">
        <v>2709</v>
      </c>
    </row>
    <row r="48" spans="2:12" s="2" customFormat="1" x14ac:dyDescent="0.2">
      <c r="B48" s="2" t="s">
        <v>42</v>
      </c>
      <c r="F48" s="2">
        <v>71.400000000000006</v>
      </c>
      <c r="J48" s="2">
        <v>87</v>
      </c>
      <c r="K48" s="2">
        <v>77</v>
      </c>
      <c r="L48" s="2">
        <v>80</v>
      </c>
    </row>
    <row r="49" spans="2:12" s="2" customFormat="1" x14ac:dyDescent="0.2">
      <c r="B49" s="2" t="s">
        <v>4</v>
      </c>
      <c r="F49" s="2">
        <v>1637.2</v>
      </c>
      <c r="J49" s="2">
        <f>350+2278</f>
        <v>2628</v>
      </c>
      <c r="K49" s="2">
        <f>350+2279</f>
        <v>2629</v>
      </c>
      <c r="L49" s="2">
        <f>350+2279</f>
        <v>2629</v>
      </c>
    </row>
    <row r="50" spans="2:12" s="2" customFormat="1" x14ac:dyDescent="0.2">
      <c r="B50" s="2" t="s">
        <v>57</v>
      </c>
      <c r="F50" s="2">
        <v>194.7</v>
      </c>
      <c r="J50" s="2">
        <v>217</v>
      </c>
      <c r="K50" s="2">
        <v>160</v>
      </c>
      <c r="L50" s="2">
        <v>155</v>
      </c>
    </row>
    <row r="51" spans="2:12" s="2" customFormat="1" x14ac:dyDescent="0.2">
      <c r="B51" s="2" t="s">
        <v>51</v>
      </c>
      <c r="F51" s="2">
        <v>859.3</v>
      </c>
      <c r="J51" s="2">
        <v>927</v>
      </c>
      <c r="K51" s="2">
        <v>940</v>
      </c>
      <c r="L51" s="2">
        <v>994</v>
      </c>
    </row>
    <row r="52" spans="2:12" s="2" customFormat="1" x14ac:dyDescent="0.2">
      <c r="B52" s="2" t="s">
        <v>52</v>
      </c>
      <c r="F52" s="2">
        <v>396</v>
      </c>
      <c r="J52" s="2">
        <v>346</v>
      </c>
      <c r="K52" s="2">
        <v>347</v>
      </c>
      <c r="L52" s="2">
        <v>336</v>
      </c>
    </row>
    <row r="53" spans="2:12" s="2" customFormat="1" x14ac:dyDescent="0.2">
      <c r="B53" s="2" t="s">
        <v>53</v>
      </c>
      <c r="F53" s="2">
        <v>15.9</v>
      </c>
      <c r="J53" s="2">
        <v>20</v>
      </c>
      <c r="K53" s="2">
        <v>37</v>
      </c>
      <c r="L53" s="2">
        <v>57</v>
      </c>
    </row>
    <row r="54" spans="2:12" s="2" customFormat="1" x14ac:dyDescent="0.2">
      <c r="B54" s="2" t="s">
        <v>54</v>
      </c>
      <c r="F54" s="2">
        <v>11.4</v>
      </c>
      <c r="J54" s="2">
        <v>29</v>
      </c>
      <c r="K54" s="2">
        <v>34</v>
      </c>
      <c r="L54" s="2">
        <v>37</v>
      </c>
    </row>
    <row r="55" spans="2:12" s="2" customFormat="1" x14ac:dyDescent="0.2">
      <c r="B55" s="2" t="s">
        <v>55</v>
      </c>
      <c r="F55" s="2">
        <v>139.80000000000001</v>
      </c>
      <c r="J55" s="2">
        <v>149</v>
      </c>
      <c r="K55" s="2">
        <v>142</v>
      </c>
      <c r="L55" s="2">
        <v>142</v>
      </c>
    </row>
    <row r="56" spans="2:12" s="5" customFormat="1" ht="15" x14ac:dyDescent="0.25">
      <c r="B56" s="5" t="s">
        <v>56</v>
      </c>
      <c r="F56" s="5">
        <f>+SUM(F44:F55)</f>
        <v>6314.3</v>
      </c>
      <c r="J56" s="5">
        <f>+SUM(J44:J55)</f>
        <v>7758</v>
      </c>
      <c r="K56" s="5">
        <f>+SUM(K44:K55)</f>
        <v>7580</v>
      </c>
      <c r="L56" s="5">
        <f>+SUM(L44:L55)</f>
        <v>7487</v>
      </c>
    </row>
    <row r="57" spans="2:12" s="2" customFormat="1" x14ac:dyDescent="0.2">
      <c r="B57" s="2" t="s">
        <v>58</v>
      </c>
      <c r="F57" s="2">
        <v>965.5</v>
      </c>
      <c r="J57" s="2">
        <v>849</v>
      </c>
      <c r="K57" s="2">
        <v>681</v>
      </c>
      <c r="L57" s="2">
        <v>740</v>
      </c>
    </row>
    <row r="58" spans="2:12" s="2" customFormat="1" x14ac:dyDescent="0.2">
      <c r="B58" s="2" t="s">
        <v>59</v>
      </c>
      <c r="F58" s="2">
        <f>+F56+F57</f>
        <v>7279.8</v>
      </c>
      <c r="J58" s="2">
        <f>+J56+J57</f>
        <v>8607</v>
      </c>
      <c r="K58" s="2">
        <f>+K56+K57</f>
        <v>8261</v>
      </c>
      <c r="L58" s="2">
        <f>+L56+L57</f>
        <v>8227</v>
      </c>
    </row>
    <row r="60" spans="2:12" s="2" customFormat="1" x14ac:dyDescent="0.2">
      <c r="B60" s="2" t="s">
        <v>61</v>
      </c>
      <c r="F60" s="2">
        <f>+F19</f>
        <v>928.90000000000009</v>
      </c>
      <c r="G60" s="2">
        <f>+G19</f>
        <v>174</v>
      </c>
      <c r="H60" s="2">
        <f>+H19</f>
        <v>140</v>
      </c>
      <c r="J60" s="2">
        <f>+J19</f>
        <v>113.80000000000013</v>
      </c>
      <c r="K60" s="2">
        <f>+K19</f>
        <v>171</v>
      </c>
      <c r="L60" s="2">
        <f>+L19</f>
        <v>210</v>
      </c>
    </row>
    <row r="61" spans="2:12" s="2" customFormat="1" x14ac:dyDescent="0.2">
      <c r="B61" s="2" t="s">
        <v>60</v>
      </c>
      <c r="F61" s="2">
        <v>1208.2</v>
      </c>
      <c r="G61" s="2">
        <v>156</v>
      </c>
      <c r="H61" s="2">
        <v>271</v>
      </c>
      <c r="J61" s="2">
        <v>497</v>
      </c>
      <c r="K61" s="2">
        <v>146</v>
      </c>
      <c r="L61" s="2">
        <v>332</v>
      </c>
    </row>
    <row r="62" spans="2:12" s="2" customFormat="1" x14ac:dyDescent="0.2">
      <c r="B62" s="2" t="s">
        <v>62</v>
      </c>
      <c r="F62" s="2">
        <v>123.8</v>
      </c>
      <c r="G62" s="2">
        <v>33</v>
      </c>
      <c r="H62" s="2">
        <v>72</v>
      </c>
      <c r="J62" s="2">
        <v>148.1</v>
      </c>
      <c r="K62" s="2">
        <v>38</v>
      </c>
      <c r="L62" s="2">
        <v>76</v>
      </c>
    </row>
    <row r="63" spans="2:12" s="2" customFormat="1" x14ac:dyDescent="0.2">
      <c r="B63" s="2" t="s">
        <v>63</v>
      </c>
      <c r="F63" s="2">
        <v>398.4</v>
      </c>
      <c r="G63" s="2">
        <v>116</v>
      </c>
      <c r="H63" s="2">
        <v>266</v>
      </c>
      <c r="J63" s="2">
        <v>555.4</v>
      </c>
      <c r="K63" s="2">
        <v>152</v>
      </c>
      <c r="L63" s="2">
        <v>322</v>
      </c>
    </row>
    <row r="64" spans="2:12" s="2" customFormat="1" x14ac:dyDescent="0.2">
      <c r="B64" s="2" t="s">
        <v>44</v>
      </c>
      <c r="F64" s="2">
        <v>-778.6</v>
      </c>
      <c r="G64" s="2">
        <v>19</v>
      </c>
      <c r="H64" s="2">
        <v>26</v>
      </c>
      <c r="J64" s="2">
        <v>-7.8</v>
      </c>
      <c r="K64" s="2">
        <v>-22</v>
      </c>
      <c r="L64" s="2">
        <v>-43</v>
      </c>
    </row>
    <row r="65" spans="2:12" s="2" customFormat="1" x14ac:dyDescent="0.2">
      <c r="B65" s="2" t="s">
        <v>66</v>
      </c>
      <c r="J65" s="2">
        <v>103.7</v>
      </c>
      <c r="K65" s="2">
        <v>2</v>
      </c>
      <c r="L65" s="2">
        <v>9</v>
      </c>
    </row>
    <row r="66" spans="2:12" s="2" customFormat="1" x14ac:dyDescent="0.2">
      <c r="B66" s="2" t="s">
        <v>17</v>
      </c>
      <c r="F66" s="2">
        <v>38.799999999999997</v>
      </c>
      <c r="G66" s="2">
        <v>19</v>
      </c>
      <c r="H66" s="2">
        <v>9</v>
      </c>
      <c r="J66" s="2">
        <v>17.600000000000001</v>
      </c>
      <c r="K66" s="2">
        <v>27</v>
      </c>
      <c r="L66" s="2">
        <v>-11</v>
      </c>
    </row>
    <row r="67" spans="2:12" s="2" customFormat="1" x14ac:dyDescent="0.2">
      <c r="B67" s="2" t="s">
        <v>39</v>
      </c>
      <c r="F67" s="2">
        <v>12.6</v>
      </c>
      <c r="G67" s="2">
        <v>324</v>
      </c>
      <c r="H67" s="2">
        <v>293</v>
      </c>
      <c r="J67" s="2">
        <v>-66.2</v>
      </c>
      <c r="K67" s="2">
        <v>332</v>
      </c>
      <c r="L67" s="2">
        <v>281</v>
      </c>
    </row>
    <row r="68" spans="2:12" s="2" customFormat="1" x14ac:dyDescent="0.2">
      <c r="B68" s="2" t="s">
        <v>65</v>
      </c>
      <c r="F68" s="2">
        <v>-56.4</v>
      </c>
      <c r="G68" s="2">
        <v>-126</v>
      </c>
      <c r="H68" s="2">
        <v>-158</v>
      </c>
      <c r="J68" s="2">
        <v>-133.5</v>
      </c>
      <c r="K68" s="2">
        <v>-23</v>
      </c>
      <c r="L68" s="2">
        <v>-25</v>
      </c>
    </row>
    <row r="69" spans="2:12" s="2" customFormat="1" x14ac:dyDescent="0.2">
      <c r="B69" s="2" t="s">
        <v>47</v>
      </c>
      <c r="F69" s="2">
        <v>129.6</v>
      </c>
      <c r="G69" s="2">
        <v>-182</v>
      </c>
      <c r="H69" s="2">
        <v>-151</v>
      </c>
      <c r="J69" s="2">
        <v>9.9</v>
      </c>
      <c r="K69" s="2">
        <v>-218</v>
      </c>
      <c r="L69" s="2">
        <v>-199</v>
      </c>
    </row>
    <row r="70" spans="2:12" s="2" customFormat="1" x14ac:dyDescent="0.2">
      <c r="B70" s="2" t="s">
        <v>50</v>
      </c>
      <c r="F70" s="2">
        <v>344.4</v>
      </c>
      <c r="G70" s="2">
        <v>-28</v>
      </c>
      <c r="H70" s="2">
        <v>-71</v>
      </c>
      <c r="J70" s="2">
        <v>419.4</v>
      </c>
      <c r="K70" s="2">
        <v>-38</v>
      </c>
      <c r="L70" s="2">
        <v>-77</v>
      </c>
    </row>
    <row r="71" spans="2:12" s="2" customFormat="1" x14ac:dyDescent="0.2">
      <c r="B71" s="2" t="s">
        <v>64</v>
      </c>
      <c r="F71" s="2">
        <v>16.399999999999999</v>
      </c>
      <c r="G71" s="2">
        <v>5</v>
      </c>
      <c r="H71" s="2">
        <v>-19</v>
      </c>
      <c r="J71" s="2">
        <v>-12.3</v>
      </c>
      <c r="K71" s="2">
        <v>38</v>
      </c>
      <c r="L71" s="2">
        <v>26</v>
      </c>
    </row>
    <row r="72" spans="2:12" s="5" customFormat="1" ht="15" x14ac:dyDescent="0.25">
      <c r="B72" s="5" t="s">
        <v>67</v>
      </c>
      <c r="F72" s="5">
        <f>+SUM(F61:F71)</f>
        <v>1437.2000000000003</v>
      </c>
      <c r="G72" s="5">
        <f>+SUM(G61:G71)</f>
        <v>336</v>
      </c>
      <c r="H72" s="5">
        <f>+SUM(H61:H71)</f>
        <v>538</v>
      </c>
      <c r="J72" s="5">
        <f>+SUM(J61:J71)</f>
        <v>1531.3</v>
      </c>
      <c r="K72" s="5">
        <f>+SUM(K61:K71)</f>
        <v>434</v>
      </c>
      <c r="L72" s="5">
        <f>+SUM(L61:L71)</f>
        <v>691</v>
      </c>
    </row>
    <row r="73" spans="2:12" s="5" customFormat="1" ht="15" x14ac:dyDescent="0.25">
      <c r="B73" s="5" t="s">
        <v>86</v>
      </c>
      <c r="F73" s="5">
        <f>+F72-F77</f>
        <v>1528.3000000000002</v>
      </c>
      <c r="G73" s="5">
        <f t="shared" ref="G73:H73" si="27">+G72-G77</f>
        <v>356</v>
      </c>
      <c r="H73" s="5">
        <f t="shared" si="27"/>
        <v>574</v>
      </c>
      <c r="J73" s="5">
        <f>+J72-J77</f>
        <v>1587.3</v>
      </c>
      <c r="K73" s="5">
        <f>+K72-K77</f>
        <v>446</v>
      </c>
      <c r="L73" s="5">
        <f>+L72-L77</f>
        <v>714</v>
      </c>
    </row>
    <row r="74" spans="2:12" s="2" customFormat="1" x14ac:dyDescent="0.2"/>
    <row r="75" spans="2:12" s="2" customFormat="1" x14ac:dyDescent="0.2">
      <c r="B75" s="2" t="s">
        <v>68</v>
      </c>
      <c r="F75" s="2">
        <v>-21</v>
      </c>
      <c r="J75" s="2">
        <v>-311.10000000000002</v>
      </c>
      <c r="K75" s="2">
        <v>-29</v>
      </c>
      <c r="L75" s="2">
        <v>-97</v>
      </c>
    </row>
    <row r="76" spans="2:12" s="2" customFormat="1" x14ac:dyDescent="0.2">
      <c r="B76" s="2" t="s">
        <v>80</v>
      </c>
      <c r="F76" s="2">
        <v>17</v>
      </c>
      <c r="G76" s="2">
        <v>4</v>
      </c>
      <c r="H76" s="2">
        <v>4</v>
      </c>
      <c r="J76" s="2">
        <f>12+25.8</f>
        <v>37.799999999999997</v>
      </c>
      <c r="K76" s="2">
        <v>202</v>
      </c>
      <c r="L76" s="2">
        <v>245</v>
      </c>
    </row>
    <row r="77" spans="2:12" s="2" customFormat="1" x14ac:dyDescent="0.2">
      <c r="B77" s="2" t="s">
        <v>69</v>
      </c>
      <c r="F77" s="2">
        <v>-91.1</v>
      </c>
      <c r="G77" s="2">
        <v>-20</v>
      </c>
      <c r="H77" s="2">
        <v>-36</v>
      </c>
      <c r="J77" s="2">
        <v>-56</v>
      </c>
      <c r="K77" s="2">
        <v>-12</v>
      </c>
      <c r="L77" s="2">
        <v>-23</v>
      </c>
    </row>
    <row r="78" spans="2:12" s="2" customFormat="1" x14ac:dyDescent="0.2">
      <c r="B78" s="2" t="s">
        <v>70</v>
      </c>
      <c r="F78" s="2">
        <v>-4.8</v>
      </c>
      <c r="G78" s="2">
        <v>-1</v>
      </c>
      <c r="H78" s="2">
        <v>-8</v>
      </c>
      <c r="J78" s="2">
        <v>-10.5</v>
      </c>
      <c r="K78" s="2">
        <v>-4</v>
      </c>
      <c r="L78" s="2">
        <v>-5</v>
      </c>
    </row>
    <row r="79" spans="2:12" s="2" customFormat="1" x14ac:dyDescent="0.2">
      <c r="B79" s="2" t="s">
        <v>71</v>
      </c>
      <c r="F79" s="2">
        <v>-246.2</v>
      </c>
      <c r="G79" s="2">
        <v>-1032</v>
      </c>
      <c r="H79" s="2">
        <v>-1155</v>
      </c>
      <c r="J79" s="2">
        <v>-1250.3</v>
      </c>
      <c r="K79" s="2">
        <v>-96</v>
      </c>
      <c r="L79" s="2">
        <v>-96</v>
      </c>
    </row>
    <row r="80" spans="2:12" s="2" customFormat="1" x14ac:dyDescent="0.2">
      <c r="B80" s="2" t="s">
        <v>17</v>
      </c>
      <c r="F80" s="2">
        <v>57.8</v>
      </c>
      <c r="G80" s="2">
        <v>9</v>
      </c>
      <c r="H80" s="2">
        <v>9</v>
      </c>
      <c r="J80" s="2">
        <v>-4.5</v>
      </c>
      <c r="K80" s="2">
        <v>-30</v>
      </c>
      <c r="L80" s="2">
        <v>-47</v>
      </c>
    </row>
    <row r="81" spans="2:12" s="5" customFormat="1" ht="15" x14ac:dyDescent="0.25">
      <c r="B81" s="5" t="s">
        <v>73</v>
      </c>
      <c r="F81" s="5">
        <f>+SUM(F75:F80)</f>
        <v>-288.29999999999995</v>
      </c>
      <c r="G81" s="5">
        <f>+SUM(G75:G80)</f>
        <v>-1040</v>
      </c>
      <c r="H81" s="5">
        <f>+SUM(H75:H80)</f>
        <v>-1186</v>
      </c>
      <c r="J81" s="5">
        <f>+SUM(J75:J80)</f>
        <v>-1594.6</v>
      </c>
      <c r="K81" s="5">
        <f>+SUM(K75:K80)</f>
        <v>31</v>
      </c>
      <c r="L81" s="5">
        <f>+SUM(L75:L80)</f>
        <v>-23</v>
      </c>
    </row>
    <row r="82" spans="2:12" s="2" customFormat="1" x14ac:dyDescent="0.2"/>
    <row r="83" spans="2:12" s="2" customFormat="1" x14ac:dyDescent="0.2">
      <c r="B83" s="2" t="s">
        <v>74</v>
      </c>
      <c r="F83" s="2">
        <v>114.1</v>
      </c>
      <c r="G83" s="2">
        <v>64</v>
      </c>
      <c r="H83" s="2">
        <v>65</v>
      </c>
      <c r="J83" s="2">
        <v>113.7</v>
      </c>
      <c r="K83" s="2">
        <v>67</v>
      </c>
      <c r="L83" s="2">
        <v>67</v>
      </c>
    </row>
    <row r="84" spans="2:12" s="2" customFormat="1" x14ac:dyDescent="0.2">
      <c r="B84" s="2" t="s">
        <v>75</v>
      </c>
      <c r="F84" s="2">
        <v>-156.69999999999999</v>
      </c>
      <c r="G84" s="2">
        <v>-55</v>
      </c>
      <c r="H84" s="2">
        <v>-62</v>
      </c>
      <c r="J84" s="2">
        <v>-193.5</v>
      </c>
      <c r="K84" s="2">
        <v>-70</v>
      </c>
      <c r="L84" s="2">
        <v>-92</v>
      </c>
    </row>
    <row r="85" spans="2:12" s="2" customFormat="1" x14ac:dyDescent="0.2">
      <c r="B85" s="2" t="s">
        <v>76</v>
      </c>
      <c r="F85" s="2">
        <v>-551.70000000000005</v>
      </c>
      <c r="G85" s="2">
        <v>-151</v>
      </c>
      <c r="H85" s="2">
        <v>-199</v>
      </c>
      <c r="J85" s="2">
        <v>-1078.5</v>
      </c>
      <c r="K85" s="2">
        <v>-457</v>
      </c>
      <c r="L85" s="2">
        <v>-708</v>
      </c>
    </row>
    <row r="86" spans="2:12" s="2" customFormat="1" x14ac:dyDescent="0.2">
      <c r="B86" s="2" t="s">
        <v>78</v>
      </c>
      <c r="J86" s="2">
        <v>997</v>
      </c>
    </row>
    <row r="87" spans="2:12" s="2" customFormat="1" x14ac:dyDescent="0.2">
      <c r="B87" s="2" t="s">
        <v>79</v>
      </c>
      <c r="F87" s="2">
        <v>-450</v>
      </c>
    </row>
    <row r="88" spans="2:12" s="2" customFormat="1" x14ac:dyDescent="0.2">
      <c r="B88" s="2" t="s">
        <v>17</v>
      </c>
      <c r="F88" s="2">
        <v>-2.5</v>
      </c>
      <c r="J88" s="2">
        <v>-7.3</v>
      </c>
    </row>
    <row r="89" spans="2:12" s="5" customFormat="1" ht="15" x14ac:dyDescent="0.25">
      <c r="B89" s="5" t="s">
        <v>72</v>
      </c>
      <c r="F89" s="5">
        <f>+SUM(F83:F88)</f>
        <v>-1046.8000000000002</v>
      </c>
      <c r="G89" s="5">
        <f>+SUM(G83:G85)</f>
        <v>-142</v>
      </c>
      <c r="H89" s="5">
        <f>+SUM(H83:H85)</f>
        <v>-196</v>
      </c>
      <c r="J89" s="5">
        <f>+SUM(J83:J88)</f>
        <v>-168.59999999999997</v>
      </c>
      <c r="K89" s="5">
        <f>+SUM(K83:K85)</f>
        <v>-460</v>
      </c>
      <c r="L89" s="5">
        <f>+SUM(L83:L85)</f>
        <v>-733</v>
      </c>
    </row>
    <row r="90" spans="2:12" s="5" customFormat="1" ht="15" x14ac:dyDescent="0.25">
      <c r="B90" s="5" t="s">
        <v>77</v>
      </c>
      <c r="F90" s="5">
        <f>+F72+F81+F89</f>
        <v>102.10000000000014</v>
      </c>
      <c r="G90" s="5">
        <f>+G72+G81+G89</f>
        <v>-846</v>
      </c>
      <c r="H90" s="5">
        <f>+H72+H81+H89</f>
        <v>-844</v>
      </c>
      <c r="J90" s="5">
        <f>+J72+J81+J89</f>
        <v>-231.89999999999992</v>
      </c>
      <c r="K90" s="5">
        <f>+K72+K81+K89</f>
        <v>5</v>
      </c>
      <c r="L90" s="5">
        <f>+L72+L81+L89</f>
        <v>-65</v>
      </c>
    </row>
  </sheetData>
  <hyperlinks>
    <hyperlink ref="A1" location="Main!A1" display="Main" xr:uid="{DA7148FF-5C7C-4F4D-8B77-259001963F5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2022-09-22T22:26:59Z</dcterms:created>
  <dcterms:modified xsi:type="dcterms:W3CDTF">2022-10-26T18:25:07Z</dcterms:modified>
</cp:coreProperties>
</file>