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D0DABD16-3231-49F7-8994-2426830427B5}" xr6:coauthVersionLast="47" xr6:coauthVersionMax="47" xr10:uidLastSave="{00000000-0000-0000-0000-000000000000}"/>
  <bookViews>
    <workbookView xWindow="11280" yWindow="1560" windowWidth="14775" windowHeight="13905" activeTab="1" xr2:uid="{B216DAC5-578A-4F23-9B1F-F4E7BCF8E23A}"/>
  </bookViews>
  <sheets>
    <sheet name="Main" sheetId="1" r:id="rId1"/>
    <sheet name="Model" sheetId="2" r:id="rId2"/>
    <sheet name="COGS vs Service Marg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2" l="1"/>
  <c r="C33" i="3"/>
  <c r="C46" i="3"/>
  <c r="C43" i="3"/>
  <c r="E46" i="3"/>
  <c r="C45" i="3"/>
  <c r="D13" i="3"/>
  <c r="C42" i="3" l="1"/>
  <c r="D14" i="3"/>
  <c r="D15" i="3"/>
  <c r="D16" i="3"/>
  <c r="D17" i="3"/>
  <c r="D18" i="3"/>
  <c r="D19" i="3"/>
  <c r="D20" i="3"/>
  <c r="C22" i="3"/>
  <c r="C24" i="3"/>
  <c r="C25" i="3"/>
  <c r="C26" i="3" s="1"/>
  <c r="C31" i="3"/>
  <c r="C40" i="3"/>
  <c r="C32" i="3" s="1"/>
  <c r="J11" i="2"/>
  <c r="R28" i="2"/>
  <c r="R27" i="2"/>
  <c r="S28" i="2"/>
  <c r="C29" i="3" l="1"/>
  <c r="D25" i="3"/>
  <c r="D26" i="3" s="1"/>
  <c r="D24" i="3"/>
  <c r="H36" i="2"/>
  <c r="J39" i="2"/>
  <c r="I39" i="2"/>
  <c r="H39" i="2"/>
  <c r="G39" i="2"/>
  <c r="J38" i="2"/>
  <c r="I38" i="2"/>
  <c r="H38" i="2"/>
  <c r="G38" i="2"/>
  <c r="J37" i="2"/>
  <c r="I37" i="2"/>
  <c r="H37" i="2"/>
  <c r="G37" i="2"/>
  <c r="I36" i="2"/>
  <c r="G36" i="2"/>
  <c r="J36" i="2"/>
  <c r="C32" i="2"/>
  <c r="C31" i="2"/>
  <c r="C30" i="2"/>
  <c r="C22" i="2"/>
  <c r="C20" i="2"/>
  <c r="C14" i="2"/>
  <c r="C11" i="2"/>
  <c r="C15" i="2" s="1"/>
  <c r="C21" i="2" s="1"/>
  <c r="G32" i="2"/>
  <c r="G31" i="2"/>
  <c r="G30" i="2"/>
  <c r="G22" i="2"/>
  <c r="G20" i="2"/>
  <c r="G14" i="2"/>
  <c r="G11" i="2"/>
  <c r="H34" i="2"/>
  <c r="E32" i="2"/>
  <c r="D32" i="2"/>
  <c r="D31" i="2"/>
  <c r="D30" i="2"/>
  <c r="D22" i="2"/>
  <c r="D20" i="2"/>
  <c r="D14" i="2"/>
  <c r="D11" i="2"/>
  <c r="H32" i="2"/>
  <c r="H31" i="2"/>
  <c r="H30" i="2"/>
  <c r="H22" i="2"/>
  <c r="H20" i="2"/>
  <c r="H14" i="2"/>
  <c r="H11" i="2"/>
  <c r="I34" i="2"/>
  <c r="E31" i="2"/>
  <c r="E30" i="2"/>
  <c r="E26" i="2"/>
  <c r="E22" i="2"/>
  <c r="E20" i="2"/>
  <c r="E14" i="2"/>
  <c r="E11" i="2"/>
  <c r="I22" i="2"/>
  <c r="J34" i="2"/>
  <c r="F32" i="2"/>
  <c r="F31" i="2"/>
  <c r="F26" i="2"/>
  <c r="F22" i="2"/>
  <c r="F14" i="2"/>
  <c r="J22" i="2"/>
  <c r="J20" i="2"/>
  <c r="I20" i="2"/>
  <c r="I14" i="2"/>
  <c r="I11" i="2"/>
  <c r="L9" i="1"/>
  <c r="D8" i="1"/>
  <c r="D7" i="1"/>
  <c r="D6" i="1"/>
  <c r="D5" i="1"/>
  <c r="F20" i="2"/>
  <c r="F11" i="2"/>
  <c r="Q22" i="2"/>
  <c r="Q20" i="2"/>
  <c r="Q14" i="2"/>
  <c r="Q11" i="2"/>
  <c r="R22" i="2"/>
  <c r="S22" i="2"/>
  <c r="R20" i="2"/>
  <c r="S20" i="2"/>
  <c r="R14" i="2"/>
  <c r="R11" i="2"/>
  <c r="S14" i="2"/>
  <c r="S11" i="2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L8" i="1"/>
  <c r="L7" i="1"/>
  <c r="L6" i="1"/>
  <c r="C30" i="3" l="1"/>
  <c r="D30" i="3" s="1"/>
  <c r="C48" i="3"/>
  <c r="C49" i="3" s="1"/>
  <c r="F13" i="3" s="1"/>
  <c r="C23" i="2"/>
  <c r="C26" i="2" s="1"/>
  <c r="C27" i="2" s="1"/>
  <c r="G34" i="2"/>
  <c r="G15" i="2"/>
  <c r="G21" i="2" s="1"/>
  <c r="G23" i="2" s="1"/>
  <c r="G26" i="2" s="1"/>
  <c r="G27" i="2" s="1"/>
  <c r="D15" i="2"/>
  <c r="D21" i="2" s="1"/>
  <c r="D23" i="2" s="1"/>
  <c r="D26" i="2" s="1"/>
  <c r="D27" i="2" s="1"/>
  <c r="H15" i="2"/>
  <c r="H21" i="2" s="1"/>
  <c r="H23" i="2" s="1"/>
  <c r="H26" i="2" s="1"/>
  <c r="H27" i="2" s="1"/>
  <c r="E15" i="2"/>
  <c r="E21" i="2" s="1"/>
  <c r="E23" i="2" s="1"/>
  <c r="E27" i="2" s="1"/>
  <c r="R34" i="2"/>
  <c r="S15" i="2"/>
  <c r="S34" i="2"/>
  <c r="S30" i="2"/>
  <c r="S21" i="2"/>
  <c r="J15" i="2"/>
  <c r="I15" i="2"/>
  <c r="F15" i="2"/>
  <c r="Q15" i="2"/>
  <c r="R15" i="2"/>
  <c r="J31" i="2" l="1"/>
  <c r="J21" i="2"/>
  <c r="C67" i="3"/>
  <c r="C69" i="3"/>
  <c r="C66" i="3"/>
  <c r="F17" i="3"/>
  <c r="F15" i="3"/>
  <c r="F16" i="3"/>
  <c r="F20" i="3"/>
  <c r="F14" i="3"/>
  <c r="F18" i="3"/>
  <c r="F19" i="3"/>
  <c r="C68" i="3"/>
  <c r="R21" i="2"/>
  <c r="R30" i="2"/>
  <c r="Q21" i="2"/>
  <c r="Q30" i="2"/>
  <c r="F21" i="2"/>
  <c r="F23" i="2" s="1"/>
  <c r="F27" i="2" s="1"/>
  <c r="F30" i="2"/>
  <c r="I21" i="2"/>
  <c r="I31" i="2" s="1"/>
  <c r="I30" i="2"/>
  <c r="J23" i="2"/>
  <c r="J26" i="2" s="1"/>
  <c r="J30" i="2"/>
  <c r="S23" i="2"/>
  <c r="S31" i="2"/>
  <c r="J27" i="2" l="1"/>
  <c r="S27" i="2" s="1"/>
  <c r="J32" i="2"/>
  <c r="I23" i="2"/>
  <c r="S26" i="2"/>
  <c r="S32" i="2"/>
  <c r="Q23" i="2"/>
  <c r="Q31" i="2"/>
  <c r="R31" i="2"/>
  <c r="R23" i="2"/>
  <c r="I26" i="2" l="1"/>
  <c r="I27" i="2" s="1"/>
  <c r="I32" i="2"/>
  <c r="R26" i="2"/>
  <c r="R32" i="2"/>
  <c r="Q26" i="2"/>
  <c r="Q28" i="2" s="1"/>
  <c r="Q32" i="2"/>
</calcChain>
</file>

<file path=xl/sharedStrings.xml><?xml version="1.0" encoding="utf-8"?>
<sst xmlns="http://schemas.openxmlformats.org/spreadsheetml/2006/main" count="102" uniqueCount="92">
  <si>
    <t>Price</t>
  </si>
  <si>
    <t>Shares</t>
  </si>
  <si>
    <t>MC</t>
  </si>
  <si>
    <t>Cash</t>
  </si>
  <si>
    <t>Debt</t>
  </si>
  <si>
    <t>EV</t>
  </si>
  <si>
    <t>Main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</si>
  <si>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</si>
  <si>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</si>
  <si>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</si>
  <si>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</si>
  <si>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</si>
  <si>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</si>
  <si>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</si>
  <si>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</si>
  <si>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</si>
  <si>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</si>
  <si>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</si>
  <si>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</si>
  <si>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</si>
  <si>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COGS</t>
  </si>
  <si>
    <t>Gross Profit</t>
  </si>
  <si>
    <t>Sale of Product</t>
  </si>
  <si>
    <t>Sales of Service</t>
  </si>
  <si>
    <t>Cost of Product</t>
  </si>
  <si>
    <t>Cost of Service</t>
  </si>
  <si>
    <t>G&amp;A</t>
  </si>
  <si>
    <t>R&amp;D</t>
  </si>
  <si>
    <t>Gain on Sale</t>
  </si>
  <si>
    <t>Operating Expense</t>
  </si>
  <si>
    <t>Operating Income</t>
  </si>
  <si>
    <t>Pretax Income</t>
  </si>
  <si>
    <t>Taxes</t>
  </si>
  <si>
    <t>NI</t>
  </si>
  <si>
    <t>Net Income</t>
  </si>
  <si>
    <t>Gain on Investments</t>
  </si>
  <si>
    <t>EPS</t>
  </si>
  <si>
    <t>Gross Margin %</t>
  </si>
  <si>
    <t>Operating Margin %</t>
  </si>
  <si>
    <t>Tax Rate %</t>
  </si>
  <si>
    <t>Revenue Growth Y/Y</t>
  </si>
  <si>
    <t>Commercial Airplanes</t>
  </si>
  <si>
    <t>Defense, Space, &amp; Security</t>
  </si>
  <si>
    <t>Global Services</t>
  </si>
  <si>
    <t>Boeing Capital</t>
  </si>
  <si>
    <t>Business</t>
  </si>
  <si>
    <t>Description</t>
  </si>
  <si>
    <t>% of Revenue</t>
  </si>
  <si>
    <t>Competition</t>
  </si>
  <si>
    <t>Military Aircrafts</t>
  </si>
  <si>
    <t>Jet Aircrafts for fleet support Services</t>
  </si>
  <si>
    <t>Supply Chain</t>
  </si>
  <si>
    <t>Financing</t>
  </si>
  <si>
    <t>SpaceX, Northrop Gruman, Lockheed Martain</t>
  </si>
  <si>
    <t>General Dynamics, BAE Systems</t>
  </si>
  <si>
    <t>All the above</t>
  </si>
  <si>
    <t>Commerical Airplanes</t>
  </si>
  <si>
    <t>Defense, Space &amp; Security</t>
  </si>
  <si>
    <t>Unallocated Items</t>
  </si>
  <si>
    <t>Other Income</t>
  </si>
  <si>
    <t>CA Y/Y</t>
  </si>
  <si>
    <t>DSS Y/Y</t>
  </si>
  <si>
    <t>GS Y/Y</t>
  </si>
  <si>
    <t>BC Y/Y</t>
  </si>
  <si>
    <t>f(x)</t>
  </si>
  <si>
    <t>x</t>
  </si>
  <si>
    <t>Intercept</t>
  </si>
  <si>
    <t>slope</t>
  </si>
  <si>
    <t>F-Stat</t>
  </si>
  <si>
    <t>F-Value[5%]</t>
  </si>
  <si>
    <t>MSE</t>
  </si>
  <si>
    <t>MSR</t>
  </si>
  <si>
    <t>SST</t>
  </si>
  <si>
    <t>SSE</t>
  </si>
  <si>
    <t>SSR</t>
  </si>
  <si>
    <t>Se</t>
  </si>
  <si>
    <t>R^2</t>
  </si>
  <si>
    <t>correlation</t>
  </si>
  <si>
    <t>covarience</t>
  </si>
  <si>
    <t>stnd dev</t>
  </si>
  <si>
    <t>varience</t>
  </si>
  <si>
    <t>average</t>
  </si>
  <si>
    <t>n</t>
  </si>
  <si>
    <t>new</t>
  </si>
  <si>
    <t>old</t>
  </si>
  <si>
    <t>^yi</t>
  </si>
  <si>
    <t>Service Margin</t>
  </si>
  <si>
    <t>X</t>
  </si>
  <si>
    <t>Y</t>
  </si>
  <si>
    <t>T-Value[5%]</t>
  </si>
  <si>
    <t>T-Stat</t>
  </si>
  <si>
    <t>S[^b1]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</si>
</sst>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3" fontId="0" fillId="0" borderId="0" xfId="0" applyNumberFormat="1"/>
    <xf numFmtId="0" fontId="2" fillId="0" borderId="0" xfId="1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Font="1"/>
    <xf numFmtId="9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10" fontId="0" fillId="0" borderId="0" xfId="0" applyNumberFormat="1" applyBorder="1"/>
    <xf numFmtId="10" fontId="0" fillId="0" borderId="4" xfId="0" applyNumberFormat="1" applyBorder="1"/>
    <xf numFmtId="10" fontId="0" fillId="0" borderId="0" xfId="0" applyNumberFormat="1"/>
    <xf numFmtId="0" fontId="0" fillId="0" borderId="0" xfId="0" applyAlignment="1">
      <alignment horizontal="left" vertical="top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[BA]</a:t>
            </a:r>
            <a:r>
              <a:rPr lang="en-US" baseline="0"/>
              <a:t> </a:t>
            </a:r>
            <a:r>
              <a:rPr lang="en-US"/>
              <a:t>Cost</a:t>
            </a:r>
            <a:r>
              <a:rPr lang="en-US" baseline="0"/>
              <a:t> of Service Regressed on Service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'COGS vs Service Margin'!$B$66:$B$69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cat>
          <c:val>
            <c:numRef>
              <c:f>'COGS vs Service Margin'!$C$66:$C$69</c:f>
              <c:numCache>
                <c:formatCode>General</c:formatCode>
                <c:ptCount val="4"/>
                <c:pt idx="0">
                  <c:v>23172.472634983751</c:v>
                </c:pt>
                <c:pt idx="1">
                  <c:v>26809.955356978015</c:v>
                </c:pt>
                <c:pt idx="2">
                  <c:v>30447.438078972278</c:v>
                </c:pt>
                <c:pt idx="3">
                  <c:v>34084.920800966538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F-4FAF-A95F-1FBDEC9F8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799167"/>
        <c:axId val="1185789599"/>
      </c:line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'COGS vs Service Margin'!$D$13:$D$20</c:f>
              <c:numCache>
                <c:formatCode>#,##0.00</c:formatCode>
                <c:ptCount val="8"/>
                <c:pt idx="0">
                  <c:v>0.27371658386562575</c:v>
                </c:pt>
                <c:pt idx="1">
                  <c:v>0.2954179723892606</c:v>
                </c:pt>
                <c:pt idx="2">
                  <c:v>0.26126317278449679</c:v>
                </c:pt>
                <c:pt idx="3">
                  <c:v>0.24392315734448511</c:v>
                </c:pt>
                <c:pt idx="4">
                  <c:v>0.24636919235066043</c:v>
                </c:pt>
                <c:pt idx="5">
                  <c:v>0.23926344275797154</c:v>
                </c:pt>
                <c:pt idx="6">
                  <c:v>0.27627961775101451</c:v>
                </c:pt>
                <c:pt idx="7">
                  <c:v>0.29006962752653281</c:v>
                </c:pt>
              </c:numCache>
            </c:numRef>
          </c:xVal>
          <c:yVal>
            <c:numRef>
              <c:f>'COGS vs Service Margin'!$C$13:$C$20</c:f>
              <c:numCache>
                <c:formatCode>#,##0</c:formatCode>
                <c:ptCount val="8"/>
                <c:pt idx="0">
                  <c:v>2043</c:v>
                </c:pt>
                <c:pt idx="1">
                  <c:v>2589</c:v>
                </c:pt>
                <c:pt idx="2">
                  <c:v>2185</c:v>
                </c:pt>
                <c:pt idx="3">
                  <c:v>2415</c:v>
                </c:pt>
                <c:pt idx="4">
                  <c:v>2167</c:v>
                </c:pt>
                <c:pt idx="5">
                  <c:v>2316</c:v>
                </c:pt>
                <c:pt idx="6">
                  <c:v>2288</c:v>
                </c:pt>
                <c:pt idx="7">
                  <c:v>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F-4FAF-A95F-1FBDEC9F8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77583"/>
        <c:axId val="852998879"/>
      </c:scatterChart>
      <c:catAx>
        <c:axId val="11857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89599"/>
        <c:crosses val="autoZero"/>
        <c:auto val="1"/>
        <c:lblAlgn val="ctr"/>
        <c:lblOffset val="100"/>
        <c:noMultiLvlLbl val="0"/>
      </c:catAx>
      <c:valAx>
        <c:axId val="11857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99167"/>
        <c:crosses val="autoZero"/>
        <c:crossBetween val="between"/>
      </c:valAx>
      <c:valAx>
        <c:axId val="852998879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77583"/>
        <c:crosses val="max"/>
        <c:crossBetween val="midCat"/>
      </c:valAx>
      <c:valAx>
        <c:axId val="1359977583"/>
        <c:scaling>
          <c:orientation val="minMax"/>
        </c:scaling>
        <c:delete val="0"/>
        <c:axPos val="t"/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9887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38100</xdr:rowOff>
    </xdr:from>
    <xdr:to>
      <xdr:col>10</xdr:col>
      <xdr:colOff>19050</xdr:colOff>
      <xdr:row>49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E2CFF0F-E32E-4A76-A7D3-AB7A26483C7F}"/>
            </a:ext>
          </a:extLst>
        </xdr:cNvPr>
        <xdr:cNvCxnSpPr/>
      </xdr:nvCxnSpPr>
      <xdr:spPr>
        <a:xfrm>
          <a:off x="7210425" y="38100"/>
          <a:ext cx="0" cy="792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0</xdr:row>
      <xdr:rowOff>47625</xdr:rowOff>
    </xdr:from>
    <xdr:to>
      <xdr:col>19</xdr:col>
      <xdr:colOff>19050</xdr:colOff>
      <xdr:row>46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E59D8FA-2244-464B-A749-C47543E5AB58}"/>
            </a:ext>
          </a:extLst>
        </xdr:cNvPr>
        <xdr:cNvCxnSpPr/>
      </xdr:nvCxnSpPr>
      <xdr:spPr>
        <a:xfrm>
          <a:off x="13382625" y="47625"/>
          <a:ext cx="0" cy="7267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</xdr:colOff>
      <xdr:row>23</xdr:row>
      <xdr:rowOff>157162</xdr:rowOff>
    </xdr:from>
    <xdr:to>
      <xdr:col>12</xdr:col>
      <xdr:colOff>376237</xdr:colOff>
      <xdr:row>50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64A79-7F65-4C78-A8A0-9892482C4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70D7-BE98-49D0-885B-628F0ADD8D09}">
  <dimension ref="B3:M10"/>
  <sheetViews>
    <sheetView workbookViewId="0">
      <selection activeCell="L8" sqref="K8:L8"/>
    </sheetView>
  </sheetViews>
  <sheetFormatPr defaultRowHeight="14.25" x14ac:dyDescent="0.2"/>
  <cols>
    <col min="2" max="2" width="23.75" bestFit="1" customWidth="1"/>
    <col min="3" max="3" width="31.875" bestFit="1" customWidth="1"/>
    <col min="4" max="4" width="12.25" bestFit="1" customWidth="1"/>
    <col min="5" max="5" width="38.5" bestFit="1" customWidth="1"/>
    <col min="11" max="11" width="9" style="8"/>
  </cols>
  <sheetData>
    <row r="3" spans="2:13" ht="15" thickBot="1" x14ac:dyDescent="0.25"/>
    <row r="4" spans="2:13" ht="15" thickBot="1" x14ac:dyDescent="0.25">
      <c r="B4" s="14" t="s">
        <v>45</v>
      </c>
      <c r="C4" s="15" t="s">
        <v>46</v>
      </c>
      <c r="D4" s="15" t="s">
        <v>47</v>
      </c>
      <c r="E4" s="16" t="s">
        <v>48</v>
      </c>
      <c r="K4" t="s">
        <v>0</v>
      </c>
      <c r="L4">
        <v>188.95</v>
      </c>
      <c r="M4" s="8"/>
    </row>
    <row r="5" spans="2:13" x14ac:dyDescent="0.2">
      <c r="B5" s="9" t="s">
        <v>41</v>
      </c>
      <c r="C5" s="10" t="s">
        <v>50</v>
      </c>
      <c r="D5" s="18">
        <f>19493/$D$9</f>
        <v>0.3129595735799377</v>
      </c>
      <c r="E5" s="11" t="s">
        <v>54</v>
      </c>
      <c r="K5" t="s">
        <v>1</v>
      </c>
      <c r="L5" s="1">
        <v>582.99976500000002</v>
      </c>
      <c r="M5" s="8" t="s">
        <v>14</v>
      </c>
    </row>
    <row r="6" spans="2:13" x14ac:dyDescent="0.2">
      <c r="B6" s="9" t="s">
        <v>42</v>
      </c>
      <c r="C6" s="10" t="s">
        <v>49</v>
      </c>
      <c r="D6" s="18">
        <f>26540/D9</f>
        <v>0.42609896284879428</v>
      </c>
      <c r="E6" s="11" t="s">
        <v>53</v>
      </c>
      <c r="K6" t="s">
        <v>2</v>
      </c>
      <c r="L6" s="1">
        <f>+L4*L5</f>
        <v>110157.80559675</v>
      </c>
      <c r="M6" s="8"/>
    </row>
    <row r="7" spans="2:13" x14ac:dyDescent="0.2">
      <c r="B7" s="9" t="s">
        <v>43</v>
      </c>
      <c r="C7" s="17" t="s">
        <v>51</v>
      </c>
      <c r="D7" s="18">
        <f>16328/$D$9</f>
        <v>0.26214558648813535</v>
      </c>
      <c r="E7" s="11" t="s">
        <v>55</v>
      </c>
      <c r="K7" t="s">
        <v>3</v>
      </c>
      <c r="L7" s="1">
        <f>8052+8192+975</f>
        <v>17219</v>
      </c>
      <c r="M7" s="8" t="s">
        <v>14</v>
      </c>
    </row>
    <row r="8" spans="2:13" x14ac:dyDescent="0.2">
      <c r="B8" s="12" t="s">
        <v>44</v>
      </c>
      <c r="C8" s="13" t="s">
        <v>52</v>
      </c>
      <c r="D8" s="19">
        <f>272/D9</f>
        <v>4.36695244517227E-3</v>
      </c>
      <c r="E8" s="11" t="s">
        <v>55</v>
      </c>
      <c r="K8" t="s">
        <v>4</v>
      </c>
      <c r="L8" s="1">
        <f>1296+3528+9104+56806</f>
        <v>70734</v>
      </c>
      <c r="M8" s="8" t="s">
        <v>14</v>
      </c>
    </row>
    <row r="9" spans="2:13" x14ac:dyDescent="0.2">
      <c r="D9" s="1">
        <v>62286</v>
      </c>
      <c r="K9" t="s">
        <v>5</v>
      </c>
      <c r="L9" s="1">
        <f>+L6-L7+L8</f>
        <v>163672.80559675</v>
      </c>
      <c r="M9" s="8"/>
    </row>
    <row r="10" spans="2:13" x14ac:dyDescent="0.2">
      <c r="D10" s="2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69FC-3388-4AEE-B253-91BAE3AF9358}">
  <dimension ref="A1:AB3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6" sqref="G16"/>
    </sheetView>
  </sheetViews>
  <sheetFormatPr defaultRowHeight="14.25" x14ac:dyDescent="0.2"/>
  <cols>
    <col min="1" max="1" width="4.625" bestFit="1" customWidth="1"/>
    <col min="2" max="2" width="23.25" bestFit="1" customWidth="1"/>
    <col min="19" max="19" width="9" customWidth="1"/>
  </cols>
  <sheetData>
    <row r="1" spans="1:28" x14ac:dyDescent="0.2">
      <c r="A1" s="2" t="s">
        <v>6</v>
      </c>
    </row>
    <row r="2" spans="1:28" x14ac:dyDescent="0.2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P2">
        <v>2018</v>
      </c>
      <c r="Q2">
        <f>+P2+1</f>
        <v>2019</v>
      </c>
      <c r="R2">
        <f t="shared" ref="R2:AB2" si="0">+Q2+1</f>
        <v>2020</v>
      </c>
      <c r="S2">
        <f t="shared" si="0"/>
        <v>2021</v>
      </c>
      <c r="T2">
        <f t="shared" si="0"/>
        <v>2022</v>
      </c>
      <c r="U2">
        <f t="shared" si="0"/>
        <v>2023</v>
      </c>
      <c r="V2">
        <f t="shared" si="0"/>
        <v>2024</v>
      </c>
      <c r="W2">
        <f t="shared" si="0"/>
        <v>2025</v>
      </c>
      <c r="X2">
        <f t="shared" si="0"/>
        <v>2026</v>
      </c>
      <c r="Y2">
        <f t="shared" si="0"/>
        <v>2027</v>
      </c>
      <c r="Z2">
        <f t="shared" si="0"/>
        <v>2028</v>
      </c>
      <c r="AA2">
        <f t="shared" si="0"/>
        <v>2029</v>
      </c>
      <c r="AB2">
        <f t="shared" si="0"/>
        <v>2030</v>
      </c>
    </row>
    <row r="3" spans="1:28" s="1" customFormat="1" x14ac:dyDescent="0.2">
      <c r="B3" s="1" t="s">
        <v>56</v>
      </c>
      <c r="C3" s="1">
        <v>6205</v>
      </c>
      <c r="D3" s="1">
        <v>1633</v>
      </c>
      <c r="E3" s="1">
        <v>3596</v>
      </c>
      <c r="F3" s="1">
        <v>4728</v>
      </c>
      <c r="G3" s="1">
        <v>4269</v>
      </c>
      <c r="H3" s="1">
        <v>6015</v>
      </c>
      <c r="I3" s="1">
        <v>4459</v>
      </c>
      <c r="J3" s="1">
        <v>4750</v>
      </c>
    </row>
    <row r="4" spans="1:28" s="1" customFormat="1" x14ac:dyDescent="0.2">
      <c r="B4" s="1" t="s">
        <v>57</v>
      </c>
      <c r="C4" s="1">
        <v>6042</v>
      </c>
      <c r="D4" s="1">
        <v>6588</v>
      </c>
      <c r="E4" s="1">
        <v>6848</v>
      </c>
      <c r="F4" s="1">
        <v>6779</v>
      </c>
      <c r="G4" s="1">
        <v>7185</v>
      </c>
      <c r="H4" s="1">
        <v>6876</v>
      </c>
      <c r="I4" s="1">
        <v>6617</v>
      </c>
      <c r="J4" s="1">
        <v>5862</v>
      </c>
    </row>
    <row r="5" spans="1:28" s="1" customFormat="1" x14ac:dyDescent="0.2">
      <c r="B5" s="1" t="s">
        <v>43</v>
      </c>
      <c r="C5" s="1">
        <v>4628</v>
      </c>
      <c r="D5" s="1">
        <v>3488</v>
      </c>
      <c r="E5" s="1">
        <v>3694</v>
      </c>
      <c r="F5" s="1">
        <v>3733</v>
      </c>
      <c r="G5" s="1">
        <v>3749</v>
      </c>
      <c r="H5" s="1">
        <v>4067</v>
      </c>
      <c r="I5" s="1">
        <v>4221</v>
      </c>
      <c r="J5" s="1">
        <v>4291</v>
      </c>
    </row>
    <row r="6" spans="1:28" s="1" customFormat="1" x14ac:dyDescent="0.2">
      <c r="B6" s="1" t="s">
        <v>44</v>
      </c>
      <c r="C6" s="1">
        <v>65</v>
      </c>
      <c r="D6" s="1">
        <v>69</v>
      </c>
      <c r="E6" s="1">
        <v>71</v>
      </c>
      <c r="F6" s="1">
        <v>56</v>
      </c>
      <c r="G6" s="1">
        <v>60</v>
      </c>
      <c r="H6" s="1">
        <v>78</v>
      </c>
      <c r="I6" s="1">
        <v>71</v>
      </c>
      <c r="J6" s="1">
        <v>63</v>
      </c>
    </row>
    <row r="7" spans="1:28" s="1" customFormat="1" x14ac:dyDescent="0.2">
      <c r="B7" s="1" t="s">
        <v>58</v>
      </c>
      <c r="C7" s="1">
        <v>-32</v>
      </c>
      <c r="D7" s="1">
        <v>29</v>
      </c>
      <c r="E7" s="1">
        <v>-70</v>
      </c>
      <c r="F7" s="1">
        <v>8</v>
      </c>
      <c r="G7" s="1">
        <v>-46</v>
      </c>
      <c r="H7" s="1">
        <v>-38</v>
      </c>
      <c r="I7" s="1">
        <v>-90</v>
      </c>
      <c r="J7" s="1">
        <v>-173</v>
      </c>
    </row>
    <row r="8" spans="1:28" x14ac:dyDescent="0.2">
      <c r="J8" s="1"/>
    </row>
    <row r="9" spans="1:28" s="5" customFormat="1" x14ac:dyDescent="0.2">
      <c r="B9" s="5" t="s">
        <v>22</v>
      </c>
      <c r="C9" s="5">
        <v>14191</v>
      </c>
      <c r="D9" s="5">
        <v>9063</v>
      </c>
      <c r="E9" s="5">
        <v>11402</v>
      </c>
      <c r="F9" s="5">
        <v>12486</v>
      </c>
      <c r="G9" s="5">
        <v>12518</v>
      </c>
      <c r="H9" s="5">
        <v>14154</v>
      </c>
      <c r="I9" s="5">
        <v>12552</v>
      </c>
      <c r="J9" s="5">
        <v>12162</v>
      </c>
      <c r="Q9" s="5">
        <v>66094</v>
      </c>
      <c r="R9" s="5">
        <v>47142</v>
      </c>
      <c r="S9" s="5">
        <v>51386</v>
      </c>
    </row>
    <row r="10" spans="1:28" s="5" customFormat="1" x14ac:dyDescent="0.2">
      <c r="B10" s="5" t="s">
        <v>23</v>
      </c>
      <c r="C10" s="5">
        <v>2717</v>
      </c>
      <c r="D10" s="5">
        <v>2744</v>
      </c>
      <c r="E10" s="5">
        <v>2737</v>
      </c>
      <c r="F10" s="5">
        <v>2818</v>
      </c>
      <c r="G10" s="5">
        <v>2699</v>
      </c>
      <c r="H10" s="5">
        <v>2844</v>
      </c>
      <c r="I10" s="5">
        <v>2726</v>
      </c>
      <c r="J10" s="5">
        <v>2631</v>
      </c>
      <c r="Q10" s="5">
        <v>10465</v>
      </c>
      <c r="R10" s="5">
        <v>11016</v>
      </c>
      <c r="S10" s="5">
        <v>10900</v>
      </c>
    </row>
    <row r="11" spans="1:28" s="4" customFormat="1" ht="15" x14ac:dyDescent="0.25">
      <c r="B11" s="4" t="s">
        <v>19</v>
      </c>
      <c r="C11" s="4">
        <f t="shared" ref="C11:I11" si="1">+SUM(C9:C10)</f>
        <v>16908</v>
      </c>
      <c r="D11" s="4">
        <f t="shared" si="1"/>
        <v>11807</v>
      </c>
      <c r="E11" s="4">
        <f t="shared" si="1"/>
        <v>14139</v>
      </c>
      <c r="F11" s="4">
        <f t="shared" si="1"/>
        <v>15304</v>
      </c>
      <c r="G11" s="4">
        <f t="shared" si="1"/>
        <v>15217</v>
      </c>
      <c r="H11" s="4">
        <f t="shared" si="1"/>
        <v>16998</v>
      </c>
      <c r="I11" s="4">
        <f t="shared" si="1"/>
        <v>15278</v>
      </c>
      <c r="J11" s="4">
        <f>+SUM(J9:J10)</f>
        <v>14793</v>
      </c>
      <c r="Q11" s="4">
        <f>+SUM(Q9:Q10)</f>
        <v>76559</v>
      </c>
      <c r="R11" s="4">
        <f>+SUM(R9:R10)</f>
        <v>58158</v>
      </c>
      <c r="S11" s="4">
        <f>+SUM(S9:S10)</f>
        <v>62286</v>
      </c>
    </row>
    <row r="12" spans="1:28" s="4" customFormat="1" ht="15" x14ac:dyDescent="0.25">
      <c r="B12" s="5" t="s">
        <v>24</v>
      </c>
      <c r="C12" s="5">
        <v>14713</v>
      </c>
      <c r="D12" s="5">
        <v>10378</v>
      </c>
      <c r="E12" s="5">
        <v>10910</v>
      </c>
      <c r="F12" s="5">
        <v>18567</v>
      </c>
      <c r="G12" s="5">
        <v>11632</v>
      </c>
      <c r="H12" s="5">
        <v>12263</v>
      </c>
      <c r="I12" s="5">
        <v>11271</v>
      </c>
      <c r="J12" s="5">
        <v>14788</v>
      </c>
      <c r="Q12" s="5">
        <v>62877</v>
      </c>
      <c r="R12" s="5">
        <v>54568</v>
      </c>
      <c r="S12" s="5">
        <v>49954</v>
      </c>
    </row>
    <row r="13" spans="1:28" s="4" customFormat="1" ht="15" x14ac:dyDescent="0.25">
      <c r="B13" s="5" t="s">
        <v>25</v>
      </c>
      <c r="C13" s="5">
        <v>2043</v>
      </c>
      <c r="D13" s="5">
        <v>2589</v>
      </c>
      <c r="E13" s="5">
        <v>2185</v>
      </c>
      <c r="F13" s="5">
        <v>2415</v>
      </c>
      <c r="G13" s="5">
        <v>2167</v>
      </c>
      <c r="H13" s="5">
        <v>2316</v>
      </c>
      <c r="I13" s="5">
        <v>2288</v>
      </c>
      <c r="J13" s="5">
        <v>2512</v>
      </c>
      <c r="Q13" s="5">
        <v>9154</v>
      </c>
      <c r="R13" s="5">
        <v>9232</v>
      </c>
      <c r="S13" s="5">
        <v>9283</v>
      </c>
    </row>
    <row r="14" spans="1:28" s="1" customFormat="1" x14ac:dyDescent="0.2">
      <c r="B14" s="1" t="s">
        <v>20</v>
      </c>
      <c r="C14" s="5">
        <f t="shared" ref="C14:J14" si="2">+SUM(C12:C13)</f>
        <v>16756</v>
      </c>
      <c r="D14" s="5">
        <f t="shared" si="2"/>
        <v>12967</v>
      </c>
      <c r="E14" s="5">
        <f t="shared" si="2"/>
        <v>13095</v>
      </c>
      <c r="F14" s="5">
        <f t="shared" si="2"/>
        <v>20982</v>
      </c>
      <c r="G14" s="5">
        <f t="shared" si="2"/>
        <v>13799</v>
      </c>
      <c r="H14" s="5">
        <f t="shared" si="2"/>
        <v>14579</v>
      </c>
      <c r="I14" s="5">
        <f t="shared" si="2"/>
        <v>13559</v>
      </c>
      <c r="J14" s="5">
        <f>+SUM(J12:J13)</f>
        <v>17300</v>
      </c>
      <c r="Q14" s="5">
        <f>+SUM(Q12:Q13)</f>
        <v>72031</v>
      </c>
      <c r="R14" s="5">
        <f>+SUM(R12:R13)</f>
        <v>63800</v>
      </c>
      <c r="S14" s="5">
        <f>+SUM(S12:S13)</f>
        <v>59237</v>
      </c>
    </row>
    <row r="15" spans="1:28" s="1" customFormat="1" x14ac:dyDescent="0.2">
      <c r="B15" s="1" t="s">
        <v>21</v>
      </c>
      <c r="C15" s="5">
        <f t="shared" ref="C15:J15" si="3">+C11-C14</f>
        <v>152</v>
      </c>
      <c r="D15" s="5">
        <f t="shared" si="3"/>
        <v>-1160</v>
      </c>
      <c r="E15" s="5">
        <f t="shared" si="3"/>
        <v>1044</v>
      </c>
      <c r="F15" s="5">
        <f t="shared" si="3"/>
        <v>-5678</v>
      </c>
      <c r="G15" s="5">
        <f t="shared" si="3"/>
        <v>1418</v>
      </c>
      <c r="H15" s="5">
        <f t="shared" si="3"/>
        <v>2419</v>
      </c>
      <c r="I15" s="5">
        <f t="shared" si="3"/>
        <v>1719</v>
      </c>
      <c r="J15" s="5">
        <f t="shared" si="3"/>
        <v>-2507</v>
      </c>
      <c r="Q15" s="5">
        <f>+Q11-Q14</f>
        <v>4528</v>
      </c>
      <c r="R15" s="5">
        <f>+R11-R14</f>
        <v>-5642</v>
      </c>
      <c r="S15" s="5">
        <f>+S11-S14</f>
        <v>3049</v>
      </c>
    </row>
    <row r="16" spans="1:28" x14ac:dyDescent="0.2">
      <c r="B16" s="1" t="s">
        <v>35</v>
      </c>
      <c r="C16" s="5">
        <v>-2</v>
      </c>
      <c r="D16" s="5">
        <v>-45</v>
      </c>
      <c r="E16" s="5">
        <v>-14</v>
      </c>
      <c r="F16" s="5">
        <v>70</v>
      </c>
      <c r="G16" s="5">
        <v>37</v>
      </c>
      <c r="H16" s="5">
        <v>38</v>
      </c>
      <c r="I16" s="5">
        <v>120</v>
      </c>
      <c r="J16" s="5">
        <v>15</v>
      </c>
      <c r="Q16" s="5">
        <v>-4</v>
      </c>
      <c r="R16" s="5">
        <v>9</v>
      </c>
      <c r="S16" s="5">
        <v>210</v>
      </c>
    </row>
    <row r="17" spans="2:19" x14ac:dyDescent="0.2">
      <c r="B17" s="1" t="s">
        <v>26</v>
      </c>
      <c r="C17" s="5">
        <v>873</v>
      </c>
      <c r="D17" s="5">
        <v>1161</v>
      </c>
      <c r="E17" s="5">
        <v>955</v>
      </c>
      <c r="F17" s="5">
        <v>1828</v>
      </c>
      <c r="G17" s="5">
        <v>1032</v>
      </c>
      <c r="H17" s="5">
        <v>1040</v>
      </c>
      <c r="I17" s="5">
        <v>1097</v>
      </c>
      <c r="J17" s="5">
        <v>988</v>
      </c>
      <c r="Q17" s="5">
        <v>3909</v>
      </c>
      <c r="R17" s="5">
        <v>4817</v>
      </c>
      <c r="S17" s="5">
        <v>4157</v>
      </c>
    </row>
    <row r="18" spans="2:19" x14ac:dyDescent="0.2">
      <c r="B18" s="1" t="s">
        <v>27</v>
      </c>
      <c r="C18" s="5">
        <v>672</v>
      </c>
      <c r="D18" s="5">
        <v>625</v>
      </c>
      <c r="E18" s="5">
        <v>574</v>
      </c>
      <c r="F18" s="5">
        <v>605</v>
      </c>
      <c r="G18" s="5">
        <v>499</v>
      </c>
      <c r="H18" s="5">
        <v>497</v>
      </c>
      <c r="I18" s="5">
        <v>575</v>
      </c>
      <c r="J18" s="5">
        <v>678</v>
      </c>
      <c r="Q18" s="5">
        <v>3219</v>
      </c>
      <c r="R18" s="5">
        <v>2476</v>
      </c>
      <c r="S18" s="5">
        <v>2249</v>
      </c>
    </row>
    <row r="19" spans="2:19" x14ac:dyDescent="0.2">
      <c r="B19" s="1" t="s">
        <v>28</v>
      </c>
      <c r="C19" s="5">
        <v>54</v>
      </c>
      <c r="D19" s="5">
        <v>38</v>
      </c>
      <c r="E19" s="5">
        <v>108</v>
      </c>
      <c r="F19" s="5">
        <v>2</v>
      </c>
      <c r="G19" s="5">
        <v>2</v>
      </c>
      <c r="H19" s="5">
        <v>112</v>
      </c>
      <c r="I19" s="5">
        <v>169</v>
      </c>
      <c r="J19" s="5">
        <v>-6</v>
      </c>
      <c r="Q19" s="5">
        <v>691</v>
      </c>
      <c r="R19" s="5">
        <v>202</v>
      </c>
      <c r="S19" s="5">
        <v>277</v>
      </c>
    </row>
    <row r="20" spans="2:19" x14ac:dyDescent="0.2">
      <c r="B20" s="1" t="s">
        <v>29</v>
      </c>
      <c r="C20" s="5">
        <f t="shared" ref="C20:J20" si="4">+-C19+C18+C17+-C16</f>
        <v>1493</v>
      </c>
      <c r="D20" s="5">
        <f t="shared" si="4"/>
        <v>1793</v>
      </c>
      <c r="E20" s="5">
        <f t="shared" si="4"/>
        <v>1435</v>
      </c>
      <c r="F20" s="5">
        <f t="shared" si="4"/>
        <v>2361</v>
      </c>
      <c r="G20" s="5">
        <f t="shared" si="4"/>
        <v>1492</v>
      </c>
      <c r="H20" s="5">
        <f t="shared" si="4"/>
        <v>1387</v>
      </c>
      <c r="I20" s="5">
        <f t="shared" si="4"/>
        <v>1383</v>
      </c>
      <c r="J20" s="5">
        <f t="shared" si="4"/>
        <v>1657</v>
      </c>
      <c r="Q20" s="5">
        <f>+-Q19+Q18+Q17+-Q16</f>
        <v>6441</v>
      </c>
      <c r="R20" s="5">
        <f>+-R19+R18+R17+-R16</f>
        <v>7082</v>
      </c>
      <c r="S20" s="5">
        <f>+-S19+S18+S17+-S16</f>
        <v>5919</v>
      </c>
    </row>
    <row r="21" spans="2:19" x14ac:dyDescent="0.2">
      <c r="B21" s="1" t="s">
        <v>30</v>
      </c>
      <c r="C21" s="5">
        <f t="shared" ref="C21:I21" si="5">+C15-C20</f>
        <v>-1341</v>
      </c>
      <c r="D21" s="5">
        <f t="shared" si="5"/>
        <v>-2953</v>
      </c>
      <c r="E21" s="5">
        <f t="shared" si="5"/>
        <v>-391</v>
      </c>
      <c r="F21" s="5">
        <f t="shared" si="5"/>
        <v>-8039</v>
      </c>
      <c r="G21" s="5">
        <f t="shared" si="5"/>
        <v>-74</v>
      </c>
      <c r="H21" s="5">
        <f t="shared" si="5"/>
        <v>1032</v>
      </c>
      <c r="I21" s="5">
        <f t="shared" si="5"/>
        <v>336</v>
      </c>
      <c r="J21" s="5">
        <f>+J15-J20</f>
        <v>-4164</v>
      </c>
      <c r="Q21" s="5">
        <f>+Q15-Q20</f>
        <v>-1913</v>
      </c>
      <c r="R21" s="5">
        <f>+R15-R20</f>
        <v>-12724</v>
      </c>
      <c r="S21" s="5">
        <f>+S15-S20</f>
        <v>-2870</v>
      </c>
    </row>
    <row r="22" spans="2:19" x14ac:dyDescent="0.2">
      <c r="B22" s="1" t="s">
        <v>59</v>
      </c>
      <c r="C22">
        <f>112+-262</f>
        <v>-150</v>
      </c>
      <c r="D22">
        <f>94+-553</f>
        <v>-459</v>
      </c>
      <c r="E22">
        <f>119+-643</f>
        <v>-524</v>
      </c>
      <c r="F22">
        <f>122+-698</f>
        <v>-576</v>
      </c>
      <c r="G22">
        <f>190-679</f>
        <v>-489</v>
      </c>
      <c r="H22">
        <f>199+-673</f>
        <v>-474</v>
      </c>
      <c r="I22">
        <f>30+-669</f>
        <v>-639</v>
      </c>
      <c r="J22">
        <f>132+-661</f>
        <v>-529</v>
      </c>
      <c r="Q22">
        <f>+-438+722</f>
        <v>284</v>
      </c>
      <c r="R22">
        <f>+-447+2156</f>
        <v>1709</v>
      </c>
      <c r="S22">
        <f>2682-551</f>
        <v>2131</v>
      </c>
    </row>
    <row r="23" spans="2:19" x14ac:dyDescent="0.2">
      <c r="B23" s="1" t="s">
        <v>31</v>
      </c>
      <c r="C23" s="1">
        <f>+C21+C22</f>
        <v>-1491</v>
      </c>
      <c r="D23" s="1">
        <f>+D21+D22</f>
        <v>-3412</v>
      </c>
      <c r="E23" s="1">
        <f>+E21+E22</f>
        <v>-915</v>
      </c>
      <c r="F23" s="1">
        <f>+F21-F22</f>
        <v>-7463</v>
      </c>
      <c r="G23" s="1">
        <f>+G21+G22</f>
        <v>-563</v>
      </c>
      <c r="H23" s="1">
        <f>+H21+H22</f>
        <v>558</v>
      </c>
      <c r="I23" s="1">
        <f>+I21+I22</f>
        <v>-303</v>
      </c>
      <c r="J23" s="1">
        <f>+J21+J22</f>
        <v>-4693</v>
      </c>
      <c r="Q23" s="1">
        <f>+Q21-Q22</f>
        <v>-2197</v>
      </c>
      <c r="R23" s="1">
        <f>+R21-R22</f>
        <v>-14433</v>
      </c>
      <c r="S23" s="1">
        <f>+S21-S22</f>
        <v>-5001</v>
      </c>
    </row>
    <row r="24" spans="2:19" x14ac:dyDescent="0.2">
      <c r="B24" s="1" t="s">
        <v>32</v>
      </c>
      <c r="C24" s="1">
        <v>-862</v>
      </c>
      <c r="D24" s="1">
        <v>-1028</v>
      </c>
      <c r="E24" s="1">
        <v>-459</v>
      </c>
      <c r="F24" s="1">
        <v>-186</v>
      </c>
      <c r="G24" s="1">
        <v>-11</v>
      </c>
      <c r="H24" s="1">
        <v>-18</v>
      </c>
      <c r="I24" s="1">
        <v>-178</v>
      </c>
      <c r="J24" s="1">
        <v>-536</v>
      </c>
      <c r="Q24" s="1">
        <v>-1623</v>
      </c>
      <c r="R24" s="1">
        <v>-2535</v>
      </c>
      <c r="S24" s="1">
        <v>-743</v>
      </c>
    </row>
    <row r="25" spans="2:19" x14ac:dyDescent="0.2">
      <c r="B25" s="1" t="s">
        <v>33</v>
      </c>
      <c r="C25">
        <v>-13</v>
      </c>
      <c r="D25">
        <v>-19</v>
      </c>
      <c r="E25">
        <v>-17</v>
      </c>
      <c r="F25">
        <v>-19</v>
      </c>
      <c r="G25">
        <v>-24</v>
      </c>
      <c r="H25">
        <v>-20</v>
      </c>
      <c r="I25">
        <v>-23</v>
      </c>
      <c r="J25">
        <v>-21</v>
      </c>
      <c r="Q25">
        <v>0</v>
      </c>
      <c r="R25">
        <v>68</v>
      </c>
      <c r="S25">
        <v>88</v>
      </c>
    </row>
    <row r="26" spans="2:19" s="3" customFormat="1" ht="15" x14ac:dyDescent="0.25">
      <c r="B26" s="4" t="s">
        <v>34</v>
      </c>
      <c r="C26" s="4">
        <f t="shared" ref="C26:J26" si="6">+C23-C24+C25</f>
        <v>-642</v>
      </c>
      <c r="D26" s="4">
        <f t="shared" si="6"/>
        <v>-2403</v>
      </c>
      <c r="E26" s="4">
        <f t="shared" si="6"/>
        <v>-473</v>
      </c>
      <c r="F26" s="4">
        <f t="shared" si="6"/>
        <v>-7296</v>
      </c>
      <c r="G26" s="4">
        <f t="shared" si="6"/>
        <v>-576</v>
      </c>
      <c r="H26" s="4">
        <f t="shared" si="6"/>
        <v>556</v>
      </c>
      <c r="I26" s="4">
        <f t="shared" si="6"/>
        <v>-148</v>
      </c>
      <c r="J26" s="4">
        <f>+J23-J24+J25</f>
        <v>-4178</v>
      </c>
      <c r="Q26" s="4">
        <f>+Q23-Q24-Q25</f>
        <v>-574</v>
      </c>
      <c r="R26" s="4">
        <f>+R23-R24-R25</f>
        <v>-11966</v>
      </c>
      <c r="S26" s="4">
        <f>+S23-S24-S25</f>
        <v>-4346</v>
      </c>
    </row>
    <row r="27" spans="2:19" x14ac:dyDescent="0.2">
      <c r="B27" s="1" t="s">
        <v>36</v>
      </c>
      <c r="C27" s="7">
        <f t="shared" ref="C27:J27" si="7">+C26/C28</f>
        <v>-1.1344760558402545</v>
      </c>
      <c r="D27" s="7">
        <f t="shared" si="7"/>
        <v>-4.2425847457627119</v>
      </c>
      <c r="E27" s="7">
        <f t="shared" si="7"/>
        <v>-0.83480409459936455</v>
      </c>
      <c r="F27" s="7">
        <f t="shared" si="7"/>
        <v>-12.679874869655892</v>
      </c>
      <c r="G27" s="7">
        <f t="shared" si="7"/>
        <v>-0.9839426033481381</v>
      </c>
      <c r="H27" s="7">
        <f t="shared" si="7"/>
        <v>0.94205354117248385</v>
      </c>
      <c r="I27" s="7">
        <f t="shared" si="7"/>
        <v>-0.25127334465195245</v>
      </c>
      <c r="J27" s="7">
        <f t="shared" si="7"/>
        <v>-7.0777570726749115</v>
      </c>
      <c r="Q27">
        <v>-1.1200000000000001</v>
      </c>
      <c r="R27" s="7">
        <f>+AVERAGE(C27:F27)</f>
        <v>-4.7229349414645556</v>
      </c>
      <c r="S27" s="7">
        <f>+AVERAGE(G27:J27)</f>
        <v>-1.8427298698756296</v>
      </c>
    </row>
    <row r="28" spans="2:19" x14ac:dyDescent="0.2">
      <c r="B28" s="1" t="s">
        <v>1</v>
      </c>
      <c r="C28" s="1">
        <v>565.9</v>
      </c>
      <c r="D28" s="1">
        <v>566.4</v>
      </c>
      <c r="E28" s="1">
        <v>566.6</v>
      </c>
      <c r="F28" s="1">
        <v>575.4</v>
      </c>
      <c r="G28" s="1">
        <v>585.4</v>
      </c>
      <c r="H28" s="1">
        <v>590.20000000000005</v>
      </c>
      <c r="I28" s="1">
        <v>589</v>
      </c>
      <c r="J28" s="1">
        <v>590.29999999999995</v>
      </c>
      <c r="Q28" s="1">
        <f>+Q26*Q27</f>
        <v>642.88000000000011</v>
      </c>
      <c r="R28" s="7">
        <f>+AVERAGE(C28:F28)</f>
        <v>568.57500000000005</v>
      </c>
      <c r="S28" s="7">
        <f>+AVERAGE(G28:J28)</f>
        <v>588.72499999999991</v>
      </c>
    </row>
    <row r="30" spans="2:19" s="6" customFormat="1" x14ac:dyDescent="0.2">
      <c r="B30" s="6" t="s">
        <v>37</v>
      </c>
      <c r="C30" s="6">
        <f t="shared" ref="C30:J30" si="8">+C15/C11</f>
        <v>8.9898273006860652E-3</v>
      </c>
      <c r="D30" s="6">
        <f t="shared" si="8"/>
        <v>-9.8246802744134831E-2</v>
      </c>
      <c r="E30" s="6">
        <f t="shared" si="8"/>
        <v>7.383831954169319E-2</v>
      </c>
      <c r="F30" s="6">
        <f t="shared" si="8"/>
        <v>-0.37101411395713541</v>
      </c>
      <c r="G30" s="6">
        <f t="shared" si="8"/>
        <v>9.318525333508576E-2</v>
      </c>
      <c r="H30" s="6">
        <f t="shared" si="8"/>
        <v>0.14231086010118837</v>
      </c>
      <c r="I30" s="6">
        <f t="shared" si="8"/>
        <v>0.11251472705851551</v>
      </c>
      <c r="J30" s="6">
        <f t="shared" si="8"/>
        <v>-0.16947204759007639</v>
      </c>
      <c r="Q30" s="6">
        <f>+Q15/Q11</f>
        <v>5.9143928212228476E-2</v>
      </c>
      <c r="R30" s="6">
        <f>+R15/R11</f>
        <v>-9.7011589119295707E-2</v>
      </c>
      <c r="S30" s="6">
        <f>+S15/S11</f>
        <v>4.8951610313714158E-2</v>
      </c>
    </row>
    <row r="31" spans="2:19" s="6" customFormat="1" x14ac:dyDescent="0.2">
      <c r="B31" s="6" t="s">
        <v>38</v>
      </c>
      <c r="C31" s="6">
        <f t="shared" ref="C31:J31" si="9">+C21/C11</f>
        <v>-7.9311568488289561E-2</v>
      </c>
      <c r="D31" s="6">
        <f t="shared" si="9"/>
        <v>-0.25010586939950874</v>
      </c>
      <c r="E31" s="6">
        <f t="shared" si="9"/>
        <v>-2.7654006648277812E-2</v>
      </c>
      <c r="F31" s="6">
        <f t="shared" si="9"/>
        <v>-0.52528750653423939</v>
      </c>
      <c r="G31" s="6">
        <f t="shared" si="9"/>
        <v>-4.8629821909706248E-3</v>
      </c>
      <c r="H31" s="6">
        <f t="shared" si="9"/>
        <v>6.0713025061771973E-2</v>
      </c>
      <c r="I31" s="6">
        <f t="shared" si="9"/>
        <v>2.1992407383165335E-2</v>
      </c>
      <c r="J31" s="6">
        <f t="shared" si="9"/>
        <v>-0.28148448590549585</v>
      </c>
      <c r="Q31" s="6">
        <f>+Q21/Q11</f>
        <v>-2.4987264723938401E-2</v>
      </c>
      <c r="R31" s="6">
        <f>+R21/R11</f>
        <v>-0.21878331441934043</v>
      </c>
      <c r="S31" s="6">
        <f>+S21/S11</f>
        <v>-4.6077770285457405E-2</v>
      </c>
    </row>
    <row r="32" spans="2:19" s="6" customFormat="1" x14ac:dyDescent="0.2">
      <c r="B32" s="6" t="s">
        <v>39</v>
      </c>
      <c r="C32" s="6">
        <f t="shared" ref="C32:J32" si="10">+C24/C23</f>
        <v>0.5781354795439303</v>
      </c>
      <c r="D32" s="6">
        <f t="shared" si="10"/>
        <v>0.30128956623681125</v>
      </c>
      <c r="E32" s="6">
        <f t="shared" si="10"/>
        <v>0.50163934426229506</v>
      </c>
      <c r="F32" s="6">
        <f t="shared" si="10"/>
        <v>2.492295323596409E-2</v>
      </c>
      <c r="G32" s="6">
        <f t="shared" si="10"/>
        <v>1.9538188277087035E-2</v>
      </c>
      <c r="H32" s="6">
        <f t="shared" si="10"/>
        <v>-3.2258064516129031E-2</v>
      </c>
      <c r="I32" s="6">
        <f t="shared" si="10"/>
        <v>0.58745874587458746</v>
      </c>
      <c r="J32" s="6">
        <f t="shared" si="10"/>
        <v>0.11421265714894524</v>
      </c>
      <c r="Q32" s="6">
        <f>+Q24/Q23</f>
        <v>0.73873463814292217</v>
      </c>
      <c r="R32" s="6">
        <f>+R24/R23</f>
        <v>0.17563916025774268</v>
      </c>
      <c r="S32" s="6">
        <f>+S24/S23</f>
        <v>0.14857028594281144</v>
      </c>
    </row>
    <row r="34" spans="2:19" x14ac:dyDescent="0.2">
      <c r="B34" s="1" t="s">
        <v>40</v>
      </c>
      <c r="G34" s="6">
        <f>+G11/C11-1</f>
        <v>-0.10001182872013248</v>
      </c>
      <c r="H34" s="6">
        <f>+H11/D11-1</f>
        <v>0.43965444228000328</v>
      </c>
      <c r="I34" s="6">
        <f>+I11/E11-1</f>
        <v>8.055732371454849E-2</v>
      </c>
      <c r="J34" s="6">
        <f>+J11/F11-1</f>
        <v>-3.3389963408259282E-2</v>
      </c>
      <c r="R34" s="6">
        <f>+R11/Q11-1</f>
        <v>-0.24035057929178805</v>
      </c>
      <c r="S34" s="6">
        <f>+S11/R11-1</f>
        <v>7.0979057051480554E-2</v>
      </c>
    </row>
    <row r="36" spans="2:19" x14ac:dyDescent="0.2">
      <c r="B36" t="s">
        <v>60</v>
      </c>
      <c r="G36" s="6">
        <f t="shared" ref="G36:I36" si="11">+G3/C3-1</f>
        <v>-0.31200644641418207</v>
      </c>
      <c r="H36" s="6">
        <f>+H3/D3-1</f>
        <v>2.6834047764849971</v>
      </c>
      <c r="I36" s="6">
        <f t="shared" si="11"/>
        <v>0.23998887652947709</v>
      </c>
      <c r="J36" s="6">
        <f>+J3/F3-1</f>
        <v>4.6531302876480218E-3</v>
      </c>
    </row>
    <row r="37" spans="2:19" x14ac:dyDescent="0.2">
      <c r="B37" t="s">
        <v>61</v>
      </c>
      <c r="G37" s="6">
        <f t="shared" ref="G37:J37" si="12">+G4/C4-1</f>
        <v>0.18917576961271099</v>
      </c>
      <c r="H37" s="6">
        <f t="shared" si="12"/>
        <v>4.3715846994535568E-2</v>
      </c>
      <c r="I37" s="6">
        <f t="shared" si="12"/>
        <v>-3.3732476635514042E-2</v>
      </c>
      <c r="J37" s="6">
        <f t="shared" si="12"/>
        <v>-0.13527068889216698</v>
      </c>
    </row>
    <row r="38" spans="2:19" x14ac:dyDescent="0.2">
      <c r="B38" t="s">
        <v>62</v>
      </c>
      <c r="G38" s="6">
        <f t="shared" ref="G38:J38" si="13">+G5/C5-1</f>
        <v>-0.18993085566119272</v>
      </c>
      <c r="H38" s="6">
        <f t="shared" si="13"/>
        <v>0.16599770642201839</v>
      </c>
      <c r="I38" s="6">
        <f t="shared" si="13"/>
        <v>0.14266377910124528</v>
      </c>
      <c r="J38" s="6">
        <f t="shared" si="13"/>
        <v>0.14947763193142238</v>
      </c>
    </row>
    <row r="39" spans="2:19" x14ac:dyDescent="0.2">
      <c r="B39" t="s">
        <v>63</v>
      </c>
      <c r="G39" s="6">
        <f t="shared" ref="G39:J39" si="14">+G6/C6-1</f>
        <v>-7.6923076923076872E-2</v>
      </c>
      <c r="H39" s="6">
        <f t="shared" si="14"/>
        <v>0.13043478260869557</v>
      </c>
      <c r="I39" s="6">
        <f t="shared" si="14"/>
        <v>0</v>
      </c>
      <c r="J39" s="6">
        <f t="shared" si="14"/>
        <v>0.125</v>
      </c>
    </row>
  </sheetData>
  <hyperlinks>
    <hyperlink ref="A1" location="Main!A1" display="Main" xr:uid="{594DF56B-7689-44A3-B6DC-191299E093BB}"/>
  </hyperlink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6DDA-E1DB-4720-940E-43BC9FE5DFAF}">
  <dimension ref="B2:I69"/>
  <sheetViews>
    <sheetView topLeftCell="A7" workbookViewId="0">
      <selection activeCell="D43" sqref="D43"/>
    </sheetView>
  </sheetViews>
  <sheetFormatPr defaultRowHeight="14.25" x14ac:dyDescent="0.2"/>
  <cols>
    <col min="2" max="2" width="10.75" bestFit="1" customWidth="1"/>
    <col min="3" max="3" width="9.875" bestFit="1" customWidth="1"/>
    <col min="8" max="8" width="12.25" bestFit="1" customWidth="1"/>
  </cols>
  <sheetData>
    <row r="2" spans="2:9" ht="15" x14ac:dyDescent="0.25">
      <c r="D2" s="26"/>
      <c r="E2" s="26"/>
      <c r="F2" s="26"/>
      <c r="G2" s="25"/>
      <c r="H2" s="25"/>
      <c r="I2" s="25"/>
    </row>
    <row r="3" spans="2:9" x14ac:dyDescent="0.2">
      <c r="D3" s="21"/>
      <c r="E3" s="21"/>
      <c r="F3" s="21"/>
      <c r="G3" s="23"/>
      <c r="H3" s="24"/>
      <c r="I3" s="23"/>
    </row>
    <row r="5" spans="2:9" x14ac:dyDescent="0.2">
      <c r="D5" s="21"/>
      <c r="E5" s="21"/>
      <c r="F5" s="21"/>
      <c r="G5" s="22"/>
      <c r="H5" s="21"/>
    </row>
    <row r="10" spans="2:9" x14ac:dyDescent="0.2">
      <c r="C10" t="s">
        <v>88</v>
      </c>
      <c r="D10" t="s">
        <v>87</v>
      </c>
    </row>
    <row r="11" spans="2:9" x14ac:dyDescent="0.2">
      <c r="C11" s="1" t="s">
        <v>25</v>
      </c>
      <c r="D11" s="1" t="s">
        <v>86</v>
      </c>
      <c r="E11" s="1"/>
      <c r="F11" s="1" t="s">
        <v>85</v>
      </c>
      <c r="H11" s="1" t="s">
        <v>43</v>
      </c>
      <c r="I11" t="s">
        <v>19</v>
      </c>
    </row>
    <row r="12" spans="2:9" x14ac:dyDescent="0.2">
      <c r="C12" s="1"/>
      <c r="D12" s="1"/>
      <c r="E12" s="1"/>
      <c r="F12" s="1"/>
      <c r="H12" s="1"/>
    </row>
    <row r="13" spans="2:9" x14ac:dyDescent="0.2">
      <c r="B13" t="s">
        <v>84</v>
      </c>
      <c r="C13" s="1">
        <v>2043</v>
      </c>
      <c r="D13" s="7">
        <f t="shared" ref="D13:D20" si="0">+H13/I13</f>
        <v>0.27371658386562575</v>
      </c>
      <c r="E13" s="7"/>
      <c r="F13" s="7">
        <f t="shared" ref="F13:F20" si="1">+$C$49+$C$48*D13</f>
        <v>2343.2156475526767</v>
      </c>
      <c r="H13" s="1">
        <v>4628</v>
      </c>
      <c r="I13">
        <v>16908</v>
      </c>
    </row>
    <row r="14" spans="2:9" x14ac:dyDescent="0.2">
      <c r="C14" s="1">
        <v>2589</v>
      </c>
      <c r="D14" s="7">
        <f t="shared" si="0"/>
        <v>0.2954179723892606</v>
      </c>
      <c r="E14" s="7"/>
      <c r="F14" s="7">
        <f t="shared" si="1"/>
        <v>2422.1540733506831</v>
      </c>
      <c r="H14" s="1">
        <v>3488</v>
      </c>
      <c r="I14">
        <v>11807</v>
      </c>
    </row>
    <row r="15" spans="2:9" x14ac:dyDescent="0.2">
      <c r="C15" s="1">
        <v>2185</v>
      </c>
      <c r="D15" s="7">
        <f t="shared" si="0"/>
        <v>0.26126317278449679</v>
      </c>
      <c r="E15" s="7"/>
      <c r="F15" s="7">
        <f t="shared" si="1"/>
        <v>2297.9165799151783</v>
      </c>
      <c r="H15" s="1">
        <v>3694</v>
      </c>
      <c r="I15">
        <v>14139</v>
      </c>
    </row>
    <row r="16" spans="2:9" x14ac:dyDescent="0.2">
      <c r="C16" s="1">
        <v>2415</v>
      </c>
      <c r="D16" s="7">
        <f t="shared" si="0"/>
        <v>0.24392315734448511</v>
      </c>
      <c r="E16" s="7"/>
      <c r="F16" s="7">
        <f t="shared" si="1"/>
        <v>2234.8425733530221</v>
      </c>
      <c r="H16" s="1">
        <v>3733</v>
      </c>
      <c r="I16">
        <v>15304</v>
      </c>
    </row>
    <row r="17" spans="2:9" x14ac:dyDescent="0.2">
      <c r="C17" s="1">
        <v>2167</v>
      </c>
      <c r="D17" s="7">
        <f t="shared" si="0"/>
        <v>0.24636919235066043</v>
      </c>
      <c r="E17" s="7"/>
      <c r="F17" s="7">
        <f t="shared" si="1"/>
        <v>2243.7399834253779</v>
      </c>
      <c r="H17" s="1">
        <v>3749</v>
      </c>
      <c r="I17">
        <v>15217</v>
      </c>
    </row>
    <row r="18" spans="2:9" x14ac:dyDescent="0.2">
      <c r="C18" s="1">
        <v>2316</v>
      </c>
      <c r="D18" s="7">
        <f t="shared" si="0"/>
        <v>0.23926344275797154</v>
      </c>
      <c r="E18" s="7"/>
      <c r="F18" s="7">
        <f t="shared" si="1"/>
        <v>2217.892942055154</v>
      </c>
      <c r="H18" s="1">
        <v>4067</v>
      </c>
      <c r="I18">
        <v>16998</v>
      </c>
    </row>
    <row r="19" spans="2:9" x14ac:dyDescent="0.2">
      <c r="C19" s="1">
        <v>2288</v>
      </c>
      <c r="D19" s="7">
        <f t="shared" si="0"/>
        <v>0.27627961775101451</v>
      </c>
      <c r="E19" s="7"/>
      <c r="F19" s="7">
        <f t="shared" si="1"/>
        <v>2352.538639026664</v>
      </c>
      <c r="H19" s="1">
        <v>4221</v>
      </c>
      <c r="I19">
        <v>15278</v>
      </c>
    </row>
    <row r="20" spans="2:9" x14ac:dyDescent="0.2">
      <c r="B20" t="s">
        <v>83</v>
      </c>
      <c r="C20" s="1">
        <v>2512</v>
      </c>
      <c r="D20" s="7">
        <f t="shared" si="0"/>
        <v>0.29006962752653281</v>
      </c>
      <c r="E20" s="7"/>
      <c r="F20" s="7">
        <f t="shared" si="1"/>
        <v>2402.6995613212439</v>
      </c>
      <c r="H20" s="1">
        <v>4291</v>
      </c>
      <c r="I20">
        <v>14793</v>
      </c>
    </row>
    <row r="22" spans="2:9" x14ac:dyDescent="0.2">
      <c r="B22" t="s">
        <v>82</v>
      </c>
      <c r="C22">
        <f>+COUNT(C13:C20)</f>
        <v>8</v>
      </c>
    </row>
    <row r="24" spans="2:9" x14ac:dyDescent="0.2">
      <c r="B24" t="s">
        <v>81</v>
      </c>
      <c r="C24" s="1">
        <f>+AVERAGE(C13:C20)</f>
        <v>2314.375</v>
      </c>
      <c r="D24" s="7">
        <f>+AVERAGE(D13:D20)</f>
        <v>0.26578784584625592</v>
      </c>
      <c r="E24" s="7"/>
      <c r="F24" s="7"/>
    </row>
    <row r="25" spans="2:9" x14ac:dyDescent="0.2">
      <c r="B25" t="s">
        <v>80</v>
      </c>
      <c r="C25">
        <f>+_xlfn.STDEV.S(C13:C20)^2</f>
        <v>33914.267857142855</v>
      </c>
      <c r="D25">
        <f>+_xlfn.STDEV.S(D13:D20)^2</f>
        <v>4.5995097388163624E-4</v>
      </c>
      <c r="G25" s="7"/>
    </row>
    <row r="26" spans="2:9" ht="12.75" customHeight="1" x14ac:dyDescent="0.2">
      <c r="B26" t="s">
        <v>79</v>
      </c>
      <c r="C26">
        <f>+SQRT(C25)</f>
        <v>184.15826850061023</v>
      </c>
      <c r="D26">
        <f>+SQRT(D25)</f>
        <v>2.144646763179513E-2</v>
      </c>
      <c r="G26" s="7"/>
    </row>
    <row r="27" spans="2:9" ht="12.75" customHeight="1" x14ac:dyDescent="0.2">
      <c r="G27" s="7"/>
    </row>
    <row r="28" spans="2:9" x14ac:dyDescent="0.2">
      <c r="G28" s="7"/>
    </row>
    <row r="29" spans="2:9" x14ac:dyDescent="0.2">
      <c r="B29" t="s">
        <v>78</v>
      </c>
      <c r="C29">
        <f>+_xlfn.COVARIANCE.S(C13:C20,D13:D20)</f>
        <v>1.6730637204588865</v>
      </c>
      <c r="G29" s="7"/>
    </row>
    <row r="30" spans="2:9" x14ac:dyDescent="0.2">
      <c r="B30" t="s">
        <v>77</v>
      </c>
      <c r="C30">
        <f>+C29/PRODUCT(C26:D26)</f>
        <v>0.42360930135594488</v>
      </c>
      <c r="D30" s="7">
        <f>+C30^2</f>
        <v>0.17944484019527171</v>
      </c>
      <c r="G30" s="7"/>
    </row>
    <row r="31" spans="2:9" x14ac:dyDescent="0.2">
      <c r="B31" t="s">
        <v>76</v>
      </c>
      <c r="C31" s="7">
        <f>+C36/C38</f>
        <v>0.17944484019527174</v>
      </c>
      <c r="G31" s="7"/>
    </row>
    <row r="32" spans="2:9" x14ac:dyDescent="0.2">
      <c r="B32" t="s">
        <v>75</v>
      </c>
      <c r="C32" s="7">
        <f>+SQRT(C40)</f>
        <v>180.18494774732969</v>
      </c>
      <c r="G32" s="7"/>
    </row>
    <row r="33" spans="2:7" x14ac:dyDescent="0.2">
      <c r="B33" t="s">
        <v>91</v>
      </c>
      <c r="C33" s="7">
        <f>+C32/0.056742</f>
        <v>3175.5128079258693</v>
      </c>
      <c r="G33" s="7"/>
    </row>
    <row r="34" spans="2:7" x14ac:dyDescent="0.2">
      <c r="C34" s="7"/>
      <c r="G34" s="7"/>
    </row>
    <row r="35" spans="2:7" x14ac:dyDescent="0.2">
      <c r="G35" s="7"/>
    </row>
    <row r="36" spans="2:7" x14ac:dyDescent="0.2">
      <c r="B36" t="s">
        <v>74</v>
      </c>
      <c r="C36" s="1">
        <v>42600.182631752483</v>
      </c>
      <c r="D36" s="1"/>
      <c r="G36" s="7"/>
    </row>
    <row r="37" spans="2:7" x14ac:dyDescent="0.2">
      <c r="B37" t="s">
        <v>73</v>
      </c>
      <c r="C37" s="1">
        <v>194799.69236824755</v>
      </c>
    </row>
    <row r="38" spans="2:7" x14ac:dyDescent="0.2">
      <c r="B38" t="s">
        <v>72</v>
      </c>
      <c r="C38" s="1">
        <v>237399.875</v>
      </c>
    </row>
    <row r="39" spans="2:7" x14ac:dyDescent="0.2">
      <c r="B39" t="s">
        <v>71</v>
      </c>
      <c r="C39" s="1">
        <v>42600.182631752483</v>
      </c>
    </row>
    <row r="40" spans="2:7" x14ac:dyDescent="0.2">
      <c r="B40" t="s">
        <v>70</v>
      </c>
      <c r="C40" s="1">
        <f>+C37/6</f>
        <v>32466.615394707926</v>
      </c>
    </row>
    <row r="42" spans="2:7" x14ac:dyDescent="0.2">
      <c r="B42" t="s">
        <v>69</v>
      </c>
      <c r="C42" s="7">
        <f>+_xlfn.F.INV(0.95,1,6)</f>
        <v>5.9873776072736975</v>
      </c>
    </row>
    <row r="43" spans="2:7" x14ac:dyDescent="0.2">
      <c r="B43" t="s">
        <v>68</v>
      </c>
      <c r="C43" s="7">
        <f>+C39/C40</f>
        <v>1.3121226870693867</v>
      </c>
      <c r="D43" t="b">
        <v>1</v>
      </c>
    </row>
    <row r="44" spans="2:7" x14ac:dyDescent="0.2">
      <c r="C44" s="7"/>
    </row>
    <row r="45" spans="2:7" x14ac:dyDescent="0.2">
      <c r="B45" t="s">
        <v>89</v>
      </c>
      <c r="C45" s="7">
        <f>+_xlfn.T.INV(0.975,6)</f>
        <v>2.4469118511449688</v>
      </c>
    </row>
    <row r="46" spans="2:7" x14ac:dyDescent="0.2">
      <c r="B46" t="s">
        <v>90</v>
      </c>
      <c r="C46" s="7">
        <f>+C49/C33</f>
        <v>0.42436494025617161</v>
      </c>
      <c r="D46" t="b">
        <v>1</v>
      </c>
      <c r="E46">
        <f>+C46^2</f>
        <v>0.1800856025186241</v>
      </c>
    </row>
    <row r="48" spans="2:7" x14ac:dyDescent="0.2">
      <c r="B48" t="s">
        <v>67</v>
      </c>
      <c r="C48" s="7">
        <f>+C29/D25</f>
        <v>3637.4827219942636</v>
      </c>
    </row>
    <row r="49" spans="2:3" x14ac:dyDescent="0.2">
      <c r="B49" t="s">
        <v>66</v>
      </c>
      <c r="C49">
        <f>+C24-C48*D24</f>
        <v>1347.5763030181693</v>
      </c>
    </row>
    <row r="65" spans="2:3" x14ac:dyDescent="0.2">
      <c r="B65" t="s">
        <v>65</v>
      </c>
      <c r="C65" t="s">
        <v>64</v>
      </c>
    </row>
    <row r="66" spans="2:3" x14ac:dyDescent="0.2">
      <c r="B66">
        <v>6</v>
      </c>
      <c r="C66">
        <f>+$C$48*B66+$C$49</f>
        <v>23172.472634983751</v>
      </c>
    </row>
    <row r="67" spans="2:3" x14ac:dyDescent="0.2">
      <c r="B67">
        <v>7</v>
      </c>
      <c r="C67">
        <f>+$C$48*B67+$C$49</f>
        <v>26809.955356978015</v>
      </c>
    </row>
    <row r="68" spans="2:3" x14ac:dyDescent="0.2">
      <c r="B68">
        <v>8</v>
      </c>
      <c r="C68">
        <f>+$C$48*B68+$C$49</f>
        <v>30447.438078972278</v>
      </c>
    </row>
    <row r="69" spans="2:3" x14ac:dyDescent="0.2">
      <c r="B69">
        <v>9</v>
      </c>
      <c r="C69">
        <f>+$C$48*B69+$C$49</f>
        <v>34084.920800966538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COGS vs Service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2022-02-27T18:56:05Z</dcterms:created>
  <dcterms:modified xsi:type="dcterms:W3CDTF">2022-04-10T17:02:30Z</dcterms:modified>
</cp:coreProperties>
</file>