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l\"/>
    </mc:Choice>
  </mc:AlternateContent>
  <xr:revisionPtr revIDLastSave="0" documentId="13_ncr:1_{F9F02183-8A85-486B-9E59-F97DA9232DC5}" xr6:coauthVersionLast="47" xr6:coauthVersionMax="47" xr10:uidLastSave="{00000000-0000-0000-0000-000000000000}"/>
  <bookViews>
    <workbookView xWindow="2070" yWindow="1140" windowWidth="15060" windowHeight="13905" activeTab="1" xr2:uid="{2C1F098F-7B10-4067-918E-DE4BDF6CE8A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8" i="2" l="1"/>
  <c r="N30" i="2"/>
  <c r="P30" i="2"/>
  <c r="O30" i="2"/>
  <c r="M30" i="2"/>
  <c r="L30" i="2"/>
  <c r="K30" i="2"/>
  <c r="J30" i="2"/>
  <c r="I30" i="2"/>
  <c r="H30" i="2"/>
  <c r="G30" i="2"/>
  <c r="Q30" i="2"/>
  <c r="P29" i="2"/>
  <c r="O29" i="2"/>
  <c r="N29" i="2"/>
  <c r="M29" i="2"/>
  <c r="L29" i="2"/>
  <c r="K29" i="2"/>
  <c r="J29" i="2"/>
  <c r="I29" i="2"/>
  <c r="H29" i="2"/>
  <c r="G29" i="2"/>
  <c r="Q29" i="2"/>
  <c r="P28" i="2"/>
  <c r="O28" i="2"/>
  <c r="N28" i="2"/>
  <c r="M28" i="2"/>
  <c r="L28" i="2"/>
  <c r="K28" i="2"/>
  <c r="J28" i="2"/>
  <c r="I28" i="2"/>
  <c r="H28" i="2"/>
  <c r="G28" i="2"/>
  <c r="Q28" i="2"/>
  <c r="G26" i="2" l="1"/>
  <c r="H26" i="2"/>
  <c r="M26" i="2"/>
  <c r="L26" i="2"/>
  <c r="K26" i="2"/>
  <c r="I26" i="2"/>
  <c r="F20" i="2"/>
  <c r="F12" i="2"/>
  <c r="F11" i="2"/>
  <c r="F10" i="2"/>
  <c r="F8" i="2"/>
  <c r="F6" i="2"/>
  <c r="F5" i="2"/>
  <c r="F4" i="2"/>
  <c r="F3" i="2"/>
  <c r="C17" i="2"/>
  <c r="C15" i="2"/>
  <c r="C13" i="2"/>
  <c r="C7" i="2"/>
  <c r="C9" i="2" s="1"/>
  <c r="C22" i="2" s="1"/>
  <c r="J20" i="2"/>
  <c r="J12" i="2"/>
  <c r="J11" i="2"/>
  <c r="J10" i="2"/>
  <c r="J8" i="2"/>
  <c r="J26" i="2" s="1"/>
  <c r="J6" i="2"/>
  <c r="J5" i="2"/>
  <c r="J4" i="2"/>
  <c r="J3" i="2"/>
  <c r="G17" i="2"/>
  <c r="G15" i="2"/>
  <c r="G13" i="2"/>
  <c r="G7" i="2"/>
  <c r="G9" i="2" s="1"/>
  <c r="G22" i="2" s="1"/>
  <c r="D17" i="2"/>
  <c r="D15" i="2"/>
  <c r="D13" i="2"/>
  <c r="D7" i="2"/>
  <c r="D9" i="2" s="1"/>
  <c r="D22" i="2" s="1"/>
  <c r="H17" i="2"/>
  <c r="H15" i="2"/>
  <c r="H13" i="2"/>
  <c r="H7" i="2"/>
  <c r="H9" i="2" s="1"/>
  <c r="H22" i="2" s="1"/>
  <c r="E17" i="2"/>
  <c r="E15" i="2"/>
  <c r="E13" i="2"/>
  <c r="E7" i="2"/>
  <c r="E9" i="2" s="1"/>
  <c r="E22" i="2" s="1"/>
  <c r="I17" i="2"/>
  <c r="I15" i="2"/>
  <c r="I13" i="2"/>
  <c r="I7" i="2"/>
  <c r="I9" i="2" s="1"/>
  <c r="I22" i="2" s="1"/>
  <c r="K7" i="2"/>
  <c r="K9" i="2" s="1"/>
  <c r="K22" i="2" s="1"/>
  <c r="K13" i="2"/>
  <c r="K15" i="2"/>
  <c r="O26" i="2"/>
  <c r="P26" i="2"/>
  <c r="Q26" i="2"/>
  <c r="N20" i="2"/>
  <c r="N3" i="2"/>
  <c r="N12" i="2"/>
  <c r="N11" i="2"/>
  <c r="N10" i="2"/>
  <c r="N8" i="2"/>
  <c r="N6" i="2"/>
  <c r="N5" i="2"/>
  <c r="N4" i="2"/>
  <c r="Y17" i="2"/>
  <c r="X17" i="2"/>
  <c r="F17" i="2" s="1"/>
  <c r="X15" i="2"/>
  <c r="X13" i="2"/>
  <c r="Y15" i="2"/>
  <c r="Y13" i="2"/>
  <c r="J13" i="2" s="1"/>
  <c r="Y7" i="2"/>
  <c r="Y9" i="2" s="1"/>
  <c r="Y22" i="2" s="1"/>
  <c r="Z17" i="2"/>
  <c r="Z15" i="2"/>
  <c r="Z13" i="2"/>
  <c r="Z7" i="2"/>
  <c r="Z9" i="2" s="1"/>
  <c r="X7" i="2"/>
  <c r="X9" i="2" s="1"/>
  <c r="X22" i="2" s="1"/>
  <c r="O15" i="2"/>
  <c r="O13" i="2"/>
  <c r="O7" i="2"/>
  <c r="O9" i="2" s="1"/>
  <c r="O22" i="2" s="1"/>
  <c r="L17" i="2"/>
  <c r="L15" i="2"/>
  <c r="L13" i="2"/>
  <c r="L7" i="2"/>
  <c r="P15" i="2"/>
  <c r="P13" i="2"/>
  <c r="P7" i="2"/>
  <c r="P9" i="2" s="1"/>
  <c r="P22" i="2" s="1"/>
  <c r="F13" i="2" l="1"/>
  <c r="J17" i="2"/>
  <c r="J15" i="2"/>
  <c r="N26" i="2"/>
  <c r="L33" i="2"/>
  <c r="F15" i="2"/>
  <c r="G33" i="2"/>
  <c r="H33" i="2"/>
  <c r="F7" i="2"/>
  <c r="I33" i="2"/>
  <c r="J9" i="2"/>
  <c r="J7" i="2"/>
  <c r="F9" i="2"/>
  <c r="K33" i="2"/>
  <c r="O33" i="2"/>
  <c r="C14" i="2"/>
  <c r="G14" i="2"/>
  <c r="D14" i="2"/>
  <c r="H14" i="2"/>
  <c r="E14" i="2"/>
  <c r="I14" i="2"/>
  <c r="K14" i="2"/>
  <c r="Z14" i="2"/>
  <c r="Z22" i="2"/>
  <c r="X14" i="2"/>
  <c r="N17" i="2"/>
  <c r="Y14" i="2"/>
  <c r="O14" i="2"/>
  <c r="P33" i="2"/>
  <c r="L9" i="2"/>
  <c r="P14" i="2"/>
  <c r="Q15" i="2"/>
  <c r="M15" i="2"/>
  <c r="N15" i="2" s="1"/>
  <c r="Q13" i="2"/>
  <c r="M13" i="2"/>
  <c r="N13" i="2" s="1"/>
  <c r="M7" i="2"/>
  <c r="Q7" i="2"/>
  <c r="Q9" i="2" s="1"/>
  <c r="Q22" i="2" s="1"/>
  <c r="X23" i="2" l="1"/>
  <c r="F14" i="2"/>
  <c r="F23" i="2" s="1"/>
  <c r="M9" i="2"/>
  <c r="M22" i="2" s="1"/>
  <c r="M33" i="2"/>
  <c r="I16" i="2"/>
  <c r="I23" i="2"/>
  <c r="F22" i="2"/>
  <c r="C16" i="2"/>
  <c r="C23" i="2"/>
  <c r="J14" i="2"/>
  <c r="J23" i="2" s="1"/>
  <c r="J33" i="2"/>
  <c r="G16" i="2"/>
  <c r="G23" i="2"/>
  <c r="E16" i="2"/>
  <c r="E23" i="2"/>
  <c r="H16" i="2"/>
  <c r="H23" i="2"/>
  <c r="D16" i="2"/>
  <c r="D23" i="2"/>
  <c r="J22" i="2"/>
  <c r="K23" i="2"/>
  <c r="K16" i="2"/>
  <c r="N9" i="2"/>
  <c r="O16" i="2"/>
  <c r="O23" i="2"/>
  <c r="Q33" i="2"/>
  <c r="Y16" i="2"/>
  <c r="Y23" i="2"/>
  <c r="X16" i="2"/>
  <c r="Z23" i="2"/>
  <c r="Z16" i="2"/>
  <c r="Q14" i="2"/>
  <c r="L14" i="2"/>
  <c r="L22" i="2"/>
  <c r="N7" i="2"/>
  <c r="N33" i="2" s="1"/>
  <c r="P16" i="2"/>
  <c r="P23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F8" i="1"/>
  <c r="F7" i="1"/>
  <c r="F6" i="1"/>
  <c r="F5" i="1"/>
  <c r="F16" i="2" l="1"/>
  <c r="F24" i="2" s="1"/>
  <c r="I18" i="2"/>
  <c r="I19" i="2" s="1"/>
  <c r="I24" i="2"/>
  <c r="J16" i="2"/>
  <c r="J24" i="2" s="1"/>
  <c r="H18" i="2"/>
  <c r="H19" i="2" s="1"/>
  <c r="H24" i="2"/>
  <c r="C18" i="2"/>
  <c r="C19" i="2" s="1"/>
  <c r="C24" i="2"/>
  <c r="E18" i="2"/>
  <c r="E19" i="2" s="1"/>
  <c r="E24" i="2"/>
  <c r="G18" i="2"/>
  <c r="G19" i="2" s="1"/>
  <c r="G24" i="2"/>
  <c r="D18" i="2"/>
  <c r="D19" i="2" s="1"/>
  <c r="D24" i="2"/>
  <c r="N22" i="2"/>
  <c r="K24" i="2"/>
  <c r="K18" i="2"/>
  <c r="K19" i="2" s="1"/>
  <c r="Y24" i="2"/>
  <c r="Y18" i="2"/>
  <c r="Q23" i="2"/>
  <c r="Q16" i="2"/>
  <c r="X18" i="2"/>
  <c r="X24" i="2"/>
  <c r="O18" i="2"/>
  <c r="O19" i="2" s="1"/>
  <c r="O24" i="2"/>
  <c r="L16" i="2"/>
  <c r="L23" i="2"/>
  <c r="Z24" i="2"/>
  <c r="P18" i="2"/>
  <c r="P19" i="2" s="1"/>
  <c r="P24" i="2"/>
  <c r="M14" i="2"/>
  <c r="N14" i="2" s="1"/>
  <c r="N23" i="2" s="1"/>
  <c r="X19" i="2" l="1"/>
  <c r="F18" i="2"/>
  <c r="F19" i="2" s="1"/>
  <c r="Y19" i="2"/>
  <c r="J18" i="2"/>
  <c r="J19" i="2" s="1"/>
  <c r="Q18" i="2"/>
  <c r="Q19" i="2" s="1"/>
  <c r="Q24" i="2"/>
  <c r="L18" i="2"/>
  <c r="L19" i="2" s="1"/>
  <c r="L24" i="2"/>
  <c r="Z19" i="2"/>
  <c r="M23" i="2"/>
  <c r="M16" i="2"/>
  <c r="M18" i="2" l="1"/>
  <c r="M24" i="2"/>
  <c r="N16" i="2"/>
  <c r="N24" i="2" s="1"/>
  <c r="M19" i="2" l="1"/>
  <c r="N18" i="2"/>
  <c r="N19" i="2" s="1"/>
</calcChain>
</file>

<file path=xl/sharedStrings.xml><?xml version="1.0" encoding="utf-8"?>
<sst xmlns="http://schemas.openxmlformats.org/spreadsheetml/2006/main" count="56" uniqueCount="52">
  <si>
    <t>Price</t>
  </si>
  <si>
    <t>Shares</t>
  </si>
  <si>
    <t>MC</t>
  </si>
  <si>
    <t>Cash</t>
  </si>
  <si>
    <t>Debt</t>
  </si>
  <si>
    <t>EV</t>
  </si>
  <si>
    <t>Q321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</si>
  <si>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</si>
  <si>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</si>
  <si>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</si>
  <si>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</si>
  <si>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</si>
  <si>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</si>
  <si>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</si>
  <si>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</si>
  <si>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</si>
  <si>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</si>
  <si>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</si>
  <si>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Q421</t>
  </si>
  <si>
    <t>Q122</t>
  </si>
  <si>
    <t>Q222</t>
  </si>
  <si>
    <t>Q322</t>
  </si>
  <si>
    <t>Q422</t>
  </si>
  <si>
    <t>Revenue</t>
  </si>
  <si>
    <t>Sales</t>
  </si>
  <si>
    <t>Affilates</t>
  </si>
  <si>
    <t>Gains on Dispositions</t>
  </si>
  <si>
    <t>Other Income</t>
  </si>
  <si>
    <t>Purchased Crude</t>
  </si>
  <si>
    <t>Production Costs</t>
  </si>
  <si>
    <t>Gross Profit</t>
  </si>
  <si>
    <t>sG&amp;A</t>
  </si>
  <si>
    <t>Exploration</t>
  </si>
  <si>
    <t>Taxes</t>
  </si>
  <si>
    <t>Operating Expenses</t>
  </si>
  <si>
    <t>Operating Income</t>
  </si>
  <si>
    <t>Interest Expense</t>
  </si>
  <si>
    <t>Pretax Income</t>
  </si>
  <si>
    <t>Net Income</t>
  </si>
  <si>
    <t>EPS</t>
  </si>
  <si>
    <t>Gross Margin %</t>
  </si>
  <si>
    <t>Operating Margin %</t>
  </si>
  <si>
    <t>Tax Rate %</t>
  </si>
  <si>
    <t>Revenue Growth Y/Y</t>
  </si>
  <si>
    <t>Crude Purchasing Y/Y</t>
  </si>
  <si>
    <t>Q418</t>
  </si>
  <si>
    <t>Q318</t>
  </si>
  <si>
    <t>Q218</t>
  </si>
  <si>
    <t>Q118</t>
  </si>
  <si>
    <t>Production Costs Y/Y</t>
  </si>
  <si>
    <t>sG&amp;A Y/Y</t>
  </si>
  <si>
    <t>Exploration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</si>
</sst>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0" fontId="1" fillId="0" borderId="0" xfId="0" applyFont="1"/>
    <xf numFmtId="3" fontId="1" fillId="0" borderId="0" xfId="0" applyNumberFormat="1" applyFont="1"/>
    <xf numFmtId="4" fontId="0" fillId="0" borderId="0" xfId="0" applyNumberFormat="1"/>
    <xf numFmtId="9" fontId="0" fillId="0" borderId="0" xfId="0" applyNumberFormat="1"/>
    <xf numFmtId="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</xdr:colOff>
      <xdr:row>0</xdr:row>
      <xdr:rowOff>57150</xdr:rowOff>
    </xdr:from>
    <xdr:to>
      <xdr:col>17</xdr:col>
      <xdr:colOff>28575</xdr:colOff>
      <xdr:row>48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DFBD8DE-DF2D-4619-ACDB-987B1129C5B0}"/>
            </a:ext>
          </a:extLst>
        </xdr:cNvPr>
        <xdr:cNvCxnSpPr/>
      </xdr:nvCxnSpPr>
      <xdr:spPr>
        <a:xfrm>
          <a:off x="6619875" y="57150"/>
          <a:ext cx="0" cy="7467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9525</xdr:colOff>
      <xdr:row>0</xdr:row>
      <xdr:rowOff>19050</xdr:rowOff>
    </xdr:from>
    <xdr:to>
      <xdr:col>26</xdr:col>
      <xdr:colOff>9525</xdr:colOff>
      <xdr:row>50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D610AB2-627E-4FD5-9B59-2456C5689B3D}"/>
            </a:ext>
          </a:extLst>
        </xdr:cNvPr>
        <xdr:cNvCxnSpPr/>
      </xdr:nvCxnSpPr>
      <xdr:spPr>
        <a:xfrm>
          <a:off x="12773025" y="19050"/>
          <a:ext cx="0" cy="788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3861-1C8C-4DDA-B138-972C1B3F82A0}">
  <dimension ref="E3:G8"/>
  <sheetViews>
    <sheetView workbookViewId="0">
      <selection activeCell="C11" sqref="C11"/>
    </sheetView>
  </sheetViews>
  <sheetFormatPr defaultRowHeight="14.25" x14ac:dyDescent="0.2"/>
  <cols>
    <col min="7" max="7" width="9" style="2"/>
  </cols>
  <sheetData>
    <row r="3" spans="5:7" x14ac:dyDescent="0.2">
      <c r="E3" t="s">
        <v>0</v>
      </c>
      <c r="F3">
        <v>86.8</v>
      </c>
    </row>
    <row r="4" spans="5:7" x14ac:dyDescent="0.2">
      <c r="E4" t="s">
        <v>1</v>
      </c>
      <c r="F4" s="1">
        <v>1318.9459999999999</v>
      </c>
      <c r="G4" s="2" t="s">
        <v>6</v>
      </c>
    </row>
    <row r="5" spans="5:7" x14ac:dyDescent="0.2">
      <c r="E5" t="s">
        <v>2</v>
      </c>
      <c r="F5" s="1">
        <f>+F4*F3</f>
        <v>114484.51279999998</v>
      </c>
    </row>
    <row r="6" spans="5:7" x14ac:dyDescent="0.2">
      <c r="E6" t="s">
        <v>3</v>
      </c>
      <c r="F6" s="1">
        <f>9833+678+1416+8058</f>
        <v>19985</v>
      </c>
      <c r="G6" s="2" t="s">
        <v>6</v>
      </c>
    </row>
    <row r="7" spans="5:7" x14ac:dyDescent="0.2">
      <c r="E7" t="s">
        <v>4</v>
      </c>
      <c r="F7" s="1">
        <f>920+18748</f>
        <v>19668</v>
      </c>
      <c r="G7" s="2" t="s">
        <v>6</v>
      </c>
    </row>
    <row r="8" spans="5:7" x14ac:dyDescent="0.2">
      <c r="E8" t="s">
        <v>5</v>
      </c>
      <c r="F8" s="1">
        <f>+F5-F6+F7</f>
        <v>114167.51279999998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49442-8932-4155-A07B-D8B85B240EC1}">
  <dimension ref="A1:AJ33"/>
  <sheetViews>
    <sheetView tabSelected="1" workbookViewId="0">
      <pane xSplit="2" ySplit="2" topLeftCell="R3" activePane="bottomRight" state="frozen"/>
      <selection pane="topRight" activeCell="C1" sqref="C1"/>
      <selection pane="bottomLeft" activeCell="A3" sqref="A3"/>
      <selection pane="bottomRight" activeCell="S14" sqref="S14"/>
    </sheetView>
  </sheetViews>
  <sheetFormatPr defaultRowHeight="14.25" x14ac:dyDescent="0.2"/>
  <cols>
    <col min="1" max="1" width="4.625" bestFit="1" customWidth="1"/>
    <col min="2" max="2" width="19.125" bestFit="1" customWidth="1"/>
    <col min="3" max="10" width="8.375" customWidth="1"/>
  </cols>
  <sheetData>
    <row r="1" spans="1:36" x14ac:dyDescent="0.2">
      <c r="A1" s="3" t="s">
        <v>7</v>
      </c>
    </row>
    <row r="2" spans="1:36" s="2" customFormat="1" x14ac:dyDescent="0.2">
      <c r="C2" s="2" t="s">
        <v>48</v>
      </c>
      <c r="D2" s="2" t="s">
        <v>47</v>
      </c>
      <c r="E2" s="2" t="s">
        <v>46</v>
      </c>
      <c r="F2" s="2" t="s">
        <v>45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2" t="s">
        <v>6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X2" s="2">
        <v>2018</v>
      </c>
      <c r="Y2" s="2">
        <f>+X2+1</f>
        <v>2019</v>
      </c>
      <c r="Z2" s="2">
        <f t="shared" ref="Z2:AJ2" si="0">+Y2+1</f>
        <v>2020</v>
      </c>
      <c r="AA2" s="2">
        <f t="shared" si="0"/>
        <v>2021</v>
      </c>
      <c r="AB2" s="2">
        <f t="shared" si="0"/>
        <v>2022</v>
      </c>
      <c r="AC2" s="2">
        <f t="shared" si="0"/>
        <v>2023</v>
      </c>
      <c r="AD2" s="2">
        <f t="shared" si="0"/>
        <v>2024</v>
      </c>
      <c r="AE2" s="2">
        <f t="shared" si="0"/>
        <v>2025</v>
      </c>
      <c r="AF2" s="2">
        <f t="shared" si="0"/>
        <v>2026</v>
      </c>
      <c r="AG2" s="2">
        <f t="shared" si="0"/>
        <v>2027</v>
      </c>
      <c r="AH2" s="2">
        <f t="shared" si="0"/>
        <v>2028</v>
      </c>
      <c r="AI2" s="2">
        <f t="shared" si="0"/>
        <v>2029</v>
      </c>
      <c r="AJ2" s="2">
        <f t="shared" si="0"/>
        <v>2030</v>
      </c>
    </row>
    <row r="3" spans="1:36" x14ac:dyDescent="0.2">
      <c r="B3" t="s">
        <v>24</v>
      </c>
      <c r="C3" s="1">
        <v>8798</v>
      </c>
      <c r="D3" s="1">
        <v>8504</v>
      </c>
      <c r="E3" s="1">
        <v>9449</v>
      </c>
      <c r="F3" s="1">
        <f>+X3-SUM(C3:E3)</f>
        <v>9666</v>
      </c>
      <c r="G3" s="1">
        <v>9150</v>
      </c>
      <c r="H3" s="1">
        <v>7953</v>
      </c>
      <c r="I3" s="1">
        <v>7756</v>
      </c>
      <c r="J3" s="1">
        <f>+Y3-SUM(G3:I3)</f>
        <v>7708</v>
      </c>
      <c r="K3" s="1">
        <v>6158</v>
      </c>
      <c r="L3" s="1">
        <v>2749</v>
      </c>
      <c r="M3" s="1">
        <v>4386</v>
      </c>
      <c r="N3" s="1">
        <f t="shared" ref="N3:N18" si="1">+Z3-SUM(K3:M3)</f>
        <v>5491</v>
      </c>
      <c r="O3" s="1">
        <v>9826</v>
      </c>
      <c r="P3" s="1">
        <v>9556</v>
      </c>
      <c r="Q3" s="1">
        <v>11326</v>
      </c>
      <c r="R3" s="1"/>
      <c r="X3" s="1">
        <v>36417</v>
      </c>
      <c r="Y3" s="1">
        <v>32567</v>
      </c>
      <c r="Z3" s="1">
        <v>18784</v>
      </c>
    </row>
    <row r="4" spans="1:36" x14ac:dyDescent="0.2">
      <c r="B4" t="s">
        <v>25</v>
      </c>
      <c r="C4" s="1">
        <v>208</v>
      </c>
      <c r="D4" s="1">
        <v>265</v>
      </c>
      <c r="E4" s="1">
        <v>294</v>
      </c>
      <c r="F4" s="1">
        <f t="shared" ref="F4:F18" si="2">+X4-SUM(C4:E4)</f>
        <v>307</v>
      </c>
      <c r="G4" s="1">
        <v>188</v>
      </c>
      <c r="H4" s="1">
        <v>173</v>
      </c>
      <c r="I4" s="1">
        <v>290</v>
      </c>
      <c r="J4" s="1">
        <f t="shared" ref="J4:J18" si="3">+Y4-SUM(G4:I4)</f>
        <v>128</v>
      </c>
      <c r="K4" s="1">
        <v>234</v>
      </c>
      <c r="L4" s="1">
        <v>77</v>
      </c>
      <c r="M4" s="1">
        <v>35</v>
      </c>
      <c r="N4" s="1">
        <f t="shared" si="1"/>
        <v>86</v>
      </c>
      <c r="O4" s="1">
        <v>122</v>
      </c>
      <c r="P4" s="1">
        <v>139</v>
      </c>
      <c r="Q4" s="1">
        <v>239</v>
      </c>
      <c r="X4" s="1">
        <v>1074</v>
      </c>
      <c r="Y4" s="1">
        <v>779</v>
      </c>
      <c r="Z4" s="1">
        <v>432</v>
      </c>
    </row>
    <row r="5" spans="1:36" x14ac:dyDescent="0.2">
      <c r="B5" t="s">
        <v>26</v>
      </c>
      <c r="C5" s="1">
        <v>7</v>
      </c>
      <c r="D5" s="1">
        <v>55</v>
      </c>
      <c r="E5" s="1">
        <v>113</v>
      </c>
      <c r="F5" s="1">
        <f t="shared" si="2"/>
        <v>888</v>
      </c>
      <c r="G5" s="1">
        <v>17</v>
      </c>
      <c r="H5" s="1">
        <v>82</v>
      </c>
      <c r="I5" s="1">
        <v>1785</v>
      </c>
      <c r="J5" s="1">
        <f t="shared" si="3"/>
        <v>82</v>
      </c>
      <c r="K5" s="1">
        <v>-42</v>
      </c>
      <c r="L5" s="1">
        <v>596</v>
      </c>
      <c r="M5" s="1">
        <v>-3</v>
      </c>
      <c r="N5" s="1">
        <f t="shared" si="1"/>
        <v>-2</v>
      </c>
      <c r="O5" s="1">
        <v>233</v>
      </c>
      <c r="P5" s="1">
        <v>59</v>
      </c>
      <c r="Q5" s="1">
        <v>2</v>
      </c>
      <c r="X5" s="1">
        <v>1063</v>
      </c>
      <c r="Y5" s="1">
        <v>1966</v>
      </c>
      <c r="Z5" s="1">
        <v>549</v>
      </c>
    </row>
    <row r="6" spans="1:36" x14ac:dyDescent="0.2">
      <c r="B6" t="s">
        <v>27</v>
      </c>
      <c r="C6" s="1">
        <v>-52</v>
      </c>
      <c r="D6" s="1">
        <v>416</v>
      </c>
      <c r="E6" s="1">
        <v>309</v>
      </c>
      <c r="F6" s="1">
        <f t="shared" si="2"/>
        <v>-500</v>
      </c>
      <c r="G6" s="1">
        <v>702</v>
      </c>
      <c r="H6" s="1">
        <v>172</v>
      </c>
      <c r="I6" s="1">
        <v>262</v>
      </c>
      <c r="J6" s="1">
        <f t="shared" si="3"/>
        <v>222</v>
      </c>
      <c r="K6" s="1">
        <v>-1539</v>
      </c>
      <c r="L6" s="1">
        <v>594</v>
      </c>
      <c r="M6" s="1">
        <v>-38</v>
      </c>
      <c r="N6" s="1">
        <f t="shared" si="1"/>
        <v>474</v>
      </c>
      <c r="O6" s="1">
        <v>378</v>
      </c>
      <c r="P6" s="1">
        <v>457</v>
      </c>
      <c r="Q6" s="1">
        <v>49</v>
      </c>
      <c r="X6" s="1">
        <v>173</v>
      </c>
      <c r="Y6" s="1">
        <v>1358</v>
      </c>
      <c r="Z6" s="1">
        <v>-509</v>
      </c>
    </row>
    <row r="7" spans="1:36" s="4" customFormat="1" ht="15" x14ac:dyDescent="0.25">
      <c r="B7" s="4" t="s">
        <v>23</v>
      </c>
      <c r="C7" s="5">
        <f>+SUM(C3:C6)</f>
        <v>8961</v>
      </c>
      <c r="D7" s="5">
        <f>+SUM(D3:D6)</f>
        <v>9240</v>
      </c>
      <c r="E7" s="5">
        <f>+SUM(E3:E6)</f>
        <v>10165</v>
      </c>
      <c r="F7" s="5">
        <f t="shared" si="2"/>
        <v>10361</v>
      </c>
      <c r="G7" s="5">
        <f>+SUM(G3:G6)</f>
        <v>10057</v>
      </c>
      <c r="H7" s="5">
        <f>+SUM(H3:H6)</f>
        <v>8380</v>
      </c>
      <c r="I7" s="5">
        <f>+SUM(I3:I6)</f>
        <v>10093</v>
      </c>
      <c r="J7" s="5">
        <f t="shared" si="3"/>
        <v>8140</v>
      </c>
      <c r="K7" s="5">
        <f>+SUM(K3:K6)</f>
        <v>4811</v>
      </c>
      <c r="L7" s="5">
        <f>+SUM(L3:L6)</f>
        <v>4016</v>
      </c>
      <c r="M7" s="5">
        <f>+SUM(M3:M6)</f>
        <v>4380</v>
      </c>
      <c r="N7" s="5">
        <f t="shared" si="1"/>
        <v>6049</v>
      </c>
      <c r="O7" s="5">
        <f>+SUM(O3:O6)</f>
        <v>10559</v>
      </c>
      <c r="P7" s="5">
        <f>+SUM(P3:P6)</f>
        <v>10211</v>
      </c>
      <c r="Q7" s="5">
        <f>+SUM(Q3:Q6)</f>
        <v>11616</v>
      </c>
      <c r="X7" s="5">
        <f>+SUM(X3:X6)</f>
        <v>38727</v>
      </c>
      <c r="Y7" s="5">
        <f>+SUM(Y3:Y6)</f>
        <v>36670</v>
      </c>
      <c r="Z7" s="5">
        <f>+SUM(Z3:Z6)</f>
        <v>19256</v>
      </c>
    </row>
    <row r="8" spans="1:36" x14ac:dyDescent="0.2">
      <c r="B8" t="s">
        <v>28</v>
      </c>
      <c r="C8" s="1">
        <v>3714</v>
      </c>
      <c r="D8" s="1">
        <v>3064</v>
      </c>
      <c r="E8" s="1">
        <v>3530</v>
      </c>
      <c r="F8" s="1">
        <f t="shared" si="2"/>
        <v>3986</v>
      </c>
      <c r="G8" s="1">
        <v>3675</v>
      </c>
      <c r="H8" s="1">
        <v>2674</v>
      </c>
      <c r="I8" s="1">
        <v>2710</v>
      </c>
      <c r="J8" s="1">
        <f t="shared" si="3"/>
        <v>2783</v>
      </c>
      <c r="K8" s="1">
        <v>2661</v>
      </c>
      <c r="L8" s="1">
        <v>1130</v>
      </c>
      <c r="M8" s="1">
        <v>1839</v>
      </c>
      <c r="N8" s="1">
        <f t="shared" si="1"/>
        <v>2448</v>
      </c>
      <c r="O8" s="1">
        <v>4483</v>
      </c>
      <c r="P8" s="1">
        <v>2998</v>
      </c>
      <c r="Q8" s="1">
        <v>4179</v>
      </c>
      <c r="X8" s="1">
        <v>14294</v>
      </c>
      <c r="Y8" s="1">
        <v>11842</v>
      </c>
      <c r="Z8" s="1">
        <v>8078</v>
      </c>
    </row>
    <row r="9" spans="1:36" x14ac:dyDescent="0.2">
      <c r="B9" t="s">
        <v>30</v>
      </c>
      <c r="C9" s="1">
        <f>+C7-C8</f>
        <v>5247</v>
      </c>
      <c r="D9" s="1">
        <f>+D7-D8</f>
        <v>6176</v>
      </c>
      <c r="E9" s="1">
        <f>+E7-E8</f>
        <v>6635</v>
      </c>
      <c r="F9" s="1">
        <f t="shared" si="2"/>
        <v>6375</v>
      </c>
      <c r="G9" s="1">
        <f>+G7-G8</f>
        <v>6382</v>
      </c>
      <c r="H9" s="1">
        <f>+H7-H8</f>
        <v>5706</v>
      </c>
      <c r="I9" s="1">
        <f>+I7-I8</f>
        <v>7383</v>
      </c>
      <c r="J9" s="1">
        <f t="shared" si="3"/>
        <v>5357</v>
      </c>
      <c r="K9" s="1">
        <f>+K7-K8</f>
        <v>2150</v>
      </c>
      <c r="L9" s="1">
        <f>+L7-L8</f>
        <v>2886</v>
      </c>
      <c r="M9" s="1">
        <f>+M7-M8</f>
        <v>2541</v>
      </c>
      <c r="N9" s="1">
        <f t="shared" si="1"/>
        <v>3601</v>
      </c>
      <c r="O9" s="1">
        <f>+O7-O8</f>
        <v>6076</v>
      </c>
      <c r="P9" s="1">
        <f>+P7-P8</f>
        <v>7213</v>
      </c>
      <c r="Q9" s="1">
        <f>+Q7-Q8</f>
        <v>7437</v>
      </c>
      <c r="X9" s="1">
        <f>+X7-X8</f>
        <v>24433</v>
      </c>
      <c r="Y9" s="1">
        <f>+Y7-Y8</f>
        <v>24828</v>
      </c>
      <c r="Z9" s="1">
        <f>+Z7-Z8</f>
        <v>11178</v>
      </c>
    </row>
    <row r="10" spans="1:36" x14ac:dyDescent="0.2">
      <c r="B10" t="s">
        <v>29</v>
      </c>
      <c r="C10" s="1">
        <v>1171</v>
      </c>
      <c r="D10" s="1">
        <v>1313</v>
      </c>
      <c r="E10" s="1">
        <v>1367</v>
      </c>
      <c r="F10" s="1">
        <f t="shared" si="2"/>
        <v>1362</v>
      </c>
      <c r="G10" s="1">
        <v>1271</v>
      </c>
      <c r="H10" s="1">
        <v>1418</v>
      </c>
      <c r="I10" s="1">
        <v>1331</v>
      </c>
      <c r="J10" s="1">
        <f t="shared" si="3"/>
        <v>1302</v>
      </c>
      <c r="K10" s="1">
        <v>1173</v>
      </c>
      <c r="L10" s="1">
        <v>1047</v>
      </c>
      <c r="M10" s="1">
        <v>963</v>
      </c>
      <c r="N10" s="1">
        <f t="shared" si="1"/>
        <v>1161</v>
      </c>
      <c r="O10" s="1">
        <v>1383</v>
      </c>
      <c r="P10" s="1">
        <v>1379</v>
      </c>
      <c r="Q10" s="1">
        <v>1389</v>
      </c>
      <c r="X10" s="1">
        <v>5213</v>
      </c>
      <c r="Y10" s="1">
        <v>5322</v>
      </c>
      <c r="Z10" s="1">
        <v>4344</v>
      </c>
    </row>
    <row r="11" spans="1:36" x14ac:dyDescent="0.2">
      <c r="B11" t="s">
        <v>31</v>
      </c>
      <c r="C11" s="1">
        <v>99</v>
      </c>
      <c r="D11" s="1">
        <v>118</v>
      </c>
      <c r="E11" s="1">
        <v>119</v>
      </c>
      <c r="F11" s="1">
        <f t="shared" si="2"/>
        <v>65</v>
      </c>
      <c r="G11" s="1">
        <v>153</v>
      </c>
      <c r="H11" s="1">
        <v>129</v>
      </c>
      <c r="I11" s="1">
        <v>87</v>
      </c>
      <c r="J11" s="1">
        <f t="shared" si="3"/>
        <v>187</v>
      </c>
      <c r="K11" s="1">
        <v>-3</v>
      </c>
      <c r="L11" s="1">
        <v>156</v>
      </c>
      <c r="M11" s="1">
        <v>96</v>
      </c>
      <c r="N11" s="1">
        <f t="shared" si="1"/>
        <v>181</v>
      </c>
      <c r="O11" s="1">
        <v>311</v>
      </c>
      <c r="P11" s="1">
        <v>117</v>
      </c>
      <c r="Q11" s="1">
        <v>128</v>
      </c>
      <c r="X11" s="1">
        <v>401</v>
      </c>
      <c r="Y11" s="1">
        <v>556</v>
      </c>
      <c r="Z11" s="1">
        <v>430</v>
      </c>
    </row>
    <row r="12" spans="1:36" x14ac:dyDescent="0.2">
      <c r="B12" t="s">
        <v>32</v>
      </c>
      <c r="C12" s="1">
        <v>95</v>
      </c>
      <c r="D12" s="1">
        <v>69</v>
      </c>
      <c r="E12" s="1">
        <v>103</v>
      </c>
      <c r="F12" s="1">
        <f t="shared" si="2"/>
        <v>102</v>
      </c>
      <c r="G12" s="1">
        <v>110</v>
      </c>
      <c r="H12" s="1">
        <v>122</v>
      </c>
      <c r="I12" s="1">
        <v>360</v>
      </c>
      <c r="J12" s="1">
        <f t="shared" si="3"/>
        <v>151</v>
      </c>
      <c r="K12" s="1">
        <v>188</v>
      </c>
      <c r="L12" s="1">
        <v>97</v>
      </c>
      <c r="M12" s="1">
        <v>125</v>
      </c>
      <c r="N12" s="1">
        <f t="shared" si="1"/>
        <v>1047</v>
      </c>
      <c r="O12" s="1">
        <v>84</v>
      </c>
      <c r="P12" s="1">
        <v>57</v>
      </c>
      <c r="Q12" s="1">
        <v>65</v>
      </c>
      <c r="X12" s="1">
        <v>369</v>
      </c>
      <c r="Y12" s="1">
        <v>743</v>
      </c>
      <c r="Z12" s="1">
        <v>1457</v>
      </c>
    </row>
    <row r="13" spans="1:36" x14ac:dyDescent="0.2">
      <c r="B13" t="s">
        <v>34</v>
      </c>
      <c r="C13" s="1">
        <f>+SUM(C10:C12)</f>
        <v>1365</v>
      </c>
      <c r="D13" s="1">
        <f>+SUM(D10:D12)</f>
        <v>1500</v>
      </c>
      <c r="E13" s="1">
        <f>+SUM(E10:E12)</f>
        <v>1589</v>
      </c>
      <c r="F13" s="1">
        <f t="shared" si="2"/>
        <v>1529</v>
      </c>
      <c r="G13" s="1">
        <f>+SUM(G10:G12)</f>
        <v>1534</v>
      </c>
      <c r="H13" s="1">
        <f>+SUM(H10:H12)</f>
        <v>1669</v>
      </c>
      <c r="I13" s="1">
        <f>+SUM(I10:I12)</f>
        <v>1778</v>
      </c>
      <c r="J13" s="1">
        <f t="shared" si="3"/>
        <v>1640</v>
      </c>
      <c r="K13" s="1">
        <f>+SUM(K10:K12)</f>
        <v>1358</v>
      </c>
      <c r="L13" s="1">
        <f>+SUM(L10:L12)</f>
        <v>1300</v>
      </c>
      <c r="M13" s="1">
        <f>+SUM(M10:M12)</f>
        <v>1184</v>
      </c>
      <c r="N13" s="1">
        <f t="shared" si="1"/>
        <v>2389</v>
      </c>
      <c r="O13" s="1">
        <f>+SUM(O10:O12)</f>
        <v>1778</v>
      </c>
      <c r="P13" s="1">
        <f>+SUM(P10:P12)</f>
        <v>1553</v>
      </c>
      <c r="Q13" s="1">
        <f>+SUM(Q10:Q12)</f>
        <v>1582</v>
      </c>
      <c r="X13" s="1">
        <f>+SUM(X10:X12)</f>
        <v>5983</v>
      </c>
      <c r="Y13" s="1">
        <f>+SUM(Y10:Y12)</f>
        <v>6621</v>
      </c>
      <c r="Z13" s="1">
        <f>+SUM(Z10:Z12)</f>
        <v>6231</v>
      </c>
    </row>
    <row r="14" spans="1:36" x14ac:dyDescent="0.2">
      <c r="B14" t="s">
        <v>35</v>
      </c>
      <c r="C14" s="1">
        <f>+C9-C13</f>
        <v>3882</v>
      </c>
      <c r="D14" s="1">
        <f>+D9-D13</f>
        <v>4676</v>
      </c>
      <c r="E14" s="1">
        <f>+E9-E13</f>
        <v>5046</v>
      </c>
      <c r="F14" s="1">
        <f t="shared" si="2"/>
        <v>4846</v>
      </c>
      <c r="G14" s="1">
        <f>+G9-G13</f>
        <v>4848</v>
      </c>
      <c r="H14" s="1">
        <f>+H9-H13</f>
        <v>4037</v>
      </c>
      <c r="I14" s="1">
        <f>+I9-I13</f>
        <v>5605</v>
      </c>
      <c r="J14" s="1">
        <f t="shared" si="3"/>
        <v>3717</v>
      </c>
      <c r="K14" s="1">
        <f>+K9-K13</f>
        <v>792</v>
      </c>
      <c r="L14" s="1">
        <f>+L9-L13</f>
        <v>1586</v>
      </c>
      <c r="M14" s="1">
        <f>+M9-M13</f>
        <v>1357</v>
      </c>
      <c r="N14" s="1">
        <f t="shared" si="1"/>
        <v>1212</v>
      </c>
      <c r="O14" s="1">
        <f>+O9-O13</f>
        <v>4298</v>
      </c>
      <c r="P14" s="1">
        <f>+P9-P13</f>
        <v>5660</v>
      </c>
      <c r="Q14" s="1">
        <f>+Q9-Q13</f>
        <v>5855</v>
      </c>
      <c r="X14" s="1">
        <f>+X9-X13</f>
        <v>18450</v>
      </c>
      <c r="Y14" s="1">
        <f>+Y9-Y13</f>
        <v>18207</v>
      </c>
      <c r="Z14" s="1">
        <f>+Z9-Z13</f>
        <v>4947</v>
      </c>
    </row>
    <row r="15" spans="1:36" x14ac:dyDescent="0.2">
      <c r="B15" t="s">
        <v>36</v>
      </c>
      <c r="C15" s="1">
        <f>183+184+197</f>
        <v>564</v>
      </c>
      <c r="D15" s="1">
        <f>273+177+143</f>
        <v>593</v>
      </c>
      <c r="E15" s="1">
        <f>312+186+10</f>
        <v>508</v>
      </c>
      <c r="F15" s="1">
        <f t="shared" si="2"/>
        <v>493</v>
      </c>
      <c r="G15" s="1">
        <f>275+233+8</f>
        <v>516</v>
      </c>
      <c r="H15" s="1">
        <f>194+165+14</f>
        <v>373</v>
      </c>
      <c r="I15" s="1">
        <f>237+184+36</f>
        <v>457</v>
      </c>
      <c r="J15" s="1">
        <f t="shared" si="3"/>
        <v>450</v>
      </c>
      <c r="K15" s="1">
        <f>250+202+-6</f>
        <v>446</v>
      </c>
      <c r="L15" s="1">
        <f>141+202+-7</f>
        <v>336</v>
      </c>
      <c r="M15" s="1">
        <f>179+200+20</f>
        <v>399</v>
      </c>
      <c r="N15" s="1">
        <f t="shared" si="1"/>
        <v>392</v>
      </c>
      <c r="O15" s="1">
        <f>370+226+24</f>
        <v>620</v>
      </c>
      <c r="P15" s="1">
        <f>381+220+37</f>
        <v>638</v>
      </c>
      <c r="Q15" s="1">
        <f>403+219+17</f>
        <v>639</v>
      </c>
      <c r="X15" s="1">
        <f>1048+735+375</f>
        <v>2158</v>
      </c>
      <c r="Y15" s="1">
        <f>953+778+65</f>
        <v>1796</v>
      </c>
      <c r="Z15" s="1">
        <f>754+806+13</f>
        <v>1573</v>
      </c>
    </row>
    <row r="16" spans="1:36" x14ac:dyDescent="0.2">
      <c r="B16" t="s">
        <v>37</v>
      </c>
      <c r="C16" s="1">
        <f>+C14-C15</f>
        <v>3318</v>
      </c>
      <c r="D16" s="1">
        <f>+D14-D15</f>
        <v>4083</v>
      </c>
      <c r="E16" s="1">
        <f>+E14-E15</f>
        <v>4538</v>
      </c>
      <c r="F16" s="1">
        <f t="shared" si="2"/>
        <v>4353</v>
      </c>
      <c r="G16" s="1">
        <f>+G14-G15</f>
        <v>4332</v>
      </c>
      <c r="H16" s="1">
        <f>+H14-H15</f>
        <v>3664</v>
      </c>
      <c r="I16" s="1">
        <f>+I14-I15</f>
        <v>5148</v>
      </c>
      <c r="J16" s="1">
        <f t="shared" si="3"/>
        <v>3267</v>
      </c>
      <c r="K16" s="1">
        <f>+K14-K15</f>
        <v>346</v>
      </c>
      <c r="L16" s="1">
        <f>+L14-L15</f>
        <v>1250</v>
      </c>
      <c r="M16" s="1">
        <f>+M14-M15</f>
        <v>958</v>
      </c>
      <c r="N16" s="1">
        <f t="shared" si="1"/>
        <v>820</v>
      </c>
      <c r="O16" s="1">
        <f>+O14-O15</f>
        <v>3678</v>
      </c>
      <c r="P16" s="1">
        <f>+P14-P15</f>
        <v>5022</v>
      </c>
      <c r="Q16" s="1">
        <f>+Q14-Q15</f>
        <v>5216</v>
      </c>
      <c r="X16" s="1">
        <f>+X14-X15</f>
        <v>16292</v>
      </c>
      <c r="Y16" s="1">
        <f>+Y14-Y15</f>
        <v>16411</v>
      </c>
      <c r="Z16" s="1">
        <f>+Z14-Z15</f>
        <v>3374</v>
      </c>
    </row>
    <row r="17" spans="2:26" x14ac:dyDescent="0.2">
      <c r="B17" t="s">
        <v>33</v>
      </c>
      <c r="C17" s="1">
        <f>876+12</f>
        <v>888</v>
      </c>
      <c r="D17" s="1">
        <f>965+14</f>
        <v>979</v>
      </c>
      <c r="E17" s="1">
        <f>1033+12</f>
        <v>1045</v>
      </c>
      <c r="F17" s="1">
        <f t="shared" si="2"/>
        <v>804</v>
      </c>
      <c r="G17" s="1">
        <f>841+13</f>
        <v>854</v>
      </c>
      <c r="H17" s="1">
        <f>461+17</f>
        <v>478</v>
      </c>
      <c r="I17" s="1">
        <f>422+15</f>
        <v>437</v>
      </c>
      <c r="J17" s="1">
        <f t="shared" si="3"/>
        <v>566</v>
      </c>
      <c r="K17" s="1">
        <v>-28</v>
      </c>
      <c r="L17" s="1">
        <f>-257+18</f>
        <v>-239</v>
      </c>
      <c r="M17">
        <v>-62</v>
      </c>
      <c r="N17" s="1">
        <f t="shared" si="1"/>
        <v>-110</v>
      </c>
      <c r="O17" s="1">
        <v>732</v>
      </c>
      <c r="P17" s="1">
        <v>989</v>
      </c>
      <c r="Q17" s="1">
        <v>1203</v>
      </c>
      <c r="X17" s="1">
        <f>3668+48</f>
        <v>3716</v>
      </c>
      <c r="Y17" s="1">
        <f>2267+68</f>
        <v>2335</v>
      </c>
      <c r="Z17" s="1">
        <f>-485+46</f>
        <v>-439</v>
      </c>
    </row>
    <row r="18" spans="2:26" s="4" customFormat="1" ht="15" x14ac:dyDescent="0.25">
      <c r="B18" s="4" t="s">
        <v>38</v>
      </c>
      <c r="C18" s="5">
        <f>+C16-C17</f>
        <v>2430</v>
      </c>
      <c r="D18" s="5">
        <f>+D16-D17</f>
        <v>3104</v>
      </c>
      <c r="E18" s="5">
        <f>+E16-E17</f>
        <v>3493</v>
      </c>
      <c r="F18" s="5">
        <f t="shared" si="2"/>
        <v>3549</v>
      </c>
      <c r="G18" s="5">
        <f>+G16-G17</f>
        <v>3478</v>
      </c>
      <c r="H18" s="5">
        <f>+H16-H17</f>
        <v>3186</v>
      </c>
      <c r="I18" s="5">
        <f>+I16-I17</f>
        <v>4711</v>
      </c>
      <c r="J18" s="5">
        <f t="shared" si="3"/>
        <v>2701</v>
      </c>
      <c r="K18" s="5">
        <f>+K16-K17</f>
        <v>374</v>
      </c>
      <c r="L18" s="5">
        <f>+L16-L17</f>
        <v>1489</v>
      </c>
      <c r="M18" s="5">
        <f>+M16-M17</f>
        <v>1020</v>
      </c>
      <c r="N18" s="5">
        <f t="shared" si="1"/>
        <v>930</v>
      </c>
      <c r="O18" s="5">
        <f>+O16-O17</f>
        <v>2946</v>
      </c>
      <c r="P18" s="5">
        <f>+P16-P17</f>
        <v>4033</v>
      </c>
      <c r="Q18" s="5">
        <f>+Q16-Q17</f>
        <v>4013</v>
      </c>
      <c r="X18" s="5">
        <f>+X16-X17</f>
        <v>12576</v>
      </c>
      <c r="Y18" s="5">
        <f>+Y16-Y17</f>
        <v>14076</v>
      </c>
      <c r="Z18" s="5">
        <f>+Z16-Z17</f>
        <v>3813</v>
      </c>
    </row>
    <row r="19" spans="2:26" x14ac:dyDescent="0.2">
      <c r="B19" t="s">
        <v>39</v>
      </c>
      <c r="C19" s="6">
        <f t="shared" ref="C19:Q19" si="4">+C18/C20</f>
        <v>2.0481198596827186</v>
      </c>
      <c r="D19" s="6">
        <f t="shared" si="4"/>
        <v>2.6279095166051882</v>
      </c>
      <c r="E19" s="6">
        <f t="shared" si="4"/>
        <v>2.9786116412295112</v>
      </c>
      <c r="F19" s="6">
        <f t="shared" si="4"/>
        <v>3.0102719486803342</v>
      </c>
      <c r="G19" s="6">
        <f t="shared" si="4"/>
        <v>3.0335407735616191</v>
      </c>
      <c r="H19" s="6">
        <f t="shared" si="4"/>
        <v>2.8163735080557477</v>
      </c>
      <c r="I19" s="6">
        <f t="shared" si="4"/>
        <v>4.2317538737929485</v>
      </c>
      <c r="J19" s="6">
        <f t="shared" si="4"/>
        <v>2.393154744566615</v>
      </c>
      <c r="K19" s="6">
        <f t="shared" si="4"/>
        <v>0.34483998594823162</v>
      </c>
      <c r="L19" s="6">
        <f t="shared" si="4"/>
        <v>1.3817666197107292</v>
      </c>
      <c r="M19" s="6">
        <f t="shared" si="4"/>
        <v>0.76325653126845006</v>
      </c>
      <c r="N19" s="6">
        <f t="shared" si="4"/>
        <v>0.79747415069002947</v>
      </c>
      <c r="O19" s="6">
        <f t="shared" si="4"/>
        <v>2.2614725978762422</v>
      </c>
      <c r="P19" s="6">
        <f t="shared" si="4"/>
        <v>2.9803406884860415</v>
      </c>
      <c r="Q19" s="6">
        <f t="shared" si="4"/>
        <v>3.7247871450754939</v>
      </c>
      <c r="X19" s="6">
        <f>+X18/X20</f>
        <v>10.698080368307957</v>
      </c>
      <c r="Y19" s="6">
        <f>+Y18/Y20</f>
        <v>12.528303498953305</v>
      </c>
      <c r="Z19" s="6">
        <f>+Z18/Z20</f>
        <v>3.5370073189057818</v>
      </c>
    </row>
    <row r="20" spans="2:26" s="1" customFormat="1" x14ac:dyDescent="0.2">
      <c r="B20" s="1" t="s">
        <v>1</v>
      </c>
      <c r="C20" s="1">
        <v>1186.454</v>
      </c>
      <c r="D20" s="1">
        <v>1181.1669999999999</v>
      </c>
      <c r="E20" s="1">
        <v>1172.694</v>
      </c>
      <c r="F20" s="1">
        <f>+AVERAGE(C20:E20,X20)</f>
        <v>1178.96325</v>
      </c>
      <c r="G20" s="1">
        <v>1146.5150000000001</v>
      </c>
      <c r="H20" s="1">
        <v>1131.242</v>
      </c>
      <c r="I20" s="1">
        <v>1113.25</v>
      </c>
      <c r="J20" s="6">
        <f>+AVERAGE(G20:I20,Y20)</f>
        <v>1128.6357499999999</v>
      </c>
      <c r="K20" s="1">
        <v>1084.5609999999999</v>
      </c>
      <c r="L20" s="1">
        <v>1077.606</v>
      </c>
      <c r="M20" s="1">
        <v>1336.3789999999999</v>
      </c>
      <c r="N20" s="1">
        <f>+AVERAGE(K20:M20)</f>
        <v>1166.182</v>
      </c>
      <c r="O20" s="1">
        <v>1302.691</v>
      </c>
      <c r="P20" s="1">
        <v>1353.201</v>
      </c>
      <c r="Q20" s="1">
        <v>1077.377</v>
      </c>
      <c r="X20" s="1">
        <v>1175.538</v>
      </c>
      <c r="Y20" s="1">
        <v>1123.5360000000001</v>
      </c>
      <c r="Z20" s="1">
        <v>1078.03</v>
      </c>
    </row>
    <row r="22" spans="2:26" x14ac:dyDescent="0.2">
      <c r="B22" t="s">
        <v>40</v>
      </c>
      <c r="C22" s="7">
        <f t="shared" ref="C22:F22" si="5">+C9/C7</f>
        <v>0.58553732842316708</v>
      </c>
      <c r="D22" s="7">
        <f t="shared" si="5"/>
        <v>0.66839826839826844</v>
      </c>
      <c r="E22" s="7">
        <f t="shared" si="5"/>
        <v>0.65272995573044756</v>
      </c>
      <c r="F22" s="7">
        <f t="shared" si="5"/>
        <v>0.61528809960428532</v>
      </c>
      <c r="G22" s="7">
        <f t="shared" ref="G22:J22" si="6">+G9/G7</f>
        <v>0.63458287759769316</v>
      </c>
      <c r="H22" s="7">
        <f t="shared" si="6"/>
        <v>0.68090692124105012</v>
      </c>
      <c r="I22" s="7">
        <f t="shared" si="6"/>
        <v>0.73149707718220547</v>
      </c>
      <c r="J22" s="7">
        <f t="shared" si="6"/>
        <v>0.65810810810810816</v>
      </c>
      <c r="K22" s="7">
        <f t="shared" ref="K22:Q22" si="7">+K9/K7</f>
        <v>0.44689253793390149</v>
      </c>
      <c r="L22" s="7">
        <f t="shared" si="7"/>
        <v>0.71862549800796816</v>
      </c>
      <c r="M22" s="7">
        <f t="shared" si="7"/>
        <v>0.58013698630136989</v>
      </c>
      <c r="N22" s="7">
        <f t="shared" si="7"/>
        <v>0.59530500909241202</v>
      </c>
      <c r="O22" s="7">
        <f t="shared" si="7"/>
        <v>0.57543327966663504</v>
      </c>
      <c r="P22" s="7">
        <f t="shared" si="7"/>
        <v>0.70639506414650866</v>
      </c>
      <c r="Q22" s="7">
        <f t="shared" si="7"/>
        <v>0.64023760330578516</v>
      </c>
      <c r="X22" s="7">
        <f t="shared" ref="X22:Y22" si="8">+X9/X7</f>
        <v>0.6309035040152865</v>
      </c>
      <c r="Y22" s="7">
        <f t="shared" si="8"/>
        <v>0.67706572129806386</v>
      </c>
      <c r="Z22" s="7">
        <f>+Z9/Z7</f>
        <v>0.58049439135853764</v>
      </c>
    </row>
    <row r="23" spans="2:26" x14ac:dyDescent="0.2">
      <c r="B23" t="s">
        <v>41</v>
      </c>
      <c r="C23" s="7">
        <f t="shared" ref="C23:F23" si="9">+C14/C7</f>
        <v>0.43321057917643119</v>
      </c>
      <c r="D23" s="7">
        <f t="shared" si="9"/>
        <v>0.5060606060606061</v>
      </c>
      <c r="E23" s="7">
        <f t="shared" si="9"/>
        <v>0.49640924741760944</v>
      </c>
      <c r="F23" s="7">
        <f t="shared" si="9"/>
        <v>0.46771547147958692</v>
      </c>
      <c r="G23" s="7">
        <f t="shared" ref="G23:J23" si="10">+G14/G7</f>
        <v>0.48205230187928805</v>
      </c>
      <c r="H23" s="7">
        <f t="shared" si="10"/>
        <v>0.4817422434367542</v>
      </c>
      <c r="I23" s="7">
        <f t="shared" si="10"/>
        <v>0.555335380957099</v>
      </c>
      <c r="J23" s="7">
        <f t="shared" si="10"/>
        <v>0.45663390663390663</v>
      </c>
      <c r="K23" s="7">
        <f t="shared" ref="K23:Q23" si="11">+K14/K7</f>
        <v>0.16462273955518603</v>
      </c>
      <c r="L23" s="7">
        <f t="shared" si="11"/>
        <v>0.39492031872509958</v>
      </c>
      <c r="M23" s="7">
        <f t="shared" si="11"/>
        <v>0.30981735159817353</v>
      </c>
      <c r="N23" s="7">
        <f t="shared" si="11"/>
        <v>0.20036369647875682</v>
      </c>
      <c r="O23" s="7">
        <f t="shared" si="11"/>
        <v>0.40704612179183636</v>
      </c>
      <c r="P23" s="7">
        <f t="shared" si="11"/>
        <v>0.55430418176476348</v>
      </c>
      <c r="Q23" s="7">
        <f t="shared" si="11"/>
        <v>0.50404614325068875</v>
      </c>
      <c r="X23" s="7">
        <f t="shared" ref="X23:Y23" si="12">+X14/X7</f>
        <v>0.47641180571694169</v>
      </c>
      <c r="Y23" s="7">
        <f t="shared" si="12"/>
        <v>0.49650940823561496</v>
      </c>
      <c r="Z23" s="7">
        <f>+Z14/Z7</f>
        <v>0.25690693809721643</v>
      </c>
    </row>
    <row r="24" spans="2:26" x14ac:dyDescent="0.2">
      <c r="B24" t="s">
        <v>42</v>
      </c>
      <c r="C24" s="7">
        <f t="shared" ref="C24:F24" si="13">+C17/C16</f>
        <v>0.26763110307414106</v>
      </c>
      <c r="D24" s="7">
        <f t="shared" si="13"/>
        <v>0.23977467548371295</v>
      </c>
      <c r="E24" s="7">
        <f t="shared" si="13"/>
        <v>0.23027765535478184</v>
      </c>
      <c r="F24" s="7">
        <f t="shared" si="13"/>
        <v>0.18470020675396279</v>
      </c>
      <c r="G24" s="7">
        <f t="shared" ref="G24:J24" si="14">+G17/G16</f>
        <v>0.19713758079409049</v>
      </c>
      <c r="H24" s="7">
        <f t="shared" si="14"/>
        <v>0.13045851528384281</v>
      </c>
      <c r="I24" s="7">
        <f t="shared" si="14"/>
        <v>8.4887334887334881E-2</v>
      </c>
      <c r="J24" s="7">
        <f t="shared" si="14"/>
        <v>0.17324762779308234</v>
      </c>
      <c r="K24" s="7">
        <f t="shared" ref="K24:Q24" si="15">+K17/K16</f>
        <v>-8.0924855491329481E-2</v>
      </c>
      <c r="L24" s="7">
        <f t="shared" si="15"/>
        <v>-0.19120000000000001</v>
      </c>
      <c r="M24" s="7">
        <f t="shared" si="15"/>
        <v>-6.471816283924843E-2</v>
      </c>
      <c r="N24" s="7">
        <f t="shared" si="15"/>
        <v>-0.13414634146341464</v>
      </c>
      <c r="O24" s="7">
        <f t="shared" si="15"/>
        <v>0.19902120717781402</v>
      </c>
      <c r="P24" s="7">
        <f t="shared" si="15"/>
        <v>0.19693349263241736</v>
      </c>
      <c r="Q24" s="7">
        <f t="shared" si="15"/>
        <v>0.23063650306748465</v>
      </c>
      <c r="X24" s="7">
        <f t="shared" ref="X24:Y24" si="16">+X17/X16</f>
        <v>0.22808740486128162</v>
      </c>
      <c r="Y24" s="7">
        <f t="shared" si="16"/>
        <v>0.14228261531899336</v>
      </c>
      <c r="Z24" s="7">
        <f>+Z17/Z16</f>
        <v>-0.13011262596324838</v>
      </c>
    </row>
    <row r="25" spans="2:26" x14ac:dyDescent="0.2">
      <c r="K25" s="7"/>
      <c r="L25" s="7"/>
      <c r="M25" s="7"/>
      <c r="N25" s="7"/>
      <c r="O25" s="7"/>
      <c r="P25" s="7"/>
      <c r="Q25" s="7"/>
      <c r="X25" s="7"/>
      <c r="Y25" s="7"/>
      <c r="Z25" s="7"/>
    </row>
    <row r="26" spans="2:26" x14ac:dyDescent="0.2">
      <c r="B26" t="s">
        <v>44</v>
      </c>
      <c r="G26" s="7">
        <f>+G8/C8-1</f>
        <v>-1.050080775444262E-2</v>
      </c>
      <c r="H26" s="7">
        <f>+H8/D8-1</f>
        <v>-0.12728459530026115</v>
      </c>
      <c r="I26" s="7">
        <f t="shared" ref="I26:N26" si="17">+I8/E8-1</f>
        <v>-0.23229461756373937</v>
      </c>
      <c r="J26" s="7">
        <f t="shared" si="17"/>
        <v>-0.30180632212744607</v>
      </c>
      <c r="K26" s="7">
        <f t="shared" si="17"/>
        <v>-0.27591836734693875</v>
      </c>
      <c r="L26" s="7">
        <f t="shared" si="17"/>
        <v>-0.57741211667913239</v>
      </c>
      <c r="M26" s="7">
        <f t="shared" si="17"/>
        <v>-0.3214022140221402</v>
      </c>
      <c r="N26" s="7">
        <f t="shared" si="17"/>
        <v>-0.12037369744879622</v>
      </c>
      <c r="O26" s="7">
        <f>+O8/K8-1</f>
        <v>0.68470499812100716</v>
      </c>
      <c r="P26" s="7">
        <f>+P8/L8-1</f>
        <v>1.6530973451327435</v>
      </c>
      <c r="Q26" s="7">
        <f>+Q8/M8-1</f>
        <v>1.2724306688417619</v>
      </c>
      <c r="X26" s="7"/>
      <c r="Y26" s="7"/>
      <c r="Z26" s="7"/>
    </row>
    <row r="27" spans="2:26" x14ac:dyDescent="0.2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X27" s="7"/>
      <c r="Y27" s="7"/>
      <c r="Z27" s="7"/>
    </row>
    <row r="28" spans="2:26" x14ac:dyDescent="0.2">
      <c r="B28" t="s">
        <v>49</v>
      </c>
      <c r="G28" s="7">
        <f t="shared" ref="G28:P28" si="18">+G10/G9</f>
        <v>0.19915387026010656</v>
      </c>
      <c r="H28" s="7">
        <f t="shared" si="18"/>
        <v>0.24851033999298983</v>
      </c>
      <c r="I28" s="7">
        <f t="shared" si="18"/>
        <v>0.18027901936882026</v>
      </c>
      <c r="J28" s="7">
        <f t="shared" si="18"/>
        <v>0.24304648123949971</v>
      </c>
      <c r="K28" s="7">
        <f t="shared" si="18"/>
        <v>0.54558139534883721</v>
      </c>
      <c r="L28" s="7">
        <f t="shared" si="18"/>
        <v>0.36278586278586278</v>
      </c>
      <c r="M28" s="7">
        <f t="shared" si="18"/>
        <v>0.37898465171192441</v>
      </c>
      <c r="N28" s="7">
        <f t="shared" si="18"/>
        <v>0.32241044154401555</v>
      </c>
      <c r="O28" s="7">
        <f t="shared" si="18"/>
        <v>0.22761685319289007</v>
      </c>
      <c r="P28" s="7">
        <f t="shared" si="18"/>
        <v>0.1911825869957022</v>
      </c>
      <c r="Q28" s="7">
        <f>+Q10/Q9</f>
        <v>0.18676885841064947</v>
      </c>
      <c r="X28" s="7"/>
      <c r="Y28" s="7"/>
      <c r="Z28" s="7"/>
    </row>
    <row r="29" spans="2:26" x14ac:dyDescent="0.2">
      <c r="B29" t="s">
        <v>50</v>
      </c>
      <c r="G29" s="7">
        <f t="shared" ref="G29:P29" si="19">+G11/G7</f>
        <v>1.5213284279606245E-2</v>
      </c>
      <c r="H29" s="7">
        <f t="shared" si="19"/>
        <v>1.5393794749403342E-2</v>
      </c>
      <c r="I29" s="7">
        <f t="shared" si="19"/>
        <v>8.6198355295749526E-3</v>
      </c>
      <c r="J29" s="7">
        <f t="shared" si="19"/>
        <v>2.2972972972972974E-2</v>
      </c>
      <c r="K29" s="7">
        <f t="shared" si="19"/>
        <v>-6.2357098316358347E-4</v>
      </c>
      <c r="L29" s="7">
        <f t="shared" si="19"/>
        <v>3.8844621513944223E-2</v>
      </c>
      <c r="M29" s="7">
        <f t="shared" si="19"/>
        <v>2.1917808219178082E-2</v>
      </c>
      <c r="N29" s="7">
        <f t="shared" si="19"/>
        <v>2.9922301206811042E-2</v>
      </c>
      <c r="O29" s="7">
        <f t="shared" si="19"/>
        <v>2.9453546737380435E-2</v>
      </c>
      <c r="P29" s="7">
        <f t="shared" si="19"/>
        <v>1.1458231319165606E-2</v>
      </c>
      <c r="Q29" s="7">
        <f>+Q11/Q7</f>
        <v>1.1019283746556474E-2</v>
      </c>
      <c r="X29" s="7"/>
      <c r="Y29" s="7"/>
      <c r="Z29" s="7"/>
    </row>
    <row r="30" spans="2:26" x14ac:dyDescent="0.2">
      <c r="B30" t="s">
        <v>51</v>
      </c>
      <c r="G30" s="7">
        <f t="shared" ref="G30:P30" si="20">+G12/G9</f>
        <v>1.7235976183014728E-2</v>
      </c>
      <c r="H30" s="7">
        <f t="shared" si="20"/>
        <v>2.138100245355766E-2</v>
      </c>
      <c r="I30" s="7">
        <f t="shared" si="20"/>
        <v>4.8760666395774074E-2</v>
      </c>
      <c r="J30" s="7">
        <f t="shared" si="20"/>
        <v>2.8187418331155498E-2</v>
      </c>
      <c r="K30" s="7">
        <f t="shared" si="20"/>
        <v>8.7441860465116275E-2</v>
      </c>
      <c r="L30" s="7">
        <f t="shared" si="20"/>
        <v>3.3610533610533608E-2</v>
      </c>
      <c r="M30" s="7">
        <f t="shared" si="20"/>
        <v>4.9193231011412833E-2</v>
      </c>
      <c r="N30" s="8">
        <f>+N12/N9</f>
        <v>0.2907525687309081</v>
      </c>
      <c r="O30" s="7">
        <f t="shared" si="20"/>
        <v>1.3824884792626729E-2</v>
      </c>
      <c r="P30" s="7">
        <f t="shared" si="20"/>
        <v>7.9023984472480248E-3</v>
      </c>
      <c r="Q30" s="7">
        <f>+Q12/Q9</f>
        <v>8.740083366949038E-3</v>
      </c>
      <c r="X30" s="7"/>
      <c r="Y30" s="7"/>
      <c r="Z30" s="7"/>
    </row>
    <row r="31" spans="2:26" x14ac:dyDescent="0.2">
      <c r="K31" s="7"/>
      <c r="L31" s="7"/>
      <c r="M31" s="7"/>
      <c r="N31" s="7"/>
      <c r="O31" s="7"/>
      <c r="P31" s="7"/>
      <c r="Q31" s="7"/>
      <c r="X31" s="7"/>
      <c r="Y31" s="7"/>
      <c r="Z31" s="7"/>
    </row>
    <row r="33" spans="2:17" x14ac:dyDescent="0.2">
      <c r="B33" t="s">
        <v>43</v>
      </c>
      <c r="G33" s="7">
        <f t="shared" ref="G33" si="21">+G7/C7-1</f>
        <v>0.12230777814976013</v>
      </c>
      <c r="H33" s="7">
        <f t="shared" ref="H33" si="22">+H7/D7-1</f>
        <v>-9.3073593073593086E-2</v>
      </c>
      <c r="I33" s="7">
        <f t="shared" ref="I33" si="23">+I7/E7-1</f>
        <v>-7.0831283817018864E-3</v>
      </c>
      <c r="J33" s="7">
        <f t="shared" ref="J33" si="24">+J7/F7-1</f>
        <v>-0.21436154811311647</v>
      </c>
      <c r="K33" s="7">
        <f t="shared" ref="K33:N33" si="25">+K7/G7-1</f>
        <v>-0.52162672765238138</v>
      </c>
      <c r="L33" s="7">
        <f t="shared" si="25"/>
        <v>-0.52076372315035802</v>
      </c>
      <c r="M33" s="7">
        <f t="shared" si="25"/>
        <v>-0.56603586644208859</v>
      </c>
      <c r="N33" s="7">
        <f t="shared" si="25"/>
        <v>-0.25687960687960687</v>
      </c>
      <c r="O33" s="7">
        <f>+O7/K7-1</f>
        <v>1.1947620037414257</v>
      </c>
      <c r="P33" s="7">
        <f>+P7/L7-1</f>
        <v>1.5425796812749004</v>
      </c>
      <c r="Q33" s="7">
        <f>+Q7/M7-1</f>
        <v>1.6520547945205482</v>
      </c>
    </row>
  </sheetData>
  <hyperlinks>
    <hyperlink ref="A1" location="Main!A1" display="Main" xr:uid="{18CBA5B1-B12D-47B4-B633-1AA419E7E61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2022-01-20T20:30:02Z</dcterms:created>
  <dcterms:modified xsi:type="dcterms:W3CDTF">2022-04-17T16:46:35Z</dcterms:modified>
</cp:coreProperties>
</file>