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70DB491E-3F5C-4EC4-8256-6F4B1CB2DE0C}" xr6:coauthVersionLast="47" xr6:coauthVersionMax="47" xr10:uidLastSave="{00000000-0000-0000-0000-000000000000}"/>
  <bookViews>
    <workbookView xWindow="28680" yWindow="-120" windowWidth="29040" windowHeight="16440" activeTab="1" xr2:uid="{4170E95C-0D68-4053-8A29-B5383D58382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2" l="1"/>
  <c r="N5" i="2"/>
  <c r="AI32" i="2"/>
  <c r="AH32" i="2"/>
  <c r="AG32" i="2"/>
  <c r="AF32" i="2"/>
  <c r="AE32" i="2"/>
  <c r="AD32" i="2"/>
  <c r="AC32" i="2"/>
  <c r="AB32" i="2"/>
  <c r="AA32" i="2"/>
  <c r="M25" i="2"/>
  <c r="U28" i="2"/>
  <c r="M26" i="2"/>
  <c r="F26" i="2"/>
  <c r="Q44" i="2" l="1"/>
  <c r="Q41" i="2"/>
  <c r="Q40" i="2"/>
  <c r="AM19" i="2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AL19" i="2"/>
  <c r="AK19" i="2"/>
  <c r="AJ19" i="2"/>
  <c r="AI26" i="2"/>
  <c r="AH26" i="2"/>
  <c r="AG26" i="2"/>
  <c r="AF26" i="2"/>
  <c r="AE26" i="2"/>
  <c r="AD26" i="2"/>
  <c r="AC26" i="2"/>
  <c r="AB26" i="2"/>
  <c r="AA26" i="2"/>
  <c r="AI25" i="2"/>
  <c r="AH25" i="2"/>
  <c r="AG25" i="2"/>
  <c r="AF25" i="2"/>
  <c r="AE25" i="2"/>
  <c r="AD25" i="2"/>
  <c r="AC25" i="2"/>
  <c r="AB25" i="2"/>
  <c r="AA25" i="2"/>
  <c r="AI24" i="2"/>
  <c r="AH24" i="2"/>
  <c r="AG24" i="2"/>
  <c r="AF24" i="2"/>
  <c r="AE24" i="2"/>
  <c r="AD24" i="2"/>
  <c r="AC24" i="2"/>
  <c r="AB24" i="2"/>
  <c r="AA24" i="2"/>
  <c r="AI20" i="2"/>
  <c r="AH20" i="2"/>
  <c r="AG20" i="2"/>
  <c r="AF20" i="2"/>
  <c r="AE20" i="2"/>
  <c r="AD20" i="2"/>
  <c r="AC20" i="2"/>
  <c r="AB20" i="2"/>
  <c r="AA20" i="2"/>
  <c r="AA35" i="2"/>
  <c r="AA19" i="2"/>
  <c r="AA18" i="2"/>
  <c r="AA17" i="2"/>
  <c r="Z17" i="2"/>
  <c r="Z26" i="2" s="1"/>
  <c r="AB15" i="2"/>
  <c r="AB17" i="2" s="1"/>
  <c r="AA15" i="2"/>
  <c r="AC10" i="2"/>
  <c r="AB10" i="2"/>
  <c r="AA10" i="2"/>
  <c r="AA13" i="2" s="1"/>
  <c r="AA14" i="2" s="1"/>
  <c r="AA12" i="2"/>
  <c r="X29" i="2"/>
  <c r="W30" i="2"/>
  <c r="X30" i="2"/>
  <c r="AI29" i="2"/>
  <c r="AH29" i="2"/>
  <c r="AG29" i="2"/>
  <c r="AF29" i="2"/>
  <c r="AE29" i="2"/>
  <c r="AD29" i="2"/>
  <c r="AC29" i="2"/>
  <c r="AB29" i="2"/>
  <c r="AA29" i="2"/>
  <c r="Z29" i="2"/>
  <c r="Y29" i="2"/>
  <c r="W29" i="2"/>
  <c r="V29" i="2"/>
  <c r="U29" i="2"/>
  <c r="AI28" i="2"/>
  <c r="AH28" i="2"/>
  <c r="AG28" i="2"/>
  <c r="AF28" i="2"/>
  <c r="AE28" i="2"/>
  <c r="AD28" i="2"/>
  <c r="AC28" i="2"/>
  <c r="AB28" i="2"/>
  <c r="AA28" i="2"/>
  <c r="Z28" i="2"/>
  <c r="Y28" i="2"/>
  <c r="W28" i="2"/>
  <c r="V28" i="2"/>
  <c r="X28" i="2"/>
  <c r="AI30" i="2"/>
  <c r="AH30" i="2"/>
  <c r="AG30" i="2"/>
  <c r="AF30" i="2"/>
  <c r="AE30" i="2"/>
  <c r="AD30" i="2"/>
  <c r="AC30" i="2"/>
  <c r="AB30" i="2"/>
  <c r="AA30" i="2"/>
  <c r="AI13" i="2"/>
  <c r="AI14" i="2" s="1"/>
  <c r="AH13" i="2"/>
  <c r="AH14" i="2" s="1"/>
  <c r="AG13" i="2"/>
  <c r="AG14" i="2" s="1"/>
  <c r="AF13" i="2"/>
  <c r="AF14" i="2" s="1"/>
  <c r="AE13" i="2"/>
  <c r="AE14" i="2" s="1"/>
  <c r="AD13" i="2"/>
  <c r="AD14" i="2" s="1"/>
  <c r="AC13" i="2"/>
  <c r="AC14" i="2" s="1"/>
  <c r="AB13" i="2"/>
  <c r="AB14" i="2" s="1"/>
  <c r="Z13" i="2"/>
  <c r="AI12" i="2"/>
  <c r="AH12" i="2"/>
  <c r="AG12" i="2"/>
  <c r="AF12" i="2"/>
  <c r="AE12" i="2"/>
  <c r="AD12" i="2"/>
  <c r="AC12" i="2"/>
  <c r="AB12" i="2"/>
  <c r="AI11" i="2"/>
  <c r="AH11" i="2"/>
  <c r="AG11" i="2"/>
  <c r="AF11" i="2"/>
  <c r="AE11" i="2"/>
  <c r="AD11" i="2"/>
  <c r="AC11" i="2"/>
  <c r="AB11" i="2"/>
  <c r="AA11" i="2"/>
  <c r="AI10" i="2"/>
  <c r="AH10" i="2"/>
  <c r="AG10" i="2"/>
  <c r="AF10" i="2"/>
  <c r="AE10" i="2"/>
  <c r="AD10" i="2"/>
  <c r="AI9" i="2"/>
  <c r="AI8" i="2"/>
  <c r="AH9" i="2"/>
  <c r="AG9" i="2"/>
  <c r="AF9" i="2"/>
  <c r="AE9" i="2"/>
  <c r="AD9" i="2"/>
  <c r="AC9" i="2"/>
  <c r="AC8" i="2" s="1"/>
  <c r="AB9" i="2"/>
  <c r="AH8" i="2"/>
  <c r="AG8" i="2"/>
  <c r="AF8" i="2"/>
  <c r="AE8" i="2"/>
  <c r="AD8" i="2"/>
  <c r="AB8" i="2"/>
  <c r="AA8" i="2"/>
  <c r="AA9" i="2"/>
  <c r="X26" i="2"/>
  <c r="W26" i="2"/>
  <c r="Y26" i="2"/>
  <c r="V26" i="2"/>
  <c r="U26" i="2"/>
  <c r="Z25" i="2"/>
  <c r="Y25" i="2"/>
  <c r="Z24" i="2"/>
  <c r="Y24" i="2"/>
  <c r="AH5" i="2"/>
  <c r="AI5" i="2" s="1"/>
  <c r="AG5" i="2"/>
  <c r="AD5" i="2"/>
  <c r="AE5" i="2" s="1"/>
  <c r="AF5" i="2" s="1"/>
  <c r="AC5" i="2"/>
  <c r="AB5" i="2"/>
  <c r="AA5" i="2"/>
  <c r="Z32" i="2"/>
  <c r="Z30" i="2"/>
  <c r="Y30" i="2"/>
  <c r="Y21" i="2"/>
  <c r="Y20" i="2" s="1"/>
  <c r="Z20" i="2"/>
  <c r="Z19" i="2"/>
  <c r="Z18" i="2"/>
  <c r="Z15" i="2"/>
  <c r="Z14" i="2"/>
  <c r="Z12" i="2"/>
  <c r="Z11" i="2"/>
  <c r="Z10" i="2"/>
  <c r="Z9" i="2"/>
  <c r="Z8" i="2"/>
  <c r="Z5" i="2"/>
  <c r="Y15" i="2"/>
  <c r="Y32" i="2"/>
  <c r="X19" i="2"/>
  <c r="Y19" i="2"/>
  <c r="Y18" i="2"/>
  <c r="Y17" i="2"/>
  <c r="Y14" i="2"/>
  <c r="Y13" i="2"/>
  <c r="Y12" i="2"/>
  <c r="Y11" i="2"/>
  <c r="Y10" i="2"/>
  <c r="Y9" i="2"/>
  <c r="Y8" i="2"/>
  <c r="Y5" i="2"/>
  <c r="N19" i="2"/>
  <c r="N35" i="2"/>
  <c r="O15" i="2"/>
  <c r="N15" i="2"/>
  <c r="N32" i="2"/>
  <c r="L26" i="2"/>
  <c r="I26" i="2"/>
  <c r="K26" i="2"/>
  <c r="J26" i="2"/>
  <c r="H26" i="2"/>
  <c r="G26" i="2"/>
  <c r="AB18" i="2" l="1"/>
  <c r="AB19" i="2" s="1"/>
  <c r="AB35" i="2" s="1"/>
  <c r="AC15" i="2" l="1"/>
  <c r="AC17" i="2" s="1"/>
  <c r="AC18" i="2" l="1"/>
  <c r="AC19" i="2" s="1"/>
  <c r="AC35" i="2" s="1"/>
  <c r="AD15" i="2" l="1"/>
  <c r="AD17" i="2" s="1"/>
  <c r="AD18" i="2" l="1"/>
  <c r="AD19" i="2"/>
  <c r="AD35" i="2" s="1"/>
  <c r="AE15" i="2" l="1"/>
  <c r="AE17" i="2" s="1"/>
  <c r="AE18" i="2" l="1"/>
  <c r="AE19" i="2"/>
  <c r="AE35" i="2" s="1"/>
  <c r="AF15" i="2" l="1"/>
  <c r="AF17" i="2" s="1"/>
  <c r="AF18" i="2" l="1"/>
  <c r="AF19" i="2" s="1"/>
  <c r="AF35" i="2" s="1"/>
  <c r="AG15" i="2" l="1"/>
  <c r="AG17" i="2" s="1"/>
  <c r="AG18" i="2" l="1"/>
  <c r="AG19" i="2"/>
  <c r="AG35" i="2" s="1"/>
  <c r="AH15" i="2" l="1"/>
  <c r="AH17" i="2" s="1"/>
  <c r="AH18" i="2" l="1"/>
  <c r="AH19" i="2"/>
  <c r="AH35" i="2" s="1"/>
  <c r="AI15" i="2" l="1"/>
  <c r="AI17" i="2" s="1"/>
  <c r="AI19" i="2" l="1"/>
  <c r="AI35" i="2" s="1"/>
  <c r="AI18" i="2"/>
  <c r="U13" i="2" l="1"/>
  <c r="U8" i="2"/>
  <c r="U5" i="2"/>
  <c r="V13" i="2"/>
  <c r="V8" i="2"/>
  <c r="V5" i="2"/>
  <c r="V2" i="2"/>
  <c r="U2" i="2" s="1"/>
  <c r="W13" i="2"/>
  <c r="W8" i="2"/>
  <c r="W5" i="2"/>
  <c r="X21" i="2"/>
  <c r="X18" i="2"/>
  <c r="X16" i="2"/>
  <c r="X15" i="2"/>
  <c r="X12" i="2"/>
  <c r="X11" i="2"/>
  <c r="X10" i="2"/>
  <c r="X7" i="2"/>
  <c r="X6" i="2"/>
  <c r="X4" i="2"/>
  <c r="X3" i="2"/>
  <c r="J83" i="2"/>
  <c r="J76" i="2"/>
  <c r="J67" i="2"/>
  <c r="J43" i="2"/>
  <c r="J36" i="2"/>
  <c r="J53" i="2"/>
  <c r="F13" i="2"/>
  <c r="F8" i="2"/>
  <c r="F5" i="2"/>
  <c r="J13" i="2"/>
  <c r="J8" i="2"/>
  <c r="J5" i="2"/>
  <c r="K83" i="2"/>
  <c r="K76" i="2"/>
  <c r="K67" i="2"/>
  <c r="K53" i="2"/>
  <c r="K43" i="2"/>
  <c r="K36" i="2"/>
  <c r="K35" i="2" s="1"/>
  <c r="G13" i="2"/>
  <c r="G8" i="2"/>
  <c r="G5" i="2"/>
  <c r="K13" i="2"/>
  <c r="K8" i="2"/>
  <c r="K5" i="2"/>
  <c r="L83" i="2"/>
  <c r="L76" i="2"/>
  <c r="L67" i="2"/>
  <c r="L52" i="2"/>
  <c r="L53" i="2" s="1"/>
  <c r="L43" i="2"/>
  <c r="L36" i="2"/>
  <c r="H13" i="2"/>
  <c r="H8" i="2"/>
  <c r="H5" i="2"/>
  <c r="L13" i="2"/>
  <c r="L8" i="2"/>
  <c r="L5" i="2"/>
  <c r="P5" i="2" s="1"/>
  <c r="M83" i="2"/>
  <c r="M76" i="2"/>
  <c r="M67" i="2"/>
  <c r="M53" i="2"/>
  <c r="M43" i="2"/>
  <c r="M36" i="2"/>
  <c r="M35" i="2" s="1"/>
  <c r="J32" i="2" l="1"/>
  <c r="J9" i="2"/>
  <c r="J30" i="2" s="1"/>
  <c r="K32" i="2"/>
  <c r="O5" i="2"/>
  <c r="P9" i="2"/>
  <c r="P32" i="2"/>
  <c r="W32" i="2"/>
  <c r="V32" i="2"/>
  <c r="K84" i="2"/>
  <c r="J84" i="2"/>
  <c r="L45" i="2"/>
  <c r="U9" i="2"/>
  <c r="V9" i="2"/>
  <c r="W9" i="2"/>
  <c r="J45" i="2"/>
  <c r="J35" i="2"/>
  <c r="F9" i="2"/>
  <c r="F30" i="2" s="1"/>
  <c r="L32" i="2"/>
  <c r="L84" i="2"/>
  <c r="M84" i="2"/>
  <c r="M45" i="2"/>
  <c r="L35" i="2"/>
  <c r="K9" i="2"/>
  <c r="K29" i="2" s="1"/>
  <c r="K45" i="2"/>
  <c r="G9" i="2"/>
  <c r="H9" i="2"/>
  <c r="L9" i="2"/>
  <c r="L29" i="2" s="1"/>
  <c r="I13" i="2"/>
  <c r="X13" i="2" s="1"/>
  <c r="M13" i="2"/>
  <c r="I8" i="2"/>
  <c r="X8" i="2" s="1"/>
  <c r="I5" i="2"/>
  <c r="X5" i="2" s="1"/>
  <c r="X32" i="2" s="1"/>
  <c r="M8" i="2"/>
  <c r="M5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J12" i="1"/>
  <c r="J11" i="1"/>
  <c r="J14" i="1" s="1"/>
  <c r="P11" i="2" l="1"/>
  <c r="P29" i="2" s="1"/>
  <c r="P24" i="2"/>
  <c r="P12" i="2"/>
  <c r="P30" i="2" s="1"/>
  <c r="P10" i="2"/>
  <c r="O9" i="2"/>
  <c r="O32" i="2"/>
  <c r="M32" i="2"/>
  <c r="Q5" i="2"/>
  <c r="V30" i="2"/>
  <c r="P8" i="2"/>
  <c r="R5" i="2"/>
  <c r="N9" i="2"/>
  <c r="U30" i="2"/>
  <c r="H28" i="2"/>
  <c r="H29" i="2"/>
  <c r="H30" i="2"/>
  <c r="F29" i="2"/>
  <c r="F28" i="2"/>
  <c r="K24" i="2"/>
  <c r="K28" i="2"/>
  <c r="K30" i="2"/>
  <c r="L30" i="2"/>
  <c r="L28" i="2"/>
  <c r="G30" i="2"/>
  <c r="G29" i="2"/>
  <c r="G28" i="2"/>
  <c r="J29" i="2"/>
  <c r="J28" i="2"/>
  <c r="W14" i="2"/>
  <c r="W24" i="2"/>
  <c r="V14" i="2"/>
  <c r="V24" i="2"/>
  <c r="U14" i="2"/>
  <c r="U24" i="2"/>
  <c r="J14" i="2"/>
  <c r="J24" i="2"/>
  <c r="F14" i="2"/>
  <c r="F24" i="2"/>
  <c r="K14" i="2"/>
  <c r="K17" i="2" s="1"/>
  <c r="K19" i="2" s="1"/>
  <c r="G14" i="2"/>
  <c r="G24" i="2"/>
  <c r="H14" i="2"/>
  <c r="H24" i="2"/>
  <c r="L14" i="2"/>
  <c r="L25" i="2" s="1"/>
  <c r="L24" i="2"/>
  <c r="M9" i="2"/>
  <c r="M29" i="2" s="1"/>
  <c r="I9" i="2"/>
  <c r="I14" i="2" s="1"/>
  <c r="O24" i="2" l="1"/>
  <c r="O11" i="2"/>
  <c r="O12" i="2"/>
  <c r="O30" i="2" s="1"/>
  <c r="O10" i="2"/>
  <c r="O28" i="2" s="1"/>
  <c r="O8" i="2"/>
  <c r="P28" i="2"/>
  <c r="P13" i="2"/>
  <c r="P14" i="2" s="1"/>
  <c r="N30" i="2"/>
  <c r="N10" i="2"/>
  <c r="N24" i="2"/>
  <c r="N11" i="2"/>
  <c r="N29" i="2" s="1"/>
  <c r="N12" i="2"/>
  <c r="N8" i="2"/>
  <c r="Q9" i="2"/>
  <c r="Q8" i="2" s="1"/>
  <c r="Q32" i="2"/>
  <c r="R32" i="2"/>
  <c r="R9" i="2"/>
  <c r="I24" i="2"/>
  <c r="I30" i="2"/>
  <c r="I28" i="2"/>
  <c r="I29" i="2"/>
  <c r="M14" i="2"/>
  <c r="M30" i="2"/>
  <c r="M28" i="2"/>
  <c r="U17" i="2"/>
  <c r="U19" i="2" s="1"/>
  <c r="U20" i="2" s="1"/>
  <c r="U25" i="2"/>
  <c r="X14" i="2"/>
  <c r="X25" i="2" s="1"/>
  <c r="V17" i="2"/>
  <c r="V19" i="2" s="1"/>
  <c r="V20" i="2" s="1"/>
  <c r="V25" i="2"/>
  <c r="W17" i="2"/>
  <c r="W19" i="2" s="1"/>
  <c r="W20" i="2" s="1"/>
  <c r="W25" i="2"/>
  <c r="K25" i="2"/>
  <c r="F17" i="2"/>
  <c r="F19" i="2" s="1"/>
  <c r="F20" i="2" s="1"/>
  <c r="F25" i="2"/>
  <c r="M24" i="2"/>
  <c r="J17" i="2"/>
  <c r="J19" i="2" s="1"/>
  <c r="J25" i="2"/>
  <c r="X9" i="2"/>
  <c r="I17" i="2"/>
  <c r="I19" i="2" s="1"/>
  <c r="I20" i="2" s="1"/>
  <c r="I25" i="2"/>
  <c r="K20" i="2"/>
  <c r="K55" i="2"/>
  <c r="H17" i="2"/>
  <c r="H19" i="2" s="1"/>
  <c r="H20" i="2" s="1"/>
  <c r="H25" i="2"/>
  <c r="G17" i="2"/>
  <c r="G25" i="2"/>
  <c r="L17" i="2"/>
  <c r="L19" i="2" s="1"/>
  <c r="R11" i="2" l="1"/>
  <c r="R29" i="2" s="1"/>
  <c r="R24" i="2"/>
  <c r="R10" i="2"/>
  <c r="R12" i="2"/>
  <c r="R30" i="2" s="1"/>
  <c r="Q11" i="2"/>
  <c r="Q29" i="2" s="1"/>
  <c r="Q10" i="2"/>
  <c r="Q24" i="2"/>
  <c r="Q12" i="2"/>
  <c r="Q30" i="2" s="1"/>
  <c r="P25" i="2"/>
  <c r="R8" i="2"/>
  <c r="O13" i="2"/>
  <c r="O14" i="2" s="1"/>
  <c r="O29" i="2"/>
  <c r="X24" i="2"/>
  <c r="N28" i="2"/>
  <c r="N13" i="2"/>
  <c r="N14" i="2" s="1"/>
  <c r="M17" i="2"/>
  <c r="M19" i="2" s="1"/>
  <c r="M55" i="2" s="1"/>
  <c r="G19" i="2"/>
  <c r="X17" i="2"/>
  <c r="J20" i="2"/>
  <c r="J55" i="2"/>
  <c r="M20" i="2"/>
  <c r="L20" i="2"/>
  <c r="L55" i="2"/>
  <c r="N17" i="2" l="1"/>
  <c r="N25" i="2"/>
  <c r="Q13" i="2"/>
  <c r="Q14" i="2" s="1"/>
  <c r="Q28" i="2"/>
  <c r="O17" i="2"/>
  <c r="O25" i="2"/>
  <c r="R13" i="2"/>
  <c r="R14" i="2" s="1"/>
  <c r="R28" i="2"/>
  <c r="G20" i="2"/>
  <c r="X20" i="2"/>
  <c r="O18" i="2" l="1"/>
  <c r="O26" i="2" s="1"/>
  <c r="N18" i="2"/>
  <c r="N26" i="2" s="1"/>
  <c r="R25" i="2"/>
  <c r="Q25" i="2"/>
  <c r="O19" i="2" l="1"/>
  <c r="N20" i="2"/>
  <c r="O20" i="2" l="1"/>
  <c r="O35" i="2"/>
  <c r="P15" i="2" l="1"/>
  <c r="P17" i="2" s="1"/>
  <c r="P18" i="2" l="1"/>
  <c r="P26" i="2" s="1"/>
  <c r="P19" i="2"/>
  <c r="P20" i="2" l="1"/>
  <c r="P35" i="2"/>
  <c r="Q15" i="2" l="1"/>
  <c r="Q17" i="2" s="1"/>
  <c r="Q18" i="2" l="1"/>
  <c r="Q26" i="2" s="1"/>
  <c r="Q19" i="2"/>
  <c r="Q20" i="2" l="1"/>
  <c r="Q35" i="2"/>
  <c r="R15" i="2" l="1"/>
  <c r="R17" i="2" s="1"/>
  <c r="R18" i="2" l="1"/>
  <c r="R26" i="2" s="1"/>
  <c r="R19" i="2"/>
  <c r="R20" i="2" l="1"/>
  <c r="R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H18" authorId="0" shapeId="0" xr:uid="{7F7FC88A-EC2C-494E-BFFA-873BDAB74CCA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Billion Dollas?
</t>
        </r>
      </text>
    </comment>
    <comment ref="L35" authorId="0" shapeId="0" xr:uid="{806FBE49-9DFA-4F16-80E0-DE6FB062EB15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Major drop in Net Cash, increase in debt? What's the deal?
</t>
        </r>
      </text>
    </comment>
  </commentList>
</comments>
</file>

<file path=xl/sharedStrings.xml><?xml version="1.0" encoding="utf-8"?>
<sst xmlns="http://schemas.openxmlformats.org/spreadsheetml/2006/main" count="103" uniqueCount="93">
  <si>
    <t>Price</t>
  </si>
  <si>
    <t>Shares</t>
  </si>
  <si>
    <t>EV</t>
  </si>
  <si>
    <t>Cash</t>
  </si>
  <si>
    <t>Debt</t>
  </si>
  <si>
    <t>MC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</si>
  <si>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</si>
  <si>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</si>
  <si>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</si>
  <si>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</si>
  <si>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</si>
  <si>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</si>
  <si>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</si>
  <si>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</si>
  <si>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</si>
  <si>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</si>
  <si>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</si>
  <si>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</si>
  <si>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</si>
  <si>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</si>
  <si>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</si>
  <si>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</si>
  <si>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</si>
  <si>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Subscription</t>
  </si>
  <si>
    <t>Professional Services</t>
  </si>
  <si>
    <t>Revenue</t>
  </si>
  <si>
    <t>Cost of Subscription</t>
  </si>
  <si>
    <t>Cost of Professional Services</t>
  </si>
  <si>
    <t>COGS</t>
  </si>
  <si>
    <t>Gross Profit</t>
  </si>
  <si>
    <t>Gross Margin %</t>
  </si>
  <si>
    <t>Revenue Growth Y/Y</t>
  </si>
  <si>
    <t>R&amp;D</t>
  </si>
  <si>
    <t>S&amp;M</t>
  </si>
  <si>
    <t>G&amp;A</t>
  </si>
  <si>
    <t>Operating Expenses</t>
  </si>
  <si>
    <t>Operating Income</t>
  </si>
  <si>
    <t>Investments</t>
  </si>
  <si>
    <t>Other Income</t>
  </si>
  <si>
    <t>Pretax Income</t>
  </si>
  <si>
    <t>Taxes</t>
  </si>
  <si>
    <t>Net Income</t>
  </si>
  <si>
    <t>EPS</t>
  </si>
  <si>
    <t>A/R</t>
  </si>
  <si>
    <t>Revenue Contracts</t>
  </si>
  <si>
    <t>Prepaids</t>
  </si>
  <si>
    <t>PP&amp;E</t>
  </si>
  <si>
    <t>Operating Lease</t>
  </si>
  <si>
    <t>NC Revenue Contracts</t>
  </si>
  <si>
    <t>Intangibles</t>
  </si>
  <si>
    <t>D/T</t>
  </si>
  <si>
    <t>Total Assets</t>
  </si>
  <si>
    <t>A/P</t>
  </si>
  <si>
    <t>Unearned Revenue</t>
  </si>
  <si>
    <t>NC Lease</t>
  </si>
  <si>
    <t>ONCL</t>
  </si>
  <si>
    <t>Total Liabilites</t>
  </si>
  <si>
    <t>Model NI</t>
  </si>
  <si>
    <t>Reported NI</t>
  </si>
  <si>
    <t>D/A</t>
  </si>
  <si>
    <t>Revenue Contract</t>
  </si>
  <si>
    <t>SBC</t>
  </si>
  <si>
    <t>Cost of Contracts</t>
  </si>
  <si>
    <t>CFFO</t>
  </si>
  <si>
    <t>Business Combinations</t>
  </si>
  <si>
    <t>Purchase of Investments</t>
  </si>
  <si>
    <t>Sale of Investments</t>
  </si>
  <si>
    <t>Purchase of Securities</t>
  </si>
  <si>
    <t>Sale of Securities</t>
  </si>
  <si>
    <t>Maturity of Security</t>
  </si>
  <si>
    <t>CapEx</t>
  </si>
  <si>
    <t>CFFI</t>
  </si>
  <si>
    <t>Issurance of debt</t>
  </si>
  <si>
    <t>Repayment of Notes</t>
  </si>
  <si>
    <t>Employee Stock plan</t>
  </si>
  <si>
    <t>Principal Payment</t>
  </si>
  <si>
    <t>Repayment of Debt</t>
  </si>
  <si>
    <t>CFFF</t>
  </si>
  <si>
    <t>CF</t>
  </si>
  <si>
    <t>Net Cash</t>
  </si>
  <si>
    <t>Operating Margin %</t>
  </si>
  <si>
    <t>R&amp;D Margins</t>
  </si>
  <si>
    <t>S&amp;M Margins</t>
  </si>
  <si>
    <t>G&amp;A Margins</t>
  </si>
  <si>
    <t>Tax Rate %</t>
  </si>
  <si>
    <t>ROIC</t>
  </si>
  <si>
    <t>Maturity</t>
  </si>
  <si>
    <t>Discount</t>
  </si>
  <si>
    <t>NPV</t>
  </si>
  <si>
    <t>net</t>
  </si>
  <si>
    <t>per share</t>
  </si>
  <si>
    <t>cur share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</si>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</sst>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3" fontId="0" fillId="0" borderId="0" xfId="0" applyNumberFormat="1" applyFont="1"/>
    <xf numFmtId="4" fontId="0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Model!$U$28:$AI$28</c:f>
              <c:numCache>
                <c:formatCode>0%</c:formatCode>
                <c:ptCount val="15"/>
                <c:pt idx="0">
                  <c:v>0.19994850006437492</c:v>
                </c:pt>
                <c:pt idx="1">
                  <c:v>0.19184213203132947</c:v>
                </c:pt>
                <c:pt idx="2">
                  <c:v>0.21503537277462489</c:v>
                </c:pt>
                <c:pt idx="3">
                  <c:v>0.2275199190590616</c:v>
                </c:pt>
                <c:pt idx="4">
                  <c:v>0.23129971275127492</c:v>
                </c:pt>
                <c:pt idx="5">
                  <c:v>0.22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4-4F79-92CF-8A32406BA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Model!$U$29:$AI$29</c:f>
              <c:numCache>
                <c:formatCode>0%</c:formatCode>
                <c:ptCount val="15"/>
                <c:pt idx="0">
                  <c:v>0.60139049826187718</c:v>
                </c:pt>
                <c:pt idx="1">
                  <c:v>0.61682433119723323</c:v>
                </c:pt>
                <c:pt idx="2">
                  <c:v>0.6164969291767084</c:v>
                </c:pt>
                <c:pt idx="3">
                  <c:v>0.61173643606930572</c:v>
                </c:pt>
                <c:pt idx="4">
                  <c:v>0.59479778017278262</c:v>
                </c:pt>
                <c:pt idx="5">
                  <c:v>0.58277180532689998</c:v>
                </c:pt>
                <c:pt idx="6">
                  <c:v>0.54</c:v>
                </c:pt>
                <c:pt idx="7">
                  <c:v>0.54</c:v>
                </c:pt>
                <c:pt idx="8">
                  <c:v>0.52</c:v>
                </c:pt>
                <c:pt idx="9">
                  <c:v>0.51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4-4F79-92CF-8A32406BAB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Model!$U$30:$AI$30</c:f>
              <c:numCache>
                <c:formatCode>0%</c:formatCode>
                <c:ptCount val="15"/>
                <c:pt idx="0">
                  <c:v>0.14020857473928158</c:v>
                </c:pt>
                <c:pt idx="1">
                  <c:v>0.13691384396297426</c:v>
                </c:pt>
                <c:pt idx="2">
                  <c:v>0.13247298452927</c:v>
                </c:pt>
                <c:pt idx="3">
                  <c:v>0.13197167067155685</c:v>
                </c:pt>
                <c:pt idx="4">
                  <c:v>0.13128157249786873</c:v>
                </c:pt>
                <c:pt idx="5">
                  <c:v>0.13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0.11999999999999998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4-4F79-92CF-8A32406B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15311"/>
        <c:axId val="1137814063"/>
      </c:lineChart>
      <c:catAx>
        <c:axId val="113781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14063"/>
        <c:crosses val="autoZero"/>
        <c:auto val="1"/>
        <c:lblAlgn val="ctr"/>
        <c:lblOffset val="100"/>
        <c:noMultiLvlLbl val="0"/>
      </c:catAx>
      <c:valAx>
        <c:axId val="11378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9525</xdr:rowOff>
    </xdr:from>
    <xdr:to>
      <xdr:col>13</xdr:col>
      <xdr:colOff>38100</xdr:colOff>
      <xdr:row>47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DDCDC6-4837-42A9-A0C7-26C2634A2237}"/>
            </a:ext>
          </a:extLst>
        </xdr:cNvPr>
        <xdr:cNvCxnSpPr/>
      </xdr:nvCxnSpPr>
      <xdr:spPr>
        <a:xfrm>
          <a:off x="9877425" y="9525"/>
          <a:ext cx="0" cy="827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38100</xdr:rowOff>
    </xdr:from>
    <xdr:to>
      <xdr:col>24</xdr:col>
      <xdr:colOff>19050</xdr:colOff>
      <xdr:row>47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2154B5D-76C2-4928-90FC-1DBC6317F4EB}"/>
            </a:ext>
          </a:extLst>
        </xdr:cNvPr>
        <xdr:cNvCxnSpPr/>
      </xdr:nvCxnSpPr>
      <xdr:spPr>
        <a:xfrm>
          <a:off x="17402175" y="38100"/>
          <a:ext cx="0" cy="765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142875</xdr:colOff>
      <xdr:row>37</xdr:row>
      <xdr:rowOff>71437</xdr:rowOff>
    </xdr:from>
    <xdr:to>
      <xdr:col>30</xdr:col>
      <xdr:colOff>600075</xdr:colOff>
      <xdr:row>52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E646E2-CCA3-4FF7-8C7B-23CBF8F80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CB0F-FD12-4164-BAB0-6AB6ACA12056}">
  <dimension ref="I9:J14"/>
  <sheetViews>
    <sheetView workbookViewId="0">
      <selection activeCell="J10" sqref="J10"/>
    </sheetView>
  </sheetViews>
  <sheetFormatPr defaultRowHeight="14.25" x14ac:dyDescent="0.2"/>
  <sheetData>
    <row r="9" spans="9:10" x14ac:dyDescent="0.2">
      <c r="I9" t="s">
        <v>0</v>
      </c>
      <c r="J9">
        <v>231.23</v>
      </c>
    </row>
    <row r="10" spans="9:10" x14ac:dyDescent="0.2">
      <c r="I10" t="s">
        <v>1</v>
      </c>
      <c r="J10" s="1">
        <v>985</v>
      </c>
    </row>
    <row r="11" spans="9:10" x14ac:dyDescent="0.2">
      <c r="I11" t="s">
        <v>5</v>
      </c>
      <c r="J11" s="1">
        <f>+J9*J10</f>
        <v>227761.55</v>
      </c>
    </row>
    <row r="12" spans="9:10" x14ac:dyDescent="0.2">
      <c r="I12" t="s">
        <v>3</v>
      </c>
      <c r="J12" s="1">
        <f>4753+4638+4004</f>
        <v>13395</v>
      </c>
    </row>
    <row r="13" spans="9:10" x14ac:dyDescent="0.2">
      <c r="I13" t="s">
        <v>4</v>
      </c>
      <c r="J13" s="1">
        <v>10591</v>
      </c>
    </row>
    <row r="14" spans="9:10" x14ac:dyDescent="0.2">
      <c r="I14" t="s">
        <v>2</v>
      </c>
      <c r="J14" s="1">
        <f>+J11-J12+J13</f>
        <v>224957.55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7276-9C26-4A7C-BED0-A46DBB1999B8}">
  <dimension ref="A1:DN84"/>
  <sheetViews>
    <sheetView tabSelected="1" zoomScaleNormal="100" workbookViewId="0">
      <pane xSplit="2" ySplit="2" topLeftCell="N9" activePane="bottomRight" state="frozen"/>
      <selection pane="topRight" activeCell="C1" sqref="C1"/>
      <selection pane="bottomLeft" activeCell="A3" sqref="A3"/>
      <selection pane="bottomRight" activeCell="P29" sqref="P29"/>
    </sheetView>
  </sheetViews>
  <sheetFormatPr defaultRowHeight="14.25" x14ac:dyDescent="0.2"/>
  <cols>
    <col min="1" max="1" width="4.625" bestFit="1" customWidth="1"/>
    <col min="2" max="2" width="25.5" bestFit="1" customWidth="1"/>
    <col min="17" max="17" width="8.75" customWidth="1"/>
  </cols>
  <sheetData>
    <row r="1" spans="1:35" x14ac:dyDescent="0.2">
      <c r="A1" s="2" t="s">
        <v>6</v>
      </c>
    </row>
    <row r="2" spans="1:35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U2">
        <f>+V2-1</f>
        <v>2017</v>
      </c>
      <c r="V2">
        <f>+W2-1</f>
        <v>2018</v>
      </c>
      <c r="W2">
        <v>2019</v>
      </c>
      <c r="X2">
        <f>+W2+1</f>
        <v>2020</v>
      </c>
      <c r="Y2">
        <f t="shared" ref="Y2:AI2" si="0">+X2+1</f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  <c r="AI2">
        <f t="shared" si="0"/>
        <v>2031</v>
      </c>
    </row>
    <row r="3" spans="1:35" x14ac:dyDescent="0.2">
      <c r="B3" t="s">
        <v>23</v>
      </c>
      <c r="F3" s="1">
        <v>4563</v>
      </c>
      <c r="G3" s="1">
        <v>4575</v>
      </c>
      <c r="H3" s="1">
        <v>4840</v>
      </c>
      <c r="I3" s="1">
        <v>5085</v>
      </c>
      <c r="J3" s="1">
        <v>5476</v>
      </c>
      <c r="K3" s="1">
        <v>5536</v>
      </c>
      <c r="L3" s="1">
        <v>5914</v>
      </c>
      <c r="M3" s="1">
        <v>6379</v>
      </c>
      <c r="U3" s="1">
        <v>9766</v>
      </c>
      <c r="V3" s="1">
        <v>12413</v>
      </c>
      <c r="W3" s="1">
        <v>16043</v>
      </c>
      <c r="X3" s="1">
        <f t="shared" ref="X3:X19" si="1">+SUM(G3:J3)</f>
        <v>19976</v>
      </c>
    </row>
    <row r="4" spans="1:35" x14ac:dyDescent="0.2">
      <c r="B4" t="s">
        <v>24</v>
      </c>
      <c r="F4" s="1">
        <v>288</v>
      </c>
      <c r="G4" s="1">
        <v>290</v>
      </c>
      <c r="H4" s="1">
        <v>311</v>
      </c>
      <c r="I4" s="1">
        <v>334</v>
      </c>
      <c r="J4" s="1">
        <v>341</v>
      </c>
      <c r="K4" s="1">
        <v>427</v>
      </c>
      <c r="L4" s="1">
        <v>426</v>
      </c>
      <c r="M4" s="1">
        <v>484</v>
      </c>
      <c r="U4" s="1">
        <v>774</v>
      </c>
      <c r="V4" s="1">
        <v>869</v>
      </c>
      <c r="W4" s="1">
        <v>1055</v>
      </c>
      <c r="X4" s="1">
        <f t="shared" si="1"/>
        <v>1276</v>
      </c>
    </row>
    <row r="5" spans="1:35" s="3" customFormat="1" ht="15" x14ac:dyDescent="0.25">
      <c r="B5" s="3" t="s">
        <v>25</v>
      </c>
      <c r="F5" s="4">
        <f t="shared" ref="F5:M5" si="2">+F3+F4</f>
        <v>4851</v>
      </c>
      <c r="G5" s="4">
        <f t="shared" si="2"/>
        <v>4865</v>
      </c>
      <c r="H5" s="4">
        <f t="shared" si="2"/>
        <v>5151</v>
      </c>
      <c r="I5" s="4">
        <f t="shared" si="2"/>
        <v>5419</v>
      </c>
      <c r="J5" s="4">
        <f t="shared" si="2"/>
        <v>5817</v>
      </c>
      <c r="K5" s="4">
        <f t="shared" si="2"/>
        <v>5963</v>
      </c>
      <c r="L5" s="4">
        <f t="shared" si="2"/>
        <v>6340</v>
      </c>
      <c r="M5" s="4">
        <f t="shared" si="2"/>
        <v>6863</v>
      </c>
      <c r="N5" s="4">
        <f>+J5*1.24</f>
        <v>7213.08</v>
      </c>
      <c r="O5" s="4">
        <f>+K5*1.22</f>
        <v>7274.86</v>
      </c>
      <c r="P5" s="4">
        <f>+L5*1.2</f>
        <v>7608</v>
      </c>
      <c r="Q5" s="4">
        <f>+M5*1.23</f>
        <v>8441.49</v>
      </c>
      <c r="R5" s="4">
        <f>+N5*1.24</f>
        <v>8944.2191999999995</v>
      </c>
      <c r="U5" s="4">
        <f>+U3+U4</f>
        <v>10540</v>
      </c>
      <c r="V5" s="4">
        <f>+V3+V4</f>
        <v>13282</v>
      </c>
      <c r="W5" s="4">
        <f>+W3+W4</f>
        <v>17098</v>
      </c>
      <c r="X5" s="4">
        <f t="shared" si="1"/>
        <v>21252</v>
      </c>
      <c r="Y5" s="4">
        <f>+SUM(K5:N5)</f>
        <v>26379.08</v>
      </c>
      <c r="Z5" s="4">
        <f>+SUM(O5:R5)</f>
        <v>32268.569199999998</v>
      </c>
      <c r="AA5" s="4">
        <f>+Z5*1.25</f>
        <v>40335.711499999998</v>
      </c>
      <c r="AB5" s="4">
        <f t="shared" ref="AB5" si="3">+AA5*1.25</f>
        <v>50419.639374999999</v>
      </c>
      <c r="AC5" s="4">
        <f>+AB5*1.2</f>
        <v>60503.567249999993</v>
      </c>
      <c r="AD5" s="4">
        <f t="shared" ref="AD5:AF5" si="4">+AC5*1.2</f>
        <v>72604.280699999988</v>
      </c>
      <c r="AE5" s="4">
        <f t="shared" si="4"/>
        <v>87125.136839999977</v>
      </c>
      <c r="AF5" s="4">
        <f t="shared" si="4"/>
        <v>104550.16420799997</v>
      </c>
      <c r="AG5" s="4">
        <f>+AF5*1.18</f>
        <v>123369.19376543997</v>
      </c>
      <c r="AH5" s="4">
        <f t="shared" ref="AH5:AI5" si="5">+AG5*1.18</f>
        <v>145575.64864321915</v>
      </c>
      <c r="AI5" s="4">
        <f t="shared" si="5"/>
        <v>171779.26539899857</v>
      </c>
    </row>
    <row r="6" spans="1:35" x14ac:dyDescent="0.2">
      <c r="B6" t="s">
        <v>26</v>
      </c>
      <c r="F6" s="1">
        <v>923</v>
      </c>
      <c r="G6" s="1">
        <v>966</v>
      </c>
      <c r="H6" s="1">
        <v>1013</v>
      </c>
      <c r="I6" s="1">
        <v>1060</v>
      </c>
      <c r="J6" s="1">
        <v>1115</v>
      </c>
      <c r="K6" s="1">
        <v>1122</v>
      </c>
      <c r="L6" s="1">
        <v>1146</v>
      </c>
      <c r="M6" s="1">
        <v>1335</v>
      </c>
      <c r="U6" s="1">
        <v>2033</v>
      </c>
      <c r="V6" s="1">
        <v>2604</v>
      </c>
      <c r="W6" s="1">
        <v>3198</v>
      </c>
      <c r="X6" s="1">
        <f t="shared" si="1"/>
        <v>4154</v>
      </c>
      <c r="Z6" s="1"/>
    </row>
    <row r="7" spans="1:35" x14ac:dyDescent="0.2">
      <c r="B7" t="s">
        <v>27</v>
      </c>
      <c r="F7" s="1">
        <v>297</v>
      </c>
      <c r="G7" s="1">
        <v>288</v>
      </c>
      <c r="H7" s="1">
        <v>298</v>
      </c>
      <c r="I7" s="1">
        <v>334</v>
      </c>
      <c r="J7" s="1">
        <v>364</v>
      </c>
      <c r="K7" s="1">
        <v>433</v>
      </c>
      <c r="L7" s="1">
        <v>467</v>
      </c>
      <c r="M7" s="1">
        <v>509</v>
      </c>
      <c r="U7" s="1">
        <v>740</v>
      </c>
      <c r="V7" s="1">
        <v>847</v>
      </c>
      <c r="W7" s="1">
        <v>1037</v>
      </c>
      <c r="X7" s="1">
        <f t="shared" si="1"/>
        <v>1284</v>
      </c>
      <c r="Z7" s="1"/>
    </row>
    <row r="8" spans="1:35" x14ac:dyDescent="0.2">
      <c r="B8" t="s">
        <v>28</v>
      </c>
      <c r="F8" s="1">
        <f t="shared" ref="F8:M8" si="6">+SUM(F6:F7)</f>
        <v>1220</v>
      </c>
      <c r="G8" s="1">
        <f t="shared" si="6"/>
        <v>1254</v>
      </c>
      <c r="H8" s="1">
        <f t="shared" si="6"/>
        <v>1311</v>
      </c>
      <c r="I8" s="1">
        <f t="shared" si="6"/>
        <v>1394</v>
      </c>
      <c r="J8" s="1">
        <f t="shared" si="6"/>
        <v>1479</v>
      </c>
      <c r="K8" s="1">
        <f t="shared" si="6"/>
        <v>1555</v>
      </c>
      <c r="L8" s="1">
        <f t="shared" si="6"/>
        <v>1613</v>
      </c>
      <c r="M8" s="1">
        <f t="shared" si="6"/>
        <v>1844</v>
      </c>
      <c r="N8" s="1">
        <f>+N5-N9</f>
        <v>1875.4008000000003</v>
      </c>
      <c r="O8" s="1">
        <f t="shared" ref="O8:R8" si="7">+O5-O9</f>
        <v>1891.4636</v>
      </c>
      <c r="P8" s="1">
        <f t="shared" si="7"/>
        <v>1978.08</v>
      </c>
      <c r="Q8" s="1">
        <f t="shared" si="7"/>
        <v>2194.7874000000002</v>
      </c>
      <c r="R8" s="1">
        <f t="shared" si="7"/>
        <v>2325.4969920000003</v>
      </c>
      <c r="U8" s="1">
        <f>+SUM(U6:U7)</f>
        <v>2773</v>
      </c>
      <c r="V8" s="1">
        <f>+SUM(V6:V7)</f>
        <v>3451</v>
      </c>
      <c r="W8" s="1">
        <f>+SUM(W6:W7)</f>
        <v>4235</v>
      </c>
      <c r="X8" s="1">
        <f t="shared" si="1"/>
        <v>5438</v>
      </c>
      <c r="Y8" s="8">
        <f t="shared" ref="Y8:Y19" si="8">+SUM(K8:N8)</f>
        <v>6887.4008000000003</v>
      </c>
      <c r="Z8" s="8">
        <f t="shared" ref="Z8:Z19" si="9">+SUM(O8:R8)</f>
        <v>8389.8279920000004</v>
      </c>
      <c r="AA8" s="1">
        <f>+AA5-AA9</f>
        <v>10487.28499</v>
      </c>
      <c r="AB8" s="1">
        <f t="shared" ref="AB8:AI8" si="10">+AB5-AB9</f>
        <v>13109.106237500004</v>
      </c>
      <c r="AC8" s="1">
        <f t="shared" si="10"/>
        <v>15730.927485</v>
      </c>
      <c r="AD8" s="1">
        <f t="shared" si="10"/>
        <v>18877.112981999999</v>
      </c>
      <c r="AE8" s="1">
        <f t="shared" si="10"/>
        <v>22652.535578399998</v>
      </c>
      <c r="AF8" s="1">
        <f t="shared" si="10"/>
        <v>27183.042694079995</v>
      </c>
      <c r="AG8" s="1">
        <f t="shared" si="10"/>
        <v>32075.990379014387</v>
      </c>
      <c r="AH8" s="1">
        <f t="shared" si="10"/>
        <v>37849.668647236977</v>
      </c>
      <c r="AI8" s="1">
        <f t="shared" si="10"/>
        <v>44662.609003739635</v>
      </c>
    </row>
    <row r="9" spans="1:35" x14ac:dyDescent="0.2">
      <c r="B9" t="s">
        <v>29</v>
      </c>
      <c r="F9" s="1">
        <f t="shared" ref="F9:M9" si="11">+F5-F8</f>
        <v>3631</v>
      </c>
      <c r="G9" s="1">
        <f t="shared" si="11"/>
        <v>3611</v>
      </c>
      <c r="H9" s="1">
        <f t="shared" si="11"/>
        <v>3840</v>
      </c>
      <c r="I9" s="1">
        <f t="shared" si="11"/>
        <v>4025</v>
      </c>
      <c r="J9" s="1">
        <f t="shared" si="11"/>
        <v>4338</v>
      </c>
      <c r="K9" s="1">
        <f t="shared" si="11"/>
        <v>4408</v>
      </c>
      <c r="L9" s="1">
        <f t="shared" si="11"/>
        <v>4727</v>
      </c>
      <c r="M9" s="1">
        <f t="shared" si="11"/>
        <v>5019</v>
      </c>
      <c r="N9" s="1">
        <f>+N5*0.74</f>
        <v>5337.6791999999996</v>
      </c>
      <c r="O9" s="1">
        <f t="shared" ref="O9:R9" si="12">+O5*0.74</f>
        <v>5383.3963999999996</v>
      </c>
      <c r="P9" s="1">
        <f t="shared" si="12"/>
        <v>5629.92</v>
      </c>
      <c r="Q9" s="1">
        <f t="shared" si="12"/>
        <v>6246.7025999999996</v>
      </c>
      <c r="R9" s="1">
        <f t="shared" si="12"/>
        <v>6618.7222079999992</v>
      </c>
      <c r="U9" s="1">
        <f>+U5-U8</f>
        <v>7767</v>
      </c>
      <c r="V9" s="1">
        <f>+V5-V8</f>
        <v>9831</v>
      </c>
      <c r="W9" s="1">
        <f>+W5-W8</f>
        <v>12863</v>
      </c>
      <c r="X9" s="1">
        <f t="shared" si="1"/>
        <v>15814</v>
      </c>
      <c r="Y9" s="8">
        <f t="shared" si="8"/>
        <v>19491.679199999999</v>
      </c>
      <c r="Z9" s="8">
        <f t="shared" si="9"/>
        <v>23878.741207999999</v>
      </c>
      <c r="AA9" s="1">
        <f>+AA5*0.74</f>
        <v>29848.426509999998</v>
      </c>
      <c r="AB9" s="1">
        <f t="shared" ref="AB9:AH9" si="13">+AB5*0.74</f>
        <v>37310.533137499995</v>
      </c>
      <c r="AC9" s="1">
        <f t="shared" si="13"/>
        <v>44772.639764999993</v>
      </c>
      <c r="AD9" s="1">
        <f t="shared" si="13"/>
        <v>53727.16771799999</v>
      </c>
      <c r="AE9" s="1">
        <f t="shared" si="13"/>
        <v>64472.601261599979</v>
      </c>
      <c r="AF9" s="1">
        <f t="shared" si="13"/>
        <v>77367.121513919978</v>
      </c>
      <c r="AG9" s="1">
        <f t="shared" si="13"/>
        <v>91293.203386425579</v>
      </c>
      <c r="AH9" s="1">
        <f t="shared" si="13"/>
        <v>107725.97999598217</v>
      </c>
      <c r="AI9" s="1">
        <f>+AI5*0.74</f>
        <v>127116.65639525893</v>
      </c>
    </row>
    <row r="10" spans="1:35" x14ac:dyDescent="0.2">
      <c r="B10" t="s">
        <v>32</v>
      </c>
      <c r="F10" s="1">
        <v>831</v>
      </c>
      <c r="G10" s="1">
        <v>859</v>
      </c>
      <c r="H10" s="1">
        <v>898</v>
      </c>
      <c r="I10" s="1">
        <v>902</v>
      </c>
      <c r="J10" s="1">
        <v>939</v>
      </c>
      <c r="K10" s="1">
        <v>951</v>
      </c>
      <c r="L10" s="1">
        <v>1020</v>
      </c>
      <c r="M10" s="1">
        <v>1203</v>
      </c>
      <c r="N10" s="1">
        <f>+N9*0.25</f>
        <v>1334.4197999999999</v>
      </c>
      <c r="O10" s="1">
        <f>+O9*0.22</f>
        <v>1184.3472079999999</v>
      </c>
      <c r="P10" s="1">
        <f t="shared" ref="P10:R10" si="14">+P9*0.22</f>
        <v>1238.5824</v>
      </c>
      <c r="Q10" s="1">
        <f t="shared" si="14"/>
        <v>1374.274572</v>
      </c>
      <c r="R10" s="1">
        <f t="shared" si="14"/>
        <v>1456.1188857599998</v>
      </c>
      <c r="U10" s="1">
        <v>1553</v>
      </c>
      <c r="V10" s="1">
        <v>1886</v>
      </c>
      <c r="W10" s="1">
        <v>2766</v>
      </c>
      <c r="X10" s="1">
        <f t="shared" si="1"/>
        <v>3598</v>
      </c>
      <c r="Y10" s="8">
        <f t="shared" si="8"/>
        <v>4508.4197999999997</v>
      </c>
      <c r="Z10" s="8">
        <f t="shared" si="9"/>
        <v>5253.3230657599997</v>
      </c>
      <c r="AA10" s="1">
        <f>+AA9*0.24</f>
        <v>7163.6223623999995</v>
      </c>
      <c r="AB10" s="1">
        <f t="shared" ref="AB10:AC10" si="15">+AB9*0.24</f>
        <v>8954.5279529999989</v>
      </c>
      <c r="AC10" s="1">
        <f t="shared" si="15"/>
        <v>10745.433543599998</v>
      </c>
      <c r="AD10" s="1">
        <f>+AD9*0.28</f>
        <v>15043.606961039999</v>
      </c>
      <c r="AE10" s="1">
        <f t="shared" ref="AE10" si="16">+AE9*0.28</f>
        <v>18052.328353247995</v>
      </c>
      <c r="AF10" s="1">
        <f>+AF9*0.25</f>
        <v>19341.780378479994</v>
      </c>
      <c r="AG10" s="1">
        <f t="shared" ref="AG10:AI10" si="17">+AG9*0.25</f>
        <v>22823.300846606395</v>
      </c>
      <c r="AH10" s="1">
        <f t="shared" si="17"/>
        <v>26931.494998995542</v>
      </c>
      <c r="AI10" s="1">
        <f t="shared" si="17"/>
        <v>31779.164098814734</v>
      </c>
    </row>
    <row r="11" spans="1:35" x14ac:dyDescent="0.2">
      <c r="B11" t="s">
        <v>33</v>
      </c>
      <c r="F11" s="1">
        <v>2346</v>
      </c>
      <c r="G11" s="1">
        <v>2390</v>
      </c>
      <c r="H11" s="1">
        <v>2275</v>
      </c>
      <c r="I11" s="1">
        <v>2377</v>
      </c>
      <c r="J11" s="1">
        <v>2632</v>
      </c>
      <c r="K11" s="1">
        <v>2544</v>
      </c>
      <c r="L11" s="1">
        <v>2736</v>
      </c>
      <c r="M11" s="1">
        <v>3111</v>
      </c>
      <c r="N11" s="1">
        <f>+N9*0.6</f>
        <v>3202.6075199999996</v>
      </c>
      <c r="O11" s="1">
        <f>+O9*0.58</f>
        <v>3122.3699119999997</v>
      </c>
      <c r="P11" s="1">
        <f t="shared" ref="P11:Q11" si="18">+P9*0.58</f>
        <v>3265.3535999999999</v>
      </c>
      <c r="Q11" s="1">
        <f t="shared" si="18"/>
        <v>3623.0875079999996</v>
      </c>
      <c r="R11" s="1">
        <f>+R9*0.59</f>
        <v>3905.0461027199995</v>
      </c>
      <c r="U11" s="1">
        <v>4671</v>
      </c>
      <c r="V11" s="1">
        <v>6064</v>
      </c>
      <c r="W11" s="1">
        <v>7930</v>
      </c>
      <c r="X11" s="1">
        <f t="shared" si="1"/>
        <v>9674</v>
      </c>
      <c r="Y11" s="8">
        <f t="shared" si="8"/>
        <v>11593.60752</v>
      </c>
      <c r="Z11" s="8">
        <f t="shared" si="9"/>
        <v>13915.857122719999</v>
      </c>
      <c r="AA11" s="1">
        <f>+AA9*0.54</f>
        <v>16118.1503154</v>
      </c>
      <c r="AB11" s="1">
        <f>+AB9*0.54</f>
        <v>20147.687894249997</v>
      </c>
      <c r="AC11" s="1">
        <f>+AC9*0.52</f>
        <v>23281.772677799996</v>
      </c>
      <c r="AD11" s="1">
        <f>+AD9*0.51</f>
        <v>27400.855536179995</v>
      </c>
      <c r="AE11" s="1">
        <f>+AE9*0.49</f>
        <v>31591.57461818399</v>
      </c>
      <c r="AF11" s="1">
        <f t="shared" ref="AF11:AI11" si="19">+AF9*0.49</f>
        <v>37909.88954182079</v>
      </c>
      <c r="AG11" s="1">
        <f t="shared" si="19"/>
        <v>44733.669659348532</v>
      </c>
      <c r="AH11" s="1">
        <f t="shared" si="19"/>
        <v>52785.730198031262</v>
      </c>
      <c r="AI11" s="1">
        <f t="shared" si="19"/>
        <v>62287.161633676878</v>
      </c>
    </row>
    <row r="12" spans="1:35" x14ac:dyDescent="0.2">
      <c r="B12" t="s">
        <v>34</v>
      </c>
      <c r="F12" s="1">
        <v>490</v>
      </c>
      <c r="G12" s="1">
        <v>502</v>
      </c>
      <c r="H12" s="1">
        <v>489</v>
      </c>
      <c r="I12" s="1">
        <v>522</v>
      </c>
      <c r="J12" s="1">
        <v>574</v>
      </c>
      <c r="K12" s="1">
        <v>559</v>
      </c>
      <c r="L12" s="1">
        <v>639</v>
      </c>
      <c r="M12" s="1">
        <v>667</v>
      </c>
      <c r="N12" s="1">
        <f>+N9*0.13</f>
        <v>693.89829599999996</v>
      </c>
      <c r="O12" s="1">
        <f t="shared" ref="O12:R12" si="20">+O9*0.13</f>
        <v>699.84153200000003</v>
      </c>
      <c r="P12" s="1">
        <f t="shared" si="20"/>
        <v>731.88960000000009</v>
      </c>
      <c r="Q12" s="1">
        <f t="shared" si="20"/>
        <v>812.07133799999997</v>
      </c>
      <c r="R12" s="1">
        <f t="shared" si="20"/>
        <v>860.43388703999995</v>
      </c>
      <c r="U12" s="1">
        <v>1089</v>
      </c>
      <c r="V12" s="1">
        <v>1346</v>
      </c>
      <c r="W12" s="1">
        <v>1704</v>
      </c>
      <c r="X12" s="1">
        <f t="shared" si="1"/>
        <v>2087</v>
      </c>
      <c r="Y12" s="8">
        <f t="shared" si="8"/>
        <v>2558.8982959999998</v>
      </c>
      <c r="Z12" s="8">
        <f t="shared" si="9"/>
        <v>3104.2363570400003</v>
      </c>
      <c r="AA12" s="1">
        <f>+AA9*0.12</f>
        <v>3581.8111811999997</v>
      </c>
      <c r="AB12" s="1">
        <f t="shared" ref="AB12:AI12" si="21">+AB9*0.12</f>
        <v>4477.2639764999994</v>
      </c>
      <c r="AC12" s="1">
        <f t="shared" si="21"/>
        <v>5372.7167717999992</v>
      </c>
      <c r="AD12" s="1">
        <f t="shared" si="21"/>
        <v>6447.2601261599984</v>
      </c>
      <c r="AE12" s="1">
        <f t="shared" si="21"/>
        <v>7736.7121513919974</v>
      </c>
      <c r="AF12" s="1">
        <f t="shared" si="21"/>
        <v>9284.0545816703961</v>
      </c>
      <c r="AG12" s="1">
        <f t="shared" si="21"/>
        <v>10955.184406371069</v>
      </c>
      <c r="AH12" s="1">
        <f t="shared" si="21"/>
        <v>12927.11759951786</v>
      </c>
      <c r="AI12" s="1">
        <f t="shared" si="21"/>
        <v>15253.998767431072</v>
      </c>
    </row>
    <row r="13" spans="1:35" x14ac:dyDescent="0.2">
      <c r="B13" t="s">
        <v>35</v>
      </c>
      <c r="F13" s="1">
        <f t="shared" ref="F13:N13" si="22">+SUM(F10:F12)</f>
        <v>3667</v>
      </c>
      <c r="G13" s="1">
        <f t="shared" si="22"/>
        <v>3751</v>
      </c>
      <c r="H13" s="1">
        <f t="shared" si="22"/>
        <v>3662</v>
      </c>
      <c r="I13" s="1">
        <f t="shared" si="22"/>
        <v>3801</v>
      </c>
      <c r="J13" s="1">
        <f t="shared" si="22"/>
        <v>4145</v>
      </c>
      <c r="K13" s="1">
        <f t="shared" si="22"/>
        <v>4054</v>
      </c>
      <c r="L13" s="1">
        <f t="shared" si="22"/>
        <v>4395</v>
      </c>
      <c r="M13" s="1">
        <f t="shared" si="22"/>
        <v>4981</v>
      </c>
      <c r="N13" s="1">
        <f t="shared" si="22"/>
        <v>5230.9256159999995</v>
      </c>
      <c r="O13" s="1">
        <f t="shared" ref="O13:R13" si="23">+SUM(O10:O12)</f>
        <v>5006.5586519999997</v>
      </c>
      <c r="P13" s="1">
        <f t="shared" si="23"/>
        <v>5235.8256000000001</v>
      </c>
      <c r="Q13" s="1">
        <f t="shared" si="23"/>
        <v>5809.4334179999996</v>
      </c>
      <c r="R13" s="1">
        <f t="shared" si="23"/>
        <v>6221.5988755199987</v>
      </c>
      <c r="U13" s="1">
        <f>+SUM(U10:U12)</f>
        <v>7313</v>
      </c>
      <c r="V13" s="1">
        <f>+SUM(V10:V12)</f>
        <v>9296</v>
      </c>
      <c r="W13" s="1">
        <f>+SUM(W10:W12) + 166</f>
        <v>12566</v>
      </c>
      <c r="X13" s="1">
        <f t="shared" si="1"/>
        <v>15359</v>
      </c>
      <c r="Y13" s="8">
        <f t="shared" si="8"/>
        <v>18660.925616</v>
      </c>
      <c r="Z13" s="8">
        <f>+SUM(O13:R13)</f>
        <v>22273.416545519998</v>
      </c>
      <c r="AA13" s="1">
        <f>+SUM(AA10:AA12)</f>
        <v>26863.583858999998</v>
      </c>
      <c r="AB13" s="1">
        <f t="shared" ref="AB13:AI13" si="24">+SUM(AB10:AB12)</f>
        <v>33579.479823749993</v>
      </c>
      <c r="AC13" s="1">
        <f t="shared" si="24"/>
        <v>39399.922993199994</v>
      </c>
      <c r="AD13" s="1">
        <f t="shared" si="24"/>
        <v>48891.722623379996</v>
      </c>
      <c r="AE13" s="1">
        <f t="shared" si="24"/>
        <v>57380.615122823983</v>
      </c>
      <c r="AF13" s="1">
        <f t="shared" si="24"/>
        <v>66535.724501971185</v>
      </c>
      <c r="AG13" s="1">
        <f t="shared" si="24"/>
        <v>78512.154912326005</v>
      </c>
      <c r="AH13" s="1">
        <f t="shared" si="24"/>
        <v>92644.342796544661</v>
      </c>
      <c r="AI13" s="1">
        <f t="shared" si="24"/>
        <v>109320.32449992269</v>
      </c>
    </row>
    <row r="14" spans="1:35" x14ac:dyDescent="0.2">
      <c r="B14" t="s">
        <v>36</v>
      </c>
      <c r="F14" s="1">
        <f t="shared" ref="F14:N14" si="25">+F9-F13</f>
        <v>-36</v>
      </c>
      <c r="G14" s="1">
        <f t="shared" si="25"/>
        <v>-140</v>
      </c>
      <c r="H14" s="1">
        <f t="shared" si="25"/>
        <v>178</v>
      </c>
      <c r="I14" s="1">
        <f t="shared" si="25"/>
        <v>224</v>
      </c>
      <c r="J14" s="1">
        <f t="shared" si="25"/>
        <v>193</v>
      </c>
      <c r="K14" s="1">
        <f t="shared" si="25"/>
        <v>354</v>
      </c>
      <c r="L14" s="1">
        <f t="shared" si="25"/>
        <v>332</v>
      </c>
      <c r="M14" s="1">
        <f t="shared" si="25"/>
        <v>38</v>
      </c>
      <c r="N14" s="1">
        <f t="shared" si="25"/>
        <v>106.75358400000005</v>
      </c>
      <c r="O14" s="1">
        <f t="shared" ref="O14:Q14" si="26">+O9-O13</f>
        <v>376.83774799999992</v>
      </c>
      <c r="P14" s="1">
        <f t="shared" si="26"/>
        <v>394.09439999999995</v>
      </c>
      <c r="Q14" s="1">
        <f t="shared" si="26"/>
        <v>437.269182</v>
      </c>
      <c r="R14" s="1">
        <f>+R9-R13</f>
        <v>397.1233324800005</v>
      </c>
      <c r="U14" s="1">
        <f>+U9-U13</f>
        <v>454</v>
      </c>
      <c r="V14" s="1">
        <f>+V9-V13</f>
        <v>535</v>
      </c>
      <c r="W14" s="1">
        <f>+W9-W13</f>
        <v>297</v>
      </c>
      <c r="X14" s="1">
        <f t="shared" si="1"/>
        <v>455</v>
      </c>
      <c r="Y14" s="8">
        <f t="shared" si="8"/>
        <v>830.75358400000005</v>
      </c>
      <c r="Z14" s="8">
        <f t="shared" si="9"/>
        <v>1605.3246624800004</v>
      </c>
      <c r="AA14" s="1">
        <f>+AA9-AA13</f>
        <v>2984.842650999999</v>
      </c>
      <c r="AB14" s="1">
        <f t="shared" ref="AB14:AI14" si="27">+AB9-AB13</f>
        <v>3731.0533137500024</v>
      </c>
      <c r="AC14" s="1">
        <f t="shared" si="27"/>
        <v>5372.7167717999982</v>
      </c>
      <c r="AD14" s="1">
        <f t="shared" si="27"/>
        <v>4835.4450946199941</v>
      </c>
      <c r="AE14" s="1">
        <f t="shared" si="27"/>
        <v>7091.9861387759956</v>
      </c>
      <c r="AF14" s="1">
        <f t="shared" si="27"/>
        <v>10831.397011948793</v>
      </c>
      <c r="AG14" s="1">
        <f t="shared" si="27"/>
        <v>12781.048474099574</v>
      </c>
      <c r="AH14" s="1">
        <f t="shared" si="27"/>
        <v>15081.637199437508</v>
      </c>
      <c r="AI14" s="1">
        <f t="shared" si="27"/>
        <v>17796.331895336247</v>
      </c>
    </row>
    <row r="15" spans="1:35" x14ac:dyDescent="0.2">
      <c r="B15" t="s">
        <v>37</v>
      </c>
      <c r="F15" s="1">
        <v>31</v>
      </c>
      <c r="G15" s="1">
        <v>192</v>
      </c>
      <c r="H15" s="1">
        <v>682</v>
      </c>
      <c r="I15" s="1">
        <v>1036</v>
      </c>
      <c r="J15" s="1">
        <v>260</v>
      </c>
      <c r="K15" s="1">
        <v>288</v>
      </c>
      <c r="L15" s="1">
        <v>526</v>
      </c>
      <c r="M15" s="1">
        <v>363</v>
      </c>
      <c r="N15" s="1">
        <f>+M35*$Q$37</f>
        <v>294.42</v>
      </c>
      <c r="O15" s="1">
        <f t="shared" ref="O15:R15" si="28">+N35*$Q$37</f>
        <v>328.11858105599998</v>
      </c>
      <c r="P15" s="1">
        <f t="shared" si="28"/>
        <v>387.33491269670395</v>
      </c>
      <c r="Q15" s="1">
        <f t="shared" si="28"/>
        <v>452.97497496322706</v>
      </c>
      <c r="R15" s="1">
        <f t="shared" si="28"/>
        <v>527.75548414813818</v>
      </c>
      <c r="U15" s="1">
        <v>19</v>
      </c>
      <c r="V15" s="1">
        <v>542</v>
      </c>
      <c r="W15" s="1">
        <v>427</v>
      </c>
      <c r="X15" s="1">
        <f t="shared" si="1"/>
        <v>2170</v>
      </c>
      <c r="Y15" s="8">
        <f>+SUM(K15:N15)</f>
        <v>1471.42</v>
      </c>
      <c r="Z15" s="8">
        <f t="shared" si="9"/>
        <v>1696.1839528640694</v>
      </c>
      <c r="AA15" s="1">
        <f>+Z35*$Q$37</f>
        <v>605.44530474490182</v>
      </c>
      <c r="AB15" s="1">
        <f t="shared" ref="AB15:AI15" si="29">+AA35*$Q$37</f>
        <v>910.79929538100555</v>
      </c>
      <c r="AC15" s="1">
        <f t="shared" si="29"/>
        <v>1305.5888597875976</v>
      </c>
      <c r="AD15" s="1">
        <f t="shared" si="29"/>
        <v>1873.5787537541225</v>
      </c>
      <c r="AE15" s="1">
        <f t="shared" si="29"/>
        <v>2444.1812320583408</v>
      </c>
      <c r="AF15" s="1">
        <f t="shared" si="29"/>
        <v>3255.2322669478012</v>
      </c>
      <c r="AG15" s="1">
        <f t="shared" si="29"/>
        <v>4453.3000871179574</v>
      </c>
      <c r="AH15" s="1">
        <f t="shared" si="29"/>
        <v>5919.081432249508</v>
      </c>
      <c r="AI15" s="1">
        <f t="shared" si="29"/>
        <v>7705.1925518744893</v>
      </c>
    </row>
    <row r="16" spans="1:35" x14ac:dyDescent="0.2">
      <c r="B16" t="s">
        <v>38</v>
      </c>
      <c r="F16" s="1">
        <v>1</v>
      </c>
      <c r="G16" s="1">
        <v>-5</v>
      </c>
      <c r="H16" s="1">
        <v>-21</v>
      </c>
      <c r="I16" s="1">
        <v>-10</v>
      </c>
      <c r="J16" s="1">
        <v>-28</v>
      </c>
      <c r="K16" s="1">
        <v>-38</v>
      </c>
      <c r="L16" s="1">
        <v>-32</v>
      </c>
      <c r="M16" s="1">
        <v>-102</v>
      </c>
      <c r="N16" s="1"/>
      <c r="O16" s="1"/>
      <c r="P16" s="1"/>
      <c r="Q16" s="1"/>
      <c r="R16" s="1"/>
      <c r="U16" s="1">
        <v>-53</v>
      </c>
      <c r="V16" s="1">
        <v>-94</v>
      </c>
      <c r="W16" s="1">
        <v>-18</v>
      </c>
      <c r="X16" s="1">
        <f t="shared" si="1"/>
        <v>-64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2:118" x14ac:dyDescent="0.2">
      <c r="B17" t="s">
        <v>39</v>
      </c>
      <c r="F17" s="1">
        <f t="shared" ref="F17:M17" si="30">+SUM(F14:F16)</f>
        <v>-4</v>
      </c>
      <c r="G17" s="1">
        <f t="shared" si="30"/>
        <v>47</v>
      </c>
      <c r="H17" s="1">
        <f t="shared" si="30"/>
        <v>839</v>
      </c>
      <c r="I17" s="1">
        <f t="shared" si="30"/>
        <v>1250</v>
      </c>
      <c r="J17" s="1">
        <f t="shared" si="30"/>
        <v>425</v>
      </c>
      <c r="K17" s="1">
        <f t="shared" si="30"/>
        <v>604</v>
      </c>
      <c r="L17" s="1">
        <f t="shared" si="30"/>
        <v>826</v>
      </c>
      <c r="M17" s="1">
        <f t="shared" si="30"/>
        <v>299</v>
      </c>
      <c r="N17" s="1">
        <f t="shared" ref="N17:R17" si="31">+SUM(N14:N16)</f>
        <v>401.17358400000006</v>
      </c>
      <c r="O17" s="1">
        <f t="shared" si="31"/>
        <v>704.95632905599996</v>
      </c>
      <c r="P17" s="1">
        <f t="shared" si="31"/>
        <v>781.42931269670385</v>
      </c>
      <c r="Q17" s="1">
        <f t="shared" si="31"/>
        <v>890.24415696322706</v>
      </c>
      <c r="R17" s="1">
        <f t="shared" si="31"/>
        <v>924.87881662813868</v>
      </c>
      <c r="U17" s="1">
        <f>+SUM(U14:U16)</f>
        <v>420</v>
      </c>
      <c r="V17" s="1">
        <f>+SUM(V14:V16)</f>
        <v>983</v>
      </c>
      <c r="W17" s="1">
        <f>+SUM(W14:W16)</f>
        <v>706</v>
      </c>
      <c r="X17" s="1">
        <f t="shared" si="1"/>
        <v>2561</v>
      </c>
      <c r="Y17" s="8">
        <f t="shared" si="8"/>
        <v>2130.1735840000001</v>
      </c>
      <c r="Z17" s="8">
        <f>+SUM(O17:R17)</f>
        <v>3301.5086153440698</v>
      </c>
      <c r="AA17" s="1">
        <f>+AA14+AA15+AA16</f>
        <v>3590.287955744901</v>
      </c>
      <c r="AB17" s="1">
        <f t="shared" ref="AB17:AI17" si="32">+AB14+AB15+AB16</f>
        <v>4641.8526091310077</v>
      </c>
      <c r="AC17" s="1">
        <f t="shared" si="32"/>
        <v>6678.3056315875956</v>
      </c>
      <c r="AD17" s="1">
        <f t="shared" si="32"/>
        <v>6709.0238483741168</v>
      </c>
      <c r="AE17" s="1">
        <f t="shared" si="32"/>
        <v>9536.1673708343369</v>
      </c>
      <c r="AF17" s="1">
        <f t="shared" si="32"/>
        <v>14086.629278896595</v>
      </c>
      <c r="AG17" s="1">
        <f t="shared" si="32"/>
        <v>17234.348561217532</v>
      </c>
      <c r="AH17" s="1">
        <f t="shared" si="32"/>
        <v>21000.718631687014</v>
      </c>
      <c r="AI17" s="1">
        <f t="shared" si="32"/>
        <v>25501.524447210737</v>
      </c>
    </row>
    <row r="18" spans="2:118" x14ac:dyDescent="0.2">
      <c r="B18" t="s">
        <v>40</v>
      </c>
      <c r="F18" s="1">
        <v>244</v>
      </c>
      <c r="G18" s="1">
        <v>-52</v>
      </c>
      <c r="H18" s="1">
        <v>-1786</v>
      </c>
      <c r="I18" s="1">
        <v>169</v>
      </c>
      <c r="J18" s="1">
        <v>158</v>
      </c>
      <c r="K18" s="1">
        <v>135</v>
      </c>
      <c r="L18" s="1">
        <v>291</v>
      </c>
      <c r="M18" s="1">
        <v>-169</v>
      </c>
      <c r="N18" s="1">
        <f>+N17*0.2</f>
        <v>80.234716800000015</v>
      </c>
      <c r="O18" s="1">
        <f t="shared" ref="O18:R18" si="33">+O17*0.2</f>
        <v>140.99126581120001</v>
      </c>
      <c r="P18" s="1">
        <f t="shared" si="33"/>
        <v>156.28586253934077</v>
      </c>
      <c r="Q18" s="1">
        <f t="shared" si="33"/>
        <v>178.04883139264541</v>
      </c>
      <c r="R18" s="1">
        <f t="shared" si="33"/>
        <v>184.97576332562775</v>
      </c>
      <c r="U18" s="1">
        <v>60</v>
      </c>
      <c r="V18" s="1">
        <v>-127</v>
      </c>
      <c r="W18" s="1">
        <v>580</v>
      </c>
      <c r="X18" s="1">
        <f t="shared" si="1"/>
        <v>-1511</v>
      </c>
      <c r="Y18" s="8">
        <f t="shared" si="8"/>
        <v>337.2347168</v>
      </c>
      <c r="Z18" s="8">
        <f t="shared" si="9"/>
        <v>660.301723068814</v>
      </c>
      <c r="AA18" s="1">
        <f>+AA17*0.19</f>
        <v>682.15471159153117</v>
      </c>
      <c r="AB18" s="1">
        <f t="shared" ref="AB18:AI18" si="34">+AB17*0.19</f>
        <v>881.95199573489151</v>
      </c>
      <c r="AC18" s="1">
        <f t="shared" si="34"/>
        <v>1268.8780700016432</v>
      </c>
      <c r="AD18" s="1">
        <f t="shared" si="34"/>
        <v>1274.7145311910822</v>
      </c>
      <c r="AE18" s="1">
        <f t="shared" si="34"/>
        <v>1811.8718004585239</v>
      </c>
      <c r="AF18" s="1">
        <f t="shared" si="34"/>
        <v>2676.4595629903529</v>
      </c>
      <c r="AG18" s="1">
        <f t="shared" si="34"/>
        <v>3274.5262266313312</v>
      </c>
      <c r="AH18" s="1">
        <f t="shared" si="34"/>
        <v>3990.1365400205327</v>
      </c>
      <c r="AI18" s="1">
        <f t="shared" si="34"/>
        <v>4845.2896449700402</v>
      </c>
    </row>
    <row r="19" spans="2:118" s="3" customFormat="1" ht="15" x14ac:dyDescent="0.25">
      <c r="B19" s="3" t="s">
        <v>41</v>
      </c>
      <c r="F19" s="4">
        <f t="shared" ref="F19:N19" si="35">+F17-F18</f>
        <v>-248</v>
      </c>
      <c r="G19" s="4">
        <f t="shared" si="35"/>
        <v>99</v>
      </c>
      <c r="H19" s="4">
        <f t="shared" si="35"/>
        <v>2625</v>
      </c>
      <c r="I19" s="4">
        <f t="shared" si="35"/>
        <v>1081</v>
      </c>
      <c r="J19" s="4">
        <f t="shared" si="35"/>
        <v>267</v>
      </c>
      <c r="K19" s="4">
        <f t="shared" si="35"/>
        <v>469</v>
      </c>
      <c r="L19" s="4">
        <f t="shared" si="35"/>
        <v>535</v>
      </c>
      <c r="M19" s="4">
        <f t="shared" si="35"/>
        <v>468</v>
      </c>
      <c r="N19" s="4">
        <f t="shared" si="35"/>
        <v>320.93886720000006</v>
      </c>
      <c r="O19" s="4">
        <f t="shared" ref="O19:Q19" si="36">+O17-O18</f>
        <v>563.96506324479992</v>
      </c>
      <c r="P19" s="4">
        <f t="shared" si="36"/>
        <v>625.14345015736308</v>
      </c>
      <c r="Q19" s="4">
        <f t="shared" si="36"/>
        <v>712.19532557058164</v>
      </c>
      <c r="R19" s="4">
        <f>+R17-R18</f>
        <v>739.9030533025109</v>
      </c>
      <c r="U19" s="4">
        <f>+U17-U18</f>
        <v>360</v>
      </c>
      <c r="V19" s="4">
        <f>+V17-V18</f>
        <v>1110</v>
      </c>
      <c r="W19" s="4">
        <f>+W17-W18</f>
        <v>126</v>
      </c>
      <c r="X19" s="4">
        <f t="shared" si="1"/>
        <v>4072</v>
      </c>
      <c r="Y19" s="4">
        <f t="shared" si="8"/>
        <v>1792.9388672</v>
      </c>
      <c r="Z19" s="4">
        <f t="shared" si="9"/>
        <v>2641.2068922752555</v>
      </c>
      <c r="AA19" s="4">
        <f>+AA17-AA18</f>
        <v>2908.1332441533696</v>
      </c>
      <c r="AB19" s="4">
        <f t="shared" ref="AB19:AI19" si="37">+AB17-AB18</f>
        <v>3759.9006133961161</v>
      </c>
      <c r="AC19" s="4">
        <f t="shared" si="37"/>
        <v>5409.4275615859524</v>
      </c>
      <c r="AD19" s="4">
        <f t="shared" si="37"/>
        <v>5434.3093171830351</v>
      </c>
      <c r="AE19" s="4">
        <f t="shared" si="37"/>
        <v>7724.2955703758125</v>
      </c>
      <c r="AF19" s="4">
        <f t="shared" si="37"/>
        <v>11410.169715906242</v>
      </c>
      <c r="AG19" s="4">
        <f t="shared" si="37"/>
        <v>13959.822334586201</v>
      </c>
      <c r="AH19" s="4">
        <f t="shared" si="37"/>
        <v>17010.582091666482</v>
      </c>
      <c r="AI19" s="4">
        <f t="shared" si="37"/>
        <v>20656.234802240695</v>
      </c>
      <c r="AJ19" s="4">
        <f>+AI19*(1+$Q$38)</f>
        <v>20243.11010619588</v>
      </c>
      <c r="AK19" s="4">
        <f t="shared" ref="AK19:CV19" si="38">+AJ19*(1+$Q$38)</f>
        <v>19838.247904071963</v>
      </c>
      <c r="AL19" s="4">
        <f t="shared" si="38"/>
        <v>19441.482945990523</v>
      </c>
      <c r="AM19" s="4">
        <f t="shared" si="38"/>
        <v>19052.653287070712</v>
      </c>
      <c r="AN19" s="4">
        <f t="shared" si="38"/>
        <v>18671.6002213293</v>
      </c>
      <c r="AO19" s="4">
        <f t="shared" si="38"/>
        <v>18298.168216902712</v>
      </c>
      <c r="AP19" s="4">
        <f t="shared" si="38"/>
        <v>17932.204852564657</v>
      </c>
      <c r="AQ19" s="4">
        <f t="shared" si="38"/>
        <v>17573.560755513365</v>
      </c>
      <c r="AR19" s="4">
        <f t="shared" si="38"/>
        <v>17222.089540403096</v>
      </c>
      <c r="AS19" s="4">
        <f t="shared" si="38"/>
        <v>16877.647749595035</v>
      </c>
      <c r="AT19" s="4">
        <f t="shared" si="38"/>
        <v>16540.094794603134</v>
      </c>
      <c r="AU19" s="4">
        <f t="shared" si="38"/>
        <v>16209.29289871107</v>
      </c>
      <c r="AV19" s="4">
        <f t="shared" si="38"/>
        <v>15885.107040736848</v>
      </c>
      <c r="AW19" s="4">
        <f t="shared" si="38"/>
        <v>15567.40489992211</v>
      </c>
      <c r="AX19" s="4">
        <f t="shared" si="38"/>
        <v>15256.056801923667</v>
      </c>
      <c r="AY19" s="4">
        <f t="shared" si="38"/>
        <v>14950.935665885194</v>
      </c>
      <c r="AZ19" s="4">
        <f t="shared" si="38"/>
        <v>14651.91695256749</v>
      </c>
      <c r="BA19" s="4">
        <f t="shared" si="38"/>
        <v>14358.878613516139</v>
      </c>
      <c r="BB19" s="4">
        <f t="shared" si="38"/>
        <v>14071.701041245817</v>
      </c>
      <c r="BC19" s="4">
        <f t="shared" si="38"/>
        <v>13790.267020420901</v>
      </c>
      <c r="BD19" s="4">
        <f t="shared" si="38"/>
        <v>13514.461680012482</v>
      </c>
      <c r="BE19" s="4">
        <f t="shared" si="38"/>
        <v>13244.172446412233</v>
      </c>
      <c r="BF19" s="4">
        <f t="shared" si="38"/>
        <v>12979.288997483987</v>
      </c>
      <c r="BG19" s="4">
        <f t="shared" si="38"/>
        <v>12719.703217534307</v>
      </c>
      <c r="BH19" s="4">
        <f t="shared" si="38"/>
        <v>12465.30915318362</v>
      </c>
      <c r="BI19" s="4">
        <f t="shared" si="38"/>
        <v>12216.002970119947</v>
      </c>
      <c r="BJ19" s="4">
        <f t="shared" si="38"/>
        <v>11971.682910717549</v>
      </c>
      <c r="BK19" s="4">
        <f t="shared" si="38"/>
        <v>11732.249252503198</v>
      </c>
      <c r="BL19" s="4">
        <f t="shared" si="38"/>
        <v>11497.604267453133</v>
      </c>
      <c r="BM19" s="4">
        <f t="shared" si="38"/>
        <v>11267.65218210407</v>
      </c>
      <c r="BN19" s="4">
        <f t="shared" si="38"/>
        <v>11042.299138461987</v>
      </c>
      <c r="BO19" s="4">
        <f t="shared" si="38"/>
        <v>10821.453155692747</v>
      </c>
      <c r="BP19" s="4">
        <f t="shared" si="38"/>
        <v>10605.024092578891</v>
      </c>
      <c r="BQ19" s="4">
        <f t="shared" si="38"/>
        <v>10392.923610727314</v>
      </c>
      <c r="BR19" s="4">
        <f t="shared" si="38"/>
        <v>10185.065138512768</v>
      </c>
      <c r="BS19" s="4">
        <f t="shared" si="38"/>
        <v>9981.3638357425116</v>
      </c>
      <c r="BT19" s="4">
        <f t="shared" si="38"/>
        <v>9781.7365590276604</v>
      </c>
      <c r="BU19" s="4">
        <f t="shared" si="38"/>
        <v>9586.1018278471074</v>
      </c>
      <c r="BV19" s="4">
        <f t="shared" si="38"/>
        <v>9394.3797912901646</v>
      </c>
      <c r="BW19" s="4">
        <f t="shared" si="38"/>
        <v>9206.4921954643614</v>
      </c>
      <c r="BX19" s="4">
        <f t="shared" si="38"/>
        <v>9022.3623515550735</v>
      </c>
      <c r="BY19" s="4">
        <f t="shared" si="38"/>
        <v>8841.9151045239723</v>
      </c>
      <c r="BZ19" s="4">
        <f t="shared" si="38"/>
        <v>8665.076802433492</v>
      </c>
      <c r="CA19" s="4">
        <f t="shared" si="38"/>
        <v>8491.7752663848223</v>
      </c>
      <c r="CB19" s="4">
        <f t="shared" si="38"/>
        <v>8321.939761057125</v>
      </c>
      <c r="CC19" s="4">
        <f t="shared" si="38"/>
        <v>8155.5009658359822</v>
      </c>
      <c r="CD19" s="4">
        <f t="shared" si="38"/>
        <v>7992.3909465192628</v>
      </c>
      <c r="CE19" s="4">
        <f t="shared" si="38"/>
        <v>7832.5431275888777</v>
      </c>
      <c r="CF19" s="4">
        <f t="shared" si="38"/>
        <v>7675.8922650370996</v>
      </c>
      <c r="CG19" s="4">
        <f t="shared" si="38"/>
        <v>7522.3744197363576</v>
      </c>
      <c r="CH19" s="4">
        <f t="shared" si="38"/>
        <v>7371.9269313416307</v>
      </c>
      <c r="CI19" s="4">
        <f t="shared" si="38"/>
        <v>7224.4883927147976</v>
      </c>
      <c r="CJ19" s="4">
        <f t="shared" si="38"/>
        <v>7079.9986248605019</v>
      </c>
      <c r="CK19" s="4">
        <f t="shared" si="38"/>
        <v>6938.3986523632921</v>
      </c>
      <c r="CL19" s="4">
        <f t="shared" si="38"/>
        <v>6799.6306793160265</v>
      </c>
      <c r="CM19" s="4">
        <f t="shared" si="38"/>
        <v>6663.6380657297059</v>
      </c>
      <c r="CN19" s="4">
        <f t="shared" si="38"/>
        <v>6530.3653044151115</v>
      </c>
      <c r="CO19" s="4">
        <f t="shared" si="38"/>
        <v>6399.7579983268088</v>
      </c>
      <c r="CP19" s="4">
        <f t="shared" si="38"/>
        <v>6271.7628383602723</v>
      </c>
      <c r="CQ19" s="4">
        <f t="shared" si="38"/>
        <v>6146.3275815930665</v>
      </c>
      <c r="CR19" s="4">
        <f t="shared" si="38"/>
        <v>6023.4010299612055</v>
      </c>
      <c r="CS19" s="4">
        <f t="shared" si="38"/>
        <v>5902.933009361981</v>
      </c>
      <c r="CT19" s="4">
        <f t="shared" si="38"/>
        <v>5784.8743491747409</v>
      </c>
      <c r="CU19" s="4">
        <f t="shared" si="38"/>
        <v>5669.1768621912461</v>
      </c>
      <c r="CV19" s="4">
        <f t="shared" si="38"/>
        <v>5555.7933249474208</v>
      </c>
      <c r="CW19" s="4">
        <f t="shared" ref="CW19:DN19" si="39">+CV19*(1+$Q$38)</f>
        <v>5444.677458448472</v>
      </c>
      <c r="CX19" s="4">
        <f t="shared" si="39"/>
        <v>5335.783909279502</v>
      </c>
      <c r="CY19" s="4">
        <f t="shared" si="39"/>
        <v>5229.0682310939119</v>
      </c>
      <c r="CZ19" s="4">
        <f t="shared" si="39"/>
        <v>5124.4868664720334</v>
      </c>
      <c r="DA19" s="4">
        <f t="shared" si="39"/>
        <v>5021.9971291425927</v>
      </c>
      <c r="DB19" s="4">
        <f t="shared" si="39"/>
        <v>4921.5571865597403</v>
      </c>
      <c r="DC19" s="4">
        <f t="shared" si="39"/>
        <v>4823.126042828545</v>
      </c>
      <c r="DD19" s="4">
        <f t="shared" si="39"/>
        <v>4726.6635219719738</v>
      </c>
      <c r="DE19" s="4">
        <f t="shared" si="39"/>
        <v>4632.1302515325342</v>
      </c>
      <c r="DF19" s="4">
        <f t="shared" si="39"/>
        <v>4539.4876465018833</v>
      </c>
      <c r="DG19" s="4">
        <f t="shared" si="39"/>
        <v>4448.6978935718453</v>
      </c>
      <c r="DH19" s="4">
        <f t="shared" si="39"/>
        <v>4359.7239357004082</v>
      </c>
      <c r="DI19" s="4">
        <f t="shared" si="39"/>
        <v>4272.5294569864</v>
      </c>
      <c r="DJ19" s="4">
        <f t="shared" si="39"/>
        <v>4187.0788678466715</v>
      </c>
      <c r="DK19" s="4">
        <f t="shared" si="39"/>
        <v>4103.3372904897378</v>
      </c>
      <c r="DL19" s="4">
        <f t="shared" si="39"/>
        <v>4021.2705446799432</v>
      </c>
      <c r="DM19" s="4">
        <f t="shared" si="39"/>
        <v>3940.8451337863444</v>
      </c>
      <c r="DN19" s="4">
        <f t="shared" si="39"/>
        <v>3862.0282311106175</v>
      </c>
    </row>
    <row r="20" spans="2:118" x14ac:dyDescent="0.2">
      <c r="B20" t="s">
        <v>42</v>
      </c>
      <c r="F20" s="6">
        <f t="shared" ref="F20:N20" si="40">+F19/F21</f>
        <v>-0.27896512935883017</v>
      </c>
      <c r="G20" s="6">
        <f t="shared" si="40"/>
        <v>0.10843373493975904</v>
      </c>
      <c r="H20" s="6">
        <f t="shared" si="40"/>
        <v>2.8470715835140998</v>
      </c>
      <c r="I20" s="6">
        <f t="shared" si="40"/>
        <v>1.1512247071352502</v>
      </c>
      <c r="J20" s="6">
        <f t="shared" si="40"/>
        <v>0.28434504792332266</v>
      </c>
      <c r="K20" s="6">
        <f t="shared" si="40"/>
        <v>0.49893617021276598</v>
      </c>
      <c r="L20" s="6">
        <f t="shared" si="40"/>
        <v>0.56315789473684208</v>
      </c>
      <c r="M20" s="6">
        <f t="shared" si="40"/>
        <v>0.46753246753246752</v>
      </c>
      <c r="N20" s="6">
        <f t="shared" si="40"/>
        <v>0.32061824895104901</v>
      </c>
      <c r="O20" s="6">
        <f t="shared" ref="O20:R20" si="41">+O19/O21</f>
        <v>0.5634016615832167</v>
      </c>
      <c r="P20" s="6">
        <f t="shared" si="41"/>
        <v>0.62451893122613689</v>
      </c>
      <c r="Q20" s="6">
        <f t="shared" si="41"/>
        <v>0.71148384172885282</v>
      </c>
      <c r="R20" s="6">
        <f t="shared" si="41"/>
        <v>0.73916388941309785</v>
      </c>
      <c r="U20" s="6">
        <f t="shared" ref="U20:Z20" si="42">+U19/U21</f>
        <v>0.48979591836734693</v>
      </c>
      <c r="V20" s="6">
        <f t="shared" si="42"/>
        <v>1.4322580645161291</v>
      </c>
      <c r="W20" s="6">
        <f t="shared" si="42"/>
        <v>0.14823529411764705</v>
      </c>
      <c r="X20" s="6">
        <f t="shared" si="42"/>
        <v>4.3867492593590089</v>
      </c>
      <c r="Y20" s="6">
        <f t="shared" si="42"/>
        <v>1.842691538746146</v>
      </c>
      <c r="Z20" s="9">
        <f t="shared" si="42"/>
        <v>2.6385683239513043</v>
      </c>
      <c r="AA20" s="9">
        <f t="shared" ref="AA20:AI20" si="43">+AA19/AA21</f>
        <v>2.9052280161372321</v>
      </c>
      <c r="AB20" s="9">
        <f t="shared" si="43"/>
        <v>3.756144468927189</v>
      </c>
      <c r="AC20" s="9">
        <f t="shared" si="43"/>
        <v>5.4040235380479045</v>
      </c>
      <c r="AD20" s="9">
        <f t="shared" si="43"/>
        <v>5.4288804367462884</v>
      </c>
      <c r="AE20" s="9">
        <f t="shared" si="43"/>
        <v>7.716578991384428</v>
      </c>
      <c r="AF20" s="9">
        <f t="shared" si="43"/>
        <v>11.398770944961282</v>
      </c>
      <c r="AG20" s="9">
        <f t="shared" si="43"/>
        <v>13.945876458128073</v>
      </c>
      <c r="AH20" s="9">
        <f t="shared" si="43"/>
        <v>16.99358850316332</v>
      </c>
      <c r="AI20" s="9">
        <f t="shared" si="43"/>
        <v>20.635599203037657</v>
      </c>
    </row>
    <row r="21" spans="2:118" s="1" customFormat="1" x14ac:dyDescent="0.2">
      <c r="B21" s="1" t="s">
        <v>1</v>
      </c>
      <c r="F21" s="1">
        <v>889</v>
      </c>
      <c r="G21" s="1">
        <v>913</v>
      </c>
      <c r="H21" s="1">
        <v>922</v>
      </c>
      <c r="I21" s="1">
        <v>939</v>
      </c>
      <c r="J21" s="1">
        <v>939</v>
      </c>
      <c r="K21" s="1">
        <v>940</v>
      </c>
      <c r="L21" s="1">
        <v>950</v>
      </c>
      <c r="M21" s="1">
        <v>1001</v>
      </c>
      <c r="N21" s="1">
        <v>1001</v>
      </c>
      <c r="O21" s="1">
        <v>1001</v>
      </c>
      <c r="P21" s="1">
        <v>1001</v>
      </c>
      <c r="Q21" s="1">
        <v>1001</v>
      </c>
      <c r="R21" s="1">
        <v>1001</v>
      </c>
      <c r="U21" s="1">
        <v>735</v>
      </c>
      <c r="V21" s="1">
        <v>775</v>
      </c>
      <c r="W21" s="1">
        <v>850</v>
      </c>
      <c r="X21" s="1">
        <f>+AVERAGE(G21:J21)</f>
        <v>928.25</v>
      </c>
      <c r="Y21" s="1">
        <f>+AVERAGE(K21:N21)</f>
        <v>973</v>
      </c>
      <c r="Z21" s="1">
        <v>1001</v>
      </c>
      <c r="AA21" s="1">
        <v>1001</v>
      </c>
      <c r="AB21" s="1">
        <v>1001</v>
      </c>
      <c r="AC21" s="1">
        <v>1001</v>
      </c>
      <c r="AD21" s="1">
        <v>1001</v>
      </c>
      <c r="AE21" s="1">
        <v>1001</v>
      </c>
      <c r="AF21" s="1">
        <v>1001</v>
      </c>
      <c r="AG21" s="1">
        <v>1001</v>
      </c>
      <c r="AH21" s="1">
        <v>1001</v>
      </c>
      <c r="AI21" s="1">
        <v>1001</v>
      </c>
    </row>
    <row r="24" spans="2:118" x14ac:dyDescent="0.2">
      <c r="B24" t="s">
        <v>30</v>
      </c>
      <c r="F24" s="5">
        <f t="shared" ref="F24:M24" si="44">+F9/F5</f>
        <v>0.74850546279117702</v>
      </c>
      <c r="G24" s="5">
        <f t="shared" si="44"/>
        <v>0.74224049331963005</v>
      </c>
      <c r="H24" s="5">
        <f t="shared" si="44"/>
        <v>0.74548631333721604</v>
      </c>
      <c r="I24" s="5">
        <f t="shared" si="44"/>
        <v>0.7427569662299317</v>
      </c>
      <c r="J24" s="5">
        <f t="shared" si="44"/>
        <v>0.74574522949974209</v>
      </c>
      <c r="K24" s="5">
        <f t="shared" si="44"/>
        <v>0.73922522220358877</v>
      </c>
      <c r="L24" s="5">
        <f t="shared" si="44"/>
        <v>0.74558359621451109</v>
      </c>
      <c r="M24" s="5">
        <f t="shared" si="44"/>
        <v>0.73131283695177041</v>
      </c>
      <c r="N24" s="5">
        <f t="shared" ref="N24:R24" si="45">+N9/N5</f>
        <v>0.74</v>
      </c>
      <c r="O24" s="5">
        <f t="shared" si="45"/>
        <v>0.74</v>
      </c>
      <c r="P24" s="5">
        <f t="shared" si="45"/>
        <v>0.74</v>
      </c>
      <c r="Q24" s="5">
        <f t="shared" si="45"/>
        <v>0.74</v>
      </c>
      <c r="R24" s="5">
        <f t="shared" si="45"/>
        <v>0.74</v>
      </c>
      <c r="U24" s="5">
        <f t="shared" ref="U24:X24" si="46">+U9/U5</f>
        <v>0.7369070208728653</v>
      </c>
      <c r="V24" s="5">
        <f t="shared" si="46"/>
        <v>0.74017467248908297</v>
      </c>
      <c r="W24" s="5">
        <f t="shared" si="46"/>
        <v>0.75231021172066903</v>
      </c>
      <c r="X24" s="5">
        <f t="shared" si="46"/>
        <v>0.74411820063993972</v>
      </c>
      <c r="Y24" s="5">
        <f t="shared" ref="Y24:Z24" si="47">+Y9/Y5</f>
        <v>0.73890670940760628</v>
      </c>
      <c r="Z24" s="5">
        <f t="shared" si="47"/>
        <v>0.74</v>
      </c>
      <c r="AA24" s="5">
        <f t="shared" ref="AA24:AI24" si="48">+AA9/AA5</f>
        <v>0.74</v>
      </c>
      <c r="AB24" s="5">
        <f t="shared" si="48"/>
        <v>0.73999999999999988</v>
      </c>
      <c r="AC24" s="5">
        <f t="shared" si="48"/>
        <v>0.74</v>
      </c>
      <c r="AD24" s="5">
        <f t="shared" si="48"/>
        <v>0.74</v>
      </c>
      <c r="AE24" s="5">
        <f t="shared" si="48"/>
        <v>0.74</v>
      </c>
      <c r="AF24" s="5">
        <f t="shared" si="48"/>
        <v>0.74</v>
      </c>
      <c r="AG24" s="5">
        <f t="shared" si="48"/>
        <v>0.74</v>
      </c>
      <c r="AH24" s="5">
        <f t="shared" si="48"/>
        <v>0.74</v>
      </c>
      <c r="AI24" s="5">
        <f t="shared" si="48"/>
        <v>0.74</v>
      </c>
    </row>
    <row r="25" spans="2:118" x14ac:dyDescent="0.2">
      <c r="B25" t="s">
        <v>80</v>
      </c>
      <c r="F25" s="5">
        <f t="shared" ref="F25:L25" si="49">+F14/F5</f>
        <v>-7.4211502782931356E-3</v>
      </c>
      <c r="G25" s="5">
        <f t="shared" si="49"/>
        <v>-2.8776978417266189E-2</v>
      </c>
      <c r="H25" s="5">
        <f t="shared" si="49"/>
        <v>3.4556396816152204E-2</v>
      </c>
      <c r="I25" s="5">
        <f t="shared" si="49"/>
        <v>4.1336039859752718E-2</v>
      </c>
      <c r="J25" s="5">
        <f t="shared" si="49"/>
        <v>3.3178614406051229E-2</v>
      </c>
      <c r="K25" s="5">
        <f t="shared" si="49"/>
        <v>5.9366090893845383E-2</v>
      </c>
      <c r="L25" s="5">
        <f t="shared" si="49"/>
        <v>5.2365930599369087E-2</v>
      </c>
      <c r="M25" s="5">
        <f>+M14/M5</f>
        <v>5.5369371994754479E-3</v>
      </c>
      <c r="N25" s="5">
        <f t="shared" ref="N25:R25" si="50">+N14/N5</f>
        <v>1.4800000000000006E-2</v>
      </c>
      <c r="O25" s="5">
        <f t="shared" si="50"/>
        <v>5.1799999999999992E-2</v>
      </c>
      <c r="P25" s="5">
        <f t="shared" si="50"/>
        <v>5.1799999999999992E-2</v>
      </c>
      <c r="Q25" s="5">
        <f t="shared" si="50"/>
        <v>5.1799999999999999E-2</v>
      </c>
      <c r="R25" s="5">
        <f t="shared" si="50"/>
        <v>4.4400000000000057E-2</v>
      </c>
      <c r="U25" s="5">
        <f t="shared" ref="U25:X25" si="51">+U14/U5</f>
        <v>4.3074003795066415E-2</v>
      </c>
      <c r="V25" s="5">
        <f t="shared" si="51"/>
        <v>4.0280078301460624E-2</v>
      </c>
      <c r="W25" s="5">
        <f t="shared" si="51"/>
        <v>1.7370452684524505E-2</v>
      </c>
      <c r="X25" s="5">
        <f t="shared" si="51"/>
        <v>2.1409749670619236E-2</v>
      </c>
      <c r="Y25" s="5">
        <f t="shared" ref="Y25:Z25" si="52">+Y14/Y5</f>
        <v>3.1492894520961309E-2</v>
      </c>
      <c r="Z25" s="5">
        <f t="shared" si="52"/>
        <v>4.974886405809404E-2</v>
      </c>
      <c r="AA25" s="5">
        <f t="shared" ref="AA25:AI25" si="53">+AA14/AA5</f>
        <v>7.3999999999999982E-2</v>
      </c>
      <c r="AB25" s="5">
        <f t="shared" si="53"/>
        <v>7.4000000000000052E-2</v>
      </c>
      <c r="AC25" s="5">
        <f t="shared" si="53"/>
        <v>8.8799999999999976E-2</v>
      </c>
      <c r="AD25" s="5">
        <f t="shared" si="53"/>
        <v>6.6599999999999923E-2</v>
      </c>
      <c r="AE25" s="5">
        <f t="shared" si="53"/>
        <v>8.1399999999999972E-2</v>
      </c>
      <c r="AF25" s="5">
        <f t="shared" si="53"/>
        <v>0.10359999999999996</v>
      </c>
      <c r="AG25" s="5">
        <f t="shared" si="53"/>
        <v>0.10359999999999996</v>
      </c>
      <c r="AH25" s="5">
        <f t="shared" si="53"/>
        <v>0.10360000000000003</v>
      </c>
      <c r="AI25" s="5">
        <f t="shared" si="53"/>
        <v>0.10359999999999997</v>
      </c>
    </row>
    <row r="26" spans="2:118" x14ac:dyDescent="0.2">
      <c r="B26" t="s">
        <v>84</v>
      </c>
      <c r="F26" s="5">
        <f>+F18/F17</f>
        <v>-61</v>
      </c>
      <c r="G26" s="5">
        <f t="shared" ref="G26:R26" si="54">+G18/G17</f>
        <v>-1.1063829787234043</v>
      </c>
      <c r="H26" s="5">
        <f t="shared" si="54"/>
        <v>-2.1287246722288438</v>
      </c>
      <c r="I26" s="5">
        <f>+I18/I17</f>
        <v>0.13519999999999999</v>
      </c>
      <c r="J26" s="5">
        <f t="shared" si="54"/>
        <v>0.37176470588235294</v>
      </c>
      <c r="K26" s="5">
        <f t="shared" si="54"/>
        <v>0.22350993377483444</v>
      </c>
      <c r="L26" s="5">
        <f>+L18/L17</f>
        <v>0.35230024213075062</v>
      </c>
      <c r="M26" s="5">
        <f>+M18/M17</f>
        <v>-0.56521739130434778</v>
      </c>
      <c r="N26" s="5">
        <f t="shared" si="54"/>
        <v>0.2</v>
      </c>
      <c r="O26" s="5">
        <f t="shared" si="54"/>
        <v>0.2</v>
      </c>
      <c r="P26" s="5">
        <f t="shared" si="54"/>
        <v>0.2</v>
      </c>
      <c r="Q26" s="5">
        <f t="shared" si="54"/>
        <v>0.2</v>
      </c>
      <c r="R26" s="5">
        <f t="shared" si="54"/>
        <v>0.2</v>
      </c>
      <c r="U26" s="5">
        <f t="shared" ref="U26:Z26" si="55">+U18/U17</f>
        <v>0.14285714285714285</v>
      </c>
      <c r="V26" s="5">
        <f t="shared" si="55"/>
        <v>-0.12919633774160733</v>
      </c>
      <c r="W26" s="5">
        <f>+W18/W17</f>
        <v>0.82152974504249288</v>
      </c>
      <c r="X26" s="5">
        <f>+X18/X17</f>
        <v>-0.59000390472471687</v>
      </c>
      <c r="Y26" s="5">
        <f t="shared" si="55"/>
        <v>0.15831325640924857</v>
      </c>
      <c r="Z26" s="5">
        <f t="shared" si="55"/>
        <v>0.2</v>
      </c>
      <c r="AA26" s="5">
        <f t="shared" ref="AA26:AI26" si="56">+AA18/AA17</f>
        <v>0.19</v>
      </c>
      <c r="AB26" s="5">
        <f t="shared" si="56"/>
        <v>0.19</v>
      </c>
      <c r="AC26" s="5">
        <f t="shared" si="56"/>
        <v>0.19</v>
      </c>
      <c r="AD26" s="5">
        <f t="shared" si="56"/>
        <v>0.19</v>
      </c>
      <c r="AE26" s="5">
        <f t="shared" si="56"/>
        <v>0.19</v>
      </c>
      <c r="AF26" s="5">
        <f t="shared" si="56"/>
        <v>0.19</v>
      </c>
      <c r="AG26" s="5">
        <f t="shared" si="56"/>
        <v>0.19</v>
      </c>
      <c r="AH26" s="5">
        <f t="shared" si="56"/>
        <v>0.19</v>
      </c>
      <c r="AI26" s="5">
        <f t="shared" si="56"/>
        <v>0.19</v>
      </c>
    </row>
    <row r="27" spans="2:118" x14ac:dyDescent="0.2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U27" s="5"/>
      <c r="V27" s="5"/>
      <c r="W27" s="5"/>
      <c r="X27" s="5"/>
    </row>
    <row r="28" spans="2:118" x14ac:dyDescent="0.2">
      <c r="B28" t="s">
        <v>81</v>
      </c>
      <c r="F28" s="5">
        <f t="shared" ref="F28:L28" si="57">+F10/F9</f>
        <v>0.22886257229413384</v>
      </c>
      <c r="G28" s="5">
        <f t="shared" si="57"/>
        <v>0.23788424259207977</v>
      </c>
      <c r="H28" s="5">
        <f t="shared" si="57"/>
        <v>0.23385416666666667</v>
      </c>
      <c r="I28" s="5">
        <f t="shared" si="57"/>
        <v>0.22409937888198758</v>
      </c>
      <c r="J28" s="5">
        <f t="shared" si="57"/>
        <v>0.21645919778699863</v>
      </c>
      <c r="K28" s="5">
        <f t="shared" si="57"/>
        <v>0.21574410163339383</v>
      </c>
      <c r="L28" s="5">
        <f t="shared" si="57"/>
        <v>0.21578167971229109</v>
      </c>
      <c r="M28" s="5">
        <f>+M10/$M9</f>
        <v>0.23968918111177526</v>
      </c>
      <c r="N28" s="5">
        <f t="shared" ref="N28:R28" si="58">+N10/$M9</f>
        <v>0.26587364016736398</v>
      </c>
      <c r="O28" s="5">
        <f t="shared" si="58"/>
        <v>0.23597274516836023</v>
      </c>
      <c r="P28" s="5">
        <f t="shared" si="58"/>
        <v>0.24677872086072922</v>
      </c>
      <c r="Q28" s="5">
        <f t="shared" si="58"/>
        <v>0.27381441960549913</v>
      </c>
      <c r="R28" s="5">
        <f t="shared" si="58"/>
        <v>0.29012131615062758</v>
      </c>
      <c r="U28" s="5">
        <f>+U10/U9</f>
        <v>0.19994850006437492</v>
      </c>
      <c r="V28" s="5">
        <f t="shared" ref="V28:W28" si="59">+V10/V9</f>
        <v>0.19184213203132947</v>
      </c>
      <c r="W28" s="5">
        <f t="shared" si="59"/>
        <v>0.21503537277462489</v>
      </c>
      <c r="X28" s="5">
        <f>+X10/X9</f>
        <v>0.2275199190590616</v>
      </c>
      <c r="Y28" s="5">
        <f t="shared" ref="Y28:AI28" si="60">+Y10/Y9</f>
        <v>0.23129971275127492</v>
      </c>
      <c r="Z28" s="5">
        <f t="shared" si="60"/>
        <v>0.22</v>
      </c>
      <c r="AA28" s="5">
        <f t="shared" si="60"/>
        <v>0.24</v>
      </c>
      <c r="AB28" s="5">
        <f t="shared" si="60"/>
        <v>0.24</v>
      </c>
      <c r="AC28" s="5">
        <f t="shared" si="60"/>
        <v>0.24</v>
      </c>
      <c r="AD28" s="5">
        <f t="shared" si="60"/>
        <v>0.28000000000000003</v>
      </c>
      <c r="AE28" s="5">
        <f t="shared" si="60"/>
        <v>0.28000000000000003</v>
      </c>
      <c r="AF28" s="5">
        <f t="shared" si="60"/>
        <v>0.25</v>
      </c>
      <c r="AG28" s="5">
        <f t="shared" si="60"/>
        <v>0.25</v>
      </c>
      <c r="AH28" s="5">
        <f t="shared" si="60"/>
        <v>0.25</v>
      </c>
      <c r="AI28" s="5">
        <f t="shared" si="60"/>
        <v>0.25</v>
      </c>
    </row>
    <row r="29" spans="2:118" x14ac:dyDescent="0.2">
      <c r="B29" t="s">
        <v>82</v>
      </c>
      <c r="F29" s="5">
        <f t="shared" ref="F29:M29" si="61">+F11/F9</f>
        <v>0.64610300192784353</v>
      </c>
      <c r="G29" s="5">
        <f t="shared" si="61"/>
        <v>0.66186651896981441</v>
      </c>
      <c r="H29" s="5">
        <f t="shared" si="61"/>
        <v>0.59244791666666663</v>
      </c>
      <c r="I29" s="5">
        <f t="shared" si="61"/>
        <v>0.59055900621118007</v>
      </c>
      <c r="J29" s="5">
        <f t="shared" si="61"/>
        <v>0.60673121254034112</v>
      </c>
      <c r="K29" s="5">
        <f t="shared" si="61"/>
        <v>0.57713248638838477</v>
      </c>
      <c r="L29" s="5">
        <f t="shared" si="61"/>
        <v>0.57880262322826315</v>
      </c>
      <c r="M29" s="5">
        <f t="shared" si="61"/>
        <v>0.61984459055588759</v>
      </c>
      <c r="N29" s="5">
        <f t="shared" ref="N29:R29" si="62">+N11/N9</f>
        <v>0.6</v>
      </c>
      <c r="O29" s="5">
        <f t="shared" si="62"/>
        <v>0.57999999999999996</v>
      </c>
      <c r="P29" s="5">
        <f t="shared" si="62"/>
        <v>0.57999999999999996</v>
      </c>
      <c r="Q29" s="5">
        <f t="shared" si="62"/>
        <v>0.57999999999999996</v>
      </c>
      <c r="R29" s="5">
        <f t="shared" si="62"/>
        <v>0.59</v>
      </c>
      <c r="U29" s="5">
        <f t="shared" ref="U29:W29" si="63">+U11/U9</f>
        <v>0.60139049826187718</v>
      </c>
      <c r="V29" s="5">
        <f t="shared" si="63"/>
        <v>0.61682433119723323</v>
      </c>
      <c r="W29" s="5">
        <f t="shared" si="63"/>
        <v>0.6164969291767084</v>
      </c>
      <c r="X29" s="5">
        <f>+X11/X9</f>
        <v>0.61173643606930572</v>
      </c>
      <c r="Y29" s="5">
        <f t="shared" ref="Y29:AI29" si="64">+Y11/Y9</f>
        <v>0.59479778017278262</v>
      </c>
      <c r="Z29" s="5">
        <f t="shared" si="64"/>
        <v>0.58277180532689998</v>
      </c>
      <c r="AA29" s="5">
        <f t="shared" si="64"/>
        <v>0.54</v>
      </c>
      <c r="AB29" s="5">
        <f t="shared" si="64"/>
        <v>0.54</v>
      </c>
      <c r="AC29" s="5">
        <f t="shared" si="64"/>
        <v>0.52</v>
      </c>
      <c r="AD29" s="5">
        <f t="shared" si="64"/>
        <v>0.51</v>
      </c>
      <c r="AE29" s="5">
        <f t="shared" si="64"/>
        <v>0.49</v>
      </c>
      <c r="AF29" s="5">
        <f t="shared" si="64"/>
        <v>0.49</v>
      </c>
      <c r="AG29" s="5">
        <f t="shared" si="64"/>
        <v>0.49</v>
      </c>
      <c r="AH29" s="5">
        <f t="shared" si="64"/>
        <v>0.49</v>
      </c>
      <c r="AI29" s="5">
        <f t="shared" si="64"/>
        <v>0.49</v>
      </c>
    </row>
    <row r="30" spans="2:118" x14ac:dyDescent="0.2">
      <c r="B30" t="s">
        <v>83</v>
      </c>
      <c r="F30" s="5">
        <f t="shared" ref="F30:M30" si="65">+F12/F9</f>
        <v>0.13494904984852657</v>
      </c>
      <c r="G30" s="5">
        <f t="shared" si="65"/>
        <v>0.13901966214345057</v>
      </c>
      <c r="H30" s="5">
        <f t="shared" si="65"/>
        <v>0.12734375000000001</v>
      </c>
      <c r="I30" s="5">
        <f t="shared" si="65"/>
        <v>0.12968944099378882</v>
      </c>
      <c r="J30" s="5">
        <f t="shared" si="65"/>
        <v>0.13231904103273398</v>
      </c>
      <c r="K30" s="5">
        <f t="shared" si="65"/>
        <v>0.12681488203266789</v>
      </c>
      <c r="L30" s="5">
        <f t="shared" si="65"/>
        <v>0.13518087581975882</v>
      </c>
      <c r="M30" s="5">
        <f t="shared" si="65"/>
        <v>0.13289499900378562</v>
      </c>
      <c r="N30" s="5">
        <f t="shared" ref="N30:R30" si="66">+N12/N9</f>
        <v>0.13</v>
      </c>
      <c r="O30" s="5">
        <f t="shared" si="66"/>
        <v>0.13</v>
      </c>
      <c r="P30" s="5">
        <f t="shared" si="66"/>
        <v>0.13</v>
      </c>
      <c r="Q30" s="5">
        <f t="shared" si="66"/>
        <v>0.13</v>
      </c>
      <c r="R30" s="5">
        <f t="shared" si="66"/>
        <v>0.13</v>
      </c>
      <c r="U30" s="5">
        <f>+U12/U9</f>
        <v>0.14020857473928158</v>
      </c>
      <c r="V30" s="5">
        <f>+V12/V9</f>
        <v>0.13691384396297426</v>
      </c>
      <c r="W30" s="5">
        <f>+W12/W9</f>
        <v>0.13247298452927</v>
      </c>
      <c r="X30" s="5">
        <f>+X12/X9</f>
        <v>0.13197167067155685</v>
      </c>
      <c r="Y30" s="5">
        <f t="shared" ref="Y30:Z30" si="67">+Y12/Y9</f>
        <v>0.13128157249786873</v>
      </c>
      <c r="Z30" s="5">
        <f t="shared" si="67"/>
        <v>0.13</v>
      </c>
      <c r="AA30" s="5">
        <f t="shared" ref="AA30:AI30" si="68">+AA12/AA9</f>
        <v>0.12</v>
      </c>
      <c r="AB30" s="5">
        <f t="shared" si="68"/>
        <v>0.12</v>
      </c>
      <c r="AC30" s="5">
        <f t="shared" si="68"/>
        <v>0.12</v>
      </c>
      <c r="AD30" s="5">
        <f t="shared" si="68"/>
        <v>0.12</v>
      </c>
      <c r="AE30" s="5">
        <f t="shared" si="68"/>
        <v>0.12</v>
      </c>
      <c r="AF30" s="5">
        <f t="shared" si="68"/>
        <v>0.11999999999999998</v>
      </c>
      <c r="AG30" s="5">
        <f t="shared" si="68"/>
        <v>0.12</v>
      </c>
      <c r="AH30" s="5">
        <f t="shared" si="68"/>
        <v>0.12</v>
      </c>
      <c r="AI30" s="5">
        <f t="shared" si="68"/>
        <v>0.12</v>
      </c>
    </row>
    <row r="32" spans="2:118" x14ac:dyDescent="0.2">
      <c r="B32" t="s">
        <v>31</v>
      </c>
      <c r="J32" s="5">
        <f>+J5/F5-1</f>
        <v>0.19913419913419905</v>
      </c>
      <c r="K32" s="5">
        <f>+K5/G5-1</f>
        <v>0.225693730729702</v>
      </c>
      <c r="L32" s="5">
        <f>+L5/H5-1</f>
        <v>0.23082896524946617</v>
      </c>
      <c r="M32" s="5">
        <f>+M5/I5-1</f>
        <v>0.26646982838162026</v>
      </c>
      <c r="N32" s="5">
        <f>+N5/J5-1</f>
        <v>0.24</v>
      </c>
      <c r="O32" s="5">
        <f t="shared" ref="O32:R32" si="69">+O5/K5-1</f>
        <v>0.21999999999999997</v>
      </c>
      <c r="P32" s="5">
        <f t="shared" si="69"/>
        <v>0.19999999999999996</v>
      </c>
      <c r="Q32" s="5">
        <f t="shared" si="69"/>
        <v>0.22999999999999998</v>
      </c>
      <c r="R32" s="5">
        <f t="shared" si="69"/>
        <v>0.24</v>
      </c>
      <c r="V32" s="5">
        <f t="shared" ref="V32:W32" si="70">+V5/U5-1</f>
        <v>0.26015180265654658</v>
      </c>
      <c r="W32" s="5">
        <f t="shared" si="70"/>
        <v>0.28730612859509108</v>
      </c>
      <c r="X32" s="5">
        <f>+X5/W5-1</f>
        <v>0.24295239209264241</v>
      </c>
      <c r="Y32" s="5">
        <f>+Y5/X5-1</f>
        <v>0.24125164690382084</v>
      </c>
      <c r="Z32" s="5">
        <f>+Z5/Y5-1</f>
        <v>0.22326363163537155</v>
      </c>
      <c r="AA32" s="5">
        <f t="shared" ref="AA32:AI32" si="71">+AA5/Z5-1</f>
        <v>0.25</v>
      </c>
      <c r="AB32" s="5">
        <f t="shared" si="71"/>
        <v>0.25</v>
      </c>
      <c r="AC32" s="5">
        <f t="shared" si="71"/>
        <v>0.19999999999999996</v>
      </c>
      <c r="AD32" s="5">
        <f t="shared" si="71"/>
        <v>0.19999999999999996</v>
      </c>
      <c r="AE32" s="5">
        <f t="shared" si="71"/>
        <v>0.19999999999999996</v>
      </c>
      <c r="AF32" s="5">
        <f t="shared" si="71"/>
        <v>0.19999999999999996</v>
      </c>
      <c r="AG32" s="5">
        <f t="shared" si="71"/>
        <v>0.17999999999999994</v>
      </c>
      <c r="AH32" s="5">
        <f t="shared" si="71"/>
        <v>0.17999999999999994</v>
      </c>
      <c r="AI32" s="5">
        <f t="shared" si="71"/>
        <v>0.17999999999999994</v>
      </c>
    </row>
    <row r="35" spans="2:35" s="3" customFormat="1" ht="15" x14ac:dyDescent="0.25">
      <c r="B35" s="3" t="s">
        <v>79</v>
      </c>
      <c r="J35" s="4">
        <f>+J36-J50</f>
        <v>13202</v>
      </c>
      <c r="K35" s="4">
        <f>+K36-K50</f>
        <v>16295</v>
      </c>
      <c r="L35" s="4">
        <f>+L36-L50</f>
        <v>3166</v>
      </c>
      <c r="M35" s="4">
        <f>+M36-M50</f>
        <v>2804</v>
      </c>
      <c r="N35" s="4">
        <f>+M35+N19</f>
        <v>3124.9388672</v>
      </c>
      <c r="O35" s="4">
        <f t="shared" ref="O35:R35" si="72">+N35+O19</f>
        <v>3688.9039304447997</v>
      </c>
      <c r="P35" s="4">
        <f t="shared" si="72"/>
        <v>4314.0473806021628</v>
      </c>
      <c r="Q35" s="4">
        <f t="shared" si="72"/>
        <v>5026.2427061727449</v>
      </c>
      <c r="R35" s="4">
        <f t="shared" si="72"/>
        <v>5766.1457594752555</v>
      </c>
      <c r="Z35" s="4">
        <v>5766.1457594752555</v>
      </c>
      <c r="AA35" s="4">
        <f>+Z35+AA19</f>
        <v>8674.2790036286242</v>
      </c>
      <c r="AB35" s="4">
        <f t="shared" ref="AB35:AI35" si="73">+AA35+AB19</f>
        <v>12434.17961702474</v>
      </c>
      <c r="AC35" s="4">
        <f t="shared" si="73"/>
        <v>17843.607178610691</v>
      </c>
      <c r="AD35" s="4">
        <f t="shared" si="73"/>
        <v>23277.916495793725</v>
      </c>
      <c r="AE35" s="4">
        <f t="shared" si="73"/>
        <v>31002.212066169537</v>
      </c>
      <c r="AF35" s="4">
        <f t="shared" si="73"/>
        <v>42412.381782075783</v>
      </c>
      <c r="AG35" s="4">
        <f t="shared" si="73"/>
        <v>56372.204116661982</v>
      </c>
      <c r="AH35" s="4">
        <f t="shared" si="73"/>
        <v>73382.786208328471</v>
      </c>
      <c r="AI35" s="4">
        <f t="shared" si="73"/>
        <v>94039.021010569166</v>
      </c>
    </row>
    <row r="36" spans="2:35" x14ac:dyDescent="0.2">
      <c r="B36" t="s">
        <v>3</v>
      </c>
      <c r="J36" s="1">
        <f>6195+5771+3909</f>
        <v>15875</v>
      </c>
      <c r="K36" s="1">
        <f>8544+6479+3944</f>
        <v>18967</v>
      </c>
      <c r="L36" s="1">
        <f>6299+3351+4105</f>
        <v>13755</v>
      </c>
      <c r="M36" s="1">
        <f>4753+4638+4004</f>
        <v>13395</v>
      </c>
    </row>
    <row r="37" spans="2:35" x14ac:dyDescent="0.2">
      <c r="B37" t="s">
        <v>43</v>
      </c>
      <c r="J37" s="1">
        <v>7786</v>
      </c>
      <c r="K37" s="1">
        <v>3174</v>
      </c>
      <c r="L37" s="1">
        <v>4074</v>
      </c>
      <c r="M37" s="1">
        <v>4019</v>
      </c>
      <c r="P37" t="s">
        <v>85</v>
      </c>
      <c r="Q37" s="5">
        <v>0.105</v>
      </c>
    </row>
    <row r="38" spans="2:35" x14ac:dyDescent="0.2">
      <c r="B38" t="s">
        <v>44</v>
      </c>
      <c r="J38" s="1">
        <v>1146</v>
      </c>
      <c r="K38" s="1">
        <v>1166</v>
      </c>
      <c r="L38" s="1">
        <v>1211</v>
      </c>
      <c r="M38" s="1">
        <v>1242</v>
      </c>
      <c r="P38" t="s">
        <v>86</v>
      </c>
      <c r="Q38" s="5">
        <v>-0.02</v>
      </c>
    </row>
    <row r="39" spans="2:35" x14ac:dyDescent="0.2">
      <c r="B39" t="s">
        <v>45</v>
      </c>
      <c r="J39" s="1">
        <v>991</v>
      </c>
      <c r="K39" s="1">
        <v>1081</v>
      </c>
      <c r="L39" s="1">
        <v>1321</v>
      </c>
      <c r="M39" s="1">
        <v>1305</v>
      </c>
      <c r="P39" t="s">
        <v>87</v>
      </c>
      <c r="Q39" s="10">
        <v>4.2999999999999997E-2</v>
      </c>
    </row>
    <row r="40" spans="2:35" x14ac:dyDescent="0.2">
      <c r="B40" t="s">
        <v>46</v>
      </c>
      <c r="J40" s="1">
        <v>2459</v>
      </c>
      <c r="K40" s="1">
        <v>2490</v>
      </c>
      <c r="L40" s="1">
        <v>2711</v>
      </c>
      <c r="M40" s="1">
        <v>2768</v>
      </c>
      <c r="P40" t="s">
        <v>88</v>
      </c>
      <c r="Q40" s="11">
        <f>+NPV(Q39,Y19:DN19) +X19</f>
        <v>271249.87507197395</v>
      </c>
    </row>
    <row r="41" spans="2:35" x14ac:dyDescent="0.2">
      <c r="B41" t="s">
        <v>47</v>
      </c>
      <c r="J41" s="1">
        <v>3204</v>
      </c>
      <c r="K41" s="1">
        <v>3065</v>
      </c>
      <c r="L41" s="1">
        <v>3123</v>
      </c>
      <c r="M41" s="1">
        <v>2909</v>
      </c>
      <c r="P41" t="s">
        <v>89</v>
      </c>
      <c r="Q41" s="11">
        <f>+Q40+M35</f>
        <v>274053.87507197395</v>
      </c>
    </row>
    <row r="42" spans="2:35" x14ac:dyDescent="0.2">
      <c r="B42" t="s">
        <v>48</v>
      </c>
      <c r="J42" s="1">
        <v>1715</v>
      </c>
      <c r="K42" s="1">
        <v>1736</v>
      </c>
      <c r="L42" s="1">
        <v>1820</v>
      </c>
      <c r="M42" s="1">
        <v>1850</v>
      </c>
      <c r="P42" t="s">
        <v>90</v>
      </c>
      <c r="Q42">
        <f>+Q41/985</f>
        <v>278.2272843370294</v>
      </c>
    </row>
    <row r="43" spans="2:35" x14ac:dyDescent="0.2">
      <c r="B43" t="s">
        <v>49</v>
      </c>
      <c r="J43" s="1">
        <f>26318+4114</f>
        <v>30432</v>
      </c>
      <c r="K43" s="1">
        <f>26640+3925</f>
        <v>30565</v>
      </c>
      <c r="L43" s="1">
        <f>48103+9746</f>
        <v>57849</v>
      </c>
      <c r="M43" s="1">
        <f>47951+9472</f>
        <v>57423</v>
      </c>
      <c r="P43" t="s">
        <v>91</v>
      </c>
      <c r="Q43">
        <v>219.1</v>
      </c>
    </row>
    <row r="44" spans="2:35" x14ac:dyDescent="0.2">
      <c r="B44" t="s">
        <v>50</v>
      </c>
      <c r="J44" s="1">
        <v>2693</v>
      </c>
      <c r="K44" s="1">
        <v>2641</v>
      </c>
      <c r="L44" s="1">
        <v>2794</v>
      </c>
      <c r="M44" s="1">
        <v>2525</v>
      </c>
      <c r="P44" t="s">
        <v>92</v>
      </c>
      <c r="Q44" s="5">
        <f>+Q42/Q43-1</f>
        <v>0.26986437397092389</v>
      </c>
    </row>
    <row r="45" spans="2:35" x14ac:dyDescent="0.2">
      <c r="B45" t="s">
        <v>51</v>
      </c>
      <c r="J45" s="1">
        <f>+SUM(J36:J44)</f>
        <v>66301</v>
      </c>
      <c r="K45" s="1">
        <f>+SUM(K36:K44)</f>
        <v>64885</v>
      </c>
      <c r="L45" s="1">
        <f>+SUM(L36:L44)</f>
        <v>88658</v>
      </c>
      <c r="M45" s="1">
        <f>+SUM(M36:M44)</f>
        <v>87436</v>
      </c>
    </row>
    <row r="47" spans="2:35" x14ac:dyDescent="0.2">
      <c r="B47" t="s">
        <v>52</v>
      </c>
      <c r="J47" s="1">
        <v>4355</v>
      </c>
      <c r="K47" s="1">
        <v>3439</v>
      </c>
      <c r="L47" s="1">
        <v>4274</v>
      </c>
      <c r="M47" s="1">
        <v>4231</v>
      </c>
    </row>
    <row r="48" spans="2:35" x14ac:dyDescent="0.2">
      <c r="B48" t="s">
        <v>47</v>
      </c>
      <c r="J48" s="1">
        <v>766</v>
      </c>
      <c r="K48" s="1">
        <v>726</v>
      </c>
      <c r="L48" s="1">
        <v>713</v>
      </c>
      <c r="M48" s="1">
        <v>688</v>
      </c>
    </row>
    <row r="49" spans="2:13" x14ac:dyDescent="0.2">
      <c r="B49" t="s">
        <v>53</v>
      </c>
      <c r="J49" s="1">
        <v>12607</v>
      </c>
      <c r="K49" s="1">
        <v>11158</v>
      </c>
      <c r="L49" s="1">
        <v>11067</v>
      </c>
      <c r="M49" s="1">
        <v>10116</v>
      </c>
    </row>
    <row r="50" spans="2:13" x14ac:dyDescent="0.2">
      <c r="B50" t="s">
        <v>4</v>
      </c>
      <c r="J50" s="1">
        <v>2673</v>
      </c>
      <c r="K50" s="1">
        <v>2672</v>
      </c>
      <c r="L50" s="7">
        <v>10589</v>
      </c>
      <c r="M50" s="1">
        <v>10591</v>
      </c>
    </row>
    <row r="51" spans="2:13" x14ac:dyDescent="0.2">
      <c r="B51" t="s">
        <v>54</v>
      </c>
      <c r="J51" s="1">
        <v>2842</v>
      </c>
      <c r="K51" s="1">
        <v>2734</v>
      </c>
      <c r="L51" s="1">
        <v>2878</v>
      </c>
      <c r="M51" s="1">
        <v>2722</v>
      </c>
    </row>
    <row r="52" spans="2:13" x14ac:dyDescent="0.2">
      <c r="B52" t="s">
        <v>55</v>
      </c>
      <c r="J52" s="1">
        <v>1565</v>
      </c>
      <c r="K52" s="1">
        <v>1589</v>
      </c>
      <c r="L52" s="1">
        <f>2278+1339</f>
        <v>3617</v>
      </c>
      <c r="M52" s="1">
        <v>2034</v>
      </c>
    </row>
    <row r="53" spans="2:13" x14ac:dyDescent="0.2">
      <c r="B53" t="s">
        <v>56</v>
      </c>
      <c r="J53" s="1">
        <f>+SUM(J47:J52)</f>
        <v>24808</v>
      </c>
      <c r="K53" s="1">
        <f>+SUM(K47:K52)</f>
        <v>22318</v>
      </c>
      <c r="L53" s="1">
        <f>+SUM(L47:L52)</f>
        <v>33138</v>
      </c>
      <c r="M53" s="1">
        <f>+SUM(M47:M52)</f>
        <v>30382</v>
      </c>
    </row>
    <row r="55" spans="2:13" x14ac:dyDescent="0.2">
      <c r="B55" t="s">
        <v>57</v>
      </c>
      <c r="J55" s="1">
        <f>+J19</f>
        <v>267</v>
      </c>
      <c r="K55" s="1">
        <f>+K19</f>
        <v>469</v>
      </c>
      <c r="L55" s="1">
        <f>+L19</f>
        <v>535</v>
      </c>
      <c r="M55" s="1">
        <f>+M19</f>
        <v>468</v>
      </c>
    </row>
    <row r="56" spans="2:13" x14ac:dyDescent="0.2">
      <c r="B56" t="s">
        <v>58</v>
      </c>
      <c r="J56" s="1">
        <v>267</v>
      </c>
      <c r="K56" s="1">
        <v>469</v>
      </c>
      <c r="L56" s="1">
        <v>535</v>
      </c>
      <c r="M56" s="1">
        <v>468</v>
      </c>
    </row>
    <row r="57" spans="2:13" x14ac:dyDescent="0.2">
      <c r="B57" t="s">
        <v>59</v>
      </c>
      <c r="J57" s="1">
        <v>869</v>
      </c>
      <c r="K57" s="1">
        <v>685</v>
      </c>
      <c r="L57" s="1">
        <v>719</v>
      </c>
      <c r="M57" s="1">
        <v>963</v>
      </c>
    </row>
    <row r="58" spans="2:13" x14ac:dyDescent="0.2">
      <c r="B58" t="s">
        <v>60</v>
      </c>
      <c r="J58" s="1">
        <v>290</v>
      </c>
      <c r="K58" s="1">
        <v>314</v>
      </c>
      <c r="L58" s="1">
        <v>334</v>
      </c>
      <c r="M58" s="1">
        <v>344</v>
      </c>
    </row>
    <row r="59" spans="2:13" x14ac:dyDescent="0.2">
      <c r="B59" t="s">
        <v>61</v>
      </c>
      <c r="J59" s="1">
        <v>542</v>
      </c>
      <c r="K59" s="1">
        <v>564</v>
      </c>
      <c r="L59" s="1">
        <v>640</v>
      </c>
      <c r="M59" s="1">
        <v>812</v>
      </c>
    </row>
    <row r="60" spans="2:13" x14ac:dyDescent="0.2">
      <c r="B60" t="s">
        <v>37</v>
      </c>
      <c r="J60" s="1">
        <v>-260</v>
      </c>
      <c r="K60" s="1">
        <v>-288</v>
      </c>
      <c r="L60" s="1">
        <v>-526</v>
      </c>
      <c r="M60" s="1">
        <v>-363</v>
      </c>
    </row>
    <row r="61" spans="2:13" x14ac:dyDescent="0.2">
      <c r="B61" t="s">
        <v>43</v>
      </c>
      <c r="J61" s="1">
        <v>-4429</v>
      </c>
      <c r="K61" s="1">
        <v>4616</v>
      </c>
      <c r="L61" s="1">
        <v>-812</v>
      </c>
      <c r="M61" s="1">
        <v>91</v>
      </c>
    </row>
    <row r="62" spans="2:13" x14ac:dyDescent="0.2">
      <c r="B62" t="s">
        <v>62</v>
      </c>
      <c r="J62" s="1">
        <v>-672</v>
      </c>
      <c r="K62" s="1">
        <v>-355</v>
      </c>
      <c r="L62" s="1">
        <v>-463</v>
      </c>
      <c r="M62" s="1">
        <v>-405</v>
      </c>
    </row>
    <row r="63" spans="2:13" x14ac:dyDescent="0.2">
      <c r="B63" t="s">
        <v>45</v>
      </c>
      <c r="J63" s="1">
        <v>1</v>
      </c>
      <c r="K63" s="1">
        <v>-17</v>
      </c>
      <c r="L63" s="1">
        <v>-173</v>
      </c>
      <c r="M63" s="1">
        <v>189</v>
      </c>
    </row>
    <row r="64" spans="2:13" x14ac:dyDescent="0.2">
      <c r="B64" t="s">
        <v>52</v>
      </c>
      <c r="J64" s="1">
        <v>1096</v>
      </c>
      <c r="K64" s="1">
        <v>-1093</v>
      </c>
      <c r="L64" s="1">
        <v>805</v>
      </c>
      <c r="M64" s="1">
        <v>-548</v>
      </c>
    </row>
    <row r="65" spans="2:13" x14ac:dyDescent="0.2">
      <c r="B65" t="s">
        <v>47</v>
      </c>
      <c r="J65" s="1">
        <v>-214</v>
      </c>
      <c r="K65" s="1">
        <v>-216</v>
      </c>
      <c r="L65" s="1">
        <v>-200</v>
      </c>
      <c r="M65" s="1">
        <v>-191</v>
      </c>
    </row>
    <row r="66" spans="2:13" x14ac:dyDescent="0.2">
      <c r="B66" t="s">
        <v>53</v>
      </c>
      <c r="J66" s="1">
        <v>4684</v>
      </c>
      <c r="K66" s="1">
        <v>-1451</v>
      </c>
      <c r="L66" s="1">
        <v>-473</v>
      </c>
      <c r="M66" s="1">
        <v>-956</v>
      </c>
    </row>
    <row r="67" spans="2:13" s="3" customFormat="1" ht="15" x14ac:dyDescent="0.25">
      <c r="B67" s="3" t="s">
        <v>63</v>
      </c>
      <c r="J67" s="4">
        <f>+SUM(J56:J66)</f>
        <v>2174</v>
      </c>
      <c r="K67" s="4">
        <f>+SUM(K56:K66)</f>
        <v>3228</v>
      </c>
      <c r="L67" s="4">
        <f>+SUM(L56:L66)</f>
        <v>386</v>
      </c>
      <c r="M67" s="4">
        <f>+SUM(M56:M66)</f>
        <v>404</v>
      </c>
    </row>
    <row r="68" spans="2:13" x14ac:dyDescent="0.2">
      <c r="J68" s="1"/>
      <c r="K68" s="1"/>
      <c r="L68" s="1"/>
      <c r="M68" s="1"/>
    </row>
    <row r="69" spans="2:13" x14ac:dyDescent="0.2">
      <c r="B69" t="s">
        <v>64</v>
      </c>
      <c r="J69" s="1">
        <v>0</v>
      </c>
      <c r="K69" s="1">
        <v>-425</v>
      </c>
      <c r="L69" s="7">
        <v>-14356</v>
      </c>
      <c r="M69" s="1">
        <v>-35</v>
      </c>
    </row>
    <row r="70" spans="2:13" x14ac:dyDescent="0.2">
      <c r="B70" t="s">
        <v>65</v>
      </c>
      <c r="J70" s="1">
        <v>-127</v>
      </c>
      <c r="K70" s="1">
        <v>-277</v>
      </c>
      <c r="L70" s="1">
        <v>-509</v>
      </c>
      <c r="M70" s="1">
        <v>-147</v>
      </c>
    </row>
    <row r="71" spans="2:13" x14ac:dyDescent="0.2">
      <c r="B71" t="s">
        <v>66</v>
      </c>
      <c r="J71" s="1">
        <v>366</v>
      </c>
      <c r="K71" s="1">
        <v>556</v>
      </c>
      <c r="L71" s="1">
        <v>913</v>
      </c>
      <c r="M71" s="1">
        <v>695</v>
      </c>
    </row>
    <row r="72" spans="2:13" x14ac:dyDescent="0.2">
      <c r="B72" t="s">
        <v>67</v>
      </c>
      <c r="J72" s="1">
        <v>-865</v>
      </c>
      <c r="K72" s="1">
        <v>-1809</v>
      </c>
      <c r="L72" s="1">
        <v>-507</v>
      </c>
      <c r="M72" s="1">
        <v>-2193</v>
      </c>
    </row>
    <row r="73" spans="2:13" x14ac:dyDescent="0.2">
      <c r="B73" t="s">
        <v>68</v>
      </c>
      <c r="J73" s="1">
        <v>630</v>
      </c>
      <c r="K73" s="1">
        <v>581</v>
      </c>
      <c r="L73" s="1">
        <v>2464</v>
      </c>
      <c r="M73" s="1">
        <v>720</v>
      </c>
    </row>
    <row r="74" spans="2:13" x14ac:dyDescent="0.2">
      <c r="B74" t="s">
        <v>69</v>
      </c>
      <c r="J74" s="1">
        <v>239</v>
      </c>
      <c r="K74" s="1">
        <v>498</v>
      </c>
      <c r="L74" s="1">
        <v>1154</v>
      </c>
      <c r="M74" s="1">
        <v>150</v>
      </c>
    </row>
    <row r="75" spans="2:13" x14ac:dyDescent="0.2">
      <c r="B75" t="s">
        <v>70</v>
      </c>
      <c r="J75" s="1">
        <v>-149</v>
      </c>
      <c r="K75" s="1">
        <v>-171</v>
      </c>
      <c r="L75" s="1">
        <v>-213</v>
      </c>
      <c r="M75" s="1">
        <v>-166</v>
      </c>
    </row>
    <row r="76" spans="2:13" s="3" customFormat="1" ht="15" x14ac:dyDescent="0.25">
      <c r="B76" s="3" t="s">
        <v>71</v>
      </c>
      <c r="J76" s="4">
        <f>+SUM(J69:J75)</f>
        <v>94</v>
      </c>
      <c r="K76" s="4">
        <f>+SUM(K69:K75)</f>
        <v>-1047</v>
      </c>
      <c r="L76" s="4">
        <f>+SUM(L69:L75)</f>
        <v>-11054</v>
      </c>
      <c r="M76" s="4">
        <f>+SUM(M69:M75)</f>
        <v>-976</v>
      </c>
    </row>
    <row r="78" spans="2:13" x14ac:dyDescent="0.2">
      <c r="B78" t="s">
        <v>72</v>
      </c>
      <c r="J78" s="1">
        <v>-20</v>
      </c>
      <c r="K78" s="1">
        <v>-10</v>
      </c>
      <c r="L78" s="1">
        <v>7922</v>
      </c>
      <c r="M78" s="1">
        <v>-6</v>
      </c>
    </row>
    <row r="79" spans="2:13" x14ac:dyDescent="0.2">
      <c r="B79" t="s">
        <v>73</v>
      </c>
      <c r="J79" s="1">
        <v>0</v>
      </c>
      <c r="K79" s="1">
        <v>0</v>
      </c>
      <c r="L79" s="1">
        <v>168</v>
      </c>
      <c r="M79" s="1">
        <v>-1348</v>
      </c>
    </row>
    <row r="80" spans="2:13" x14ac:dyDescent="0.2">
      <c r="B80" t="s">
        <v>74</v>
      </c>
      <c r="J80" s="1">
        <v>216</v>
      </c>
      <c r="K80" s="1">
        <v>225</v>
      </c>
      <c r="L80" s="1">
        <v>375</v>
      </c>
      <c r="M80" s="1">
        <v>430</v>
      </c>
    </row>
    <row r="81" spans="2:13" x14ac:dyDescent="0.2">
      <c r="B81" t="s">
        <v>75</v>
      </c>
      <c r="J81" s="1">
        <v>-19</v>
      </c>
      <c r="K81" s="1">
        <v>-49</v>
      </c>
      <c r="L81" s="1">
        <v>-24</v>
      </c>
      <c r="M81" s="1">
        <v>-45</v>
      </c>
    </row>
    <row r="82" spans="2:13" x14ac:dyDescent="0.2">
      <c r="B82" t="s">
        <v>76</v>
      </c>
      <c r="J82" s="1">
        <v>-1</v>
      </c>
      <c r="K82" s="1">
        <v>-1</v>
      </c>
      <c r="L82" s="1">
        <v>-1</v>
      </c>
      <c r="M82" s="1">
        <v>-1</v>
      </c>
    </row>
    <row r="83" spans="2:13" s="3" customFormat="1" ht="15" x14ac:dyDescent="0.25">
      <c r="B83" s="3" t="s">
        <v>77</v>
      </c>
      <c r="J83" s="4">
        <f>+SUM(J78:J82)</f>
        <v>176</v>
      </c>
      <c r="K83" s="4">
        <f>+SUM(K78:K82)</f>
        <v>165</v>
      </c>
      <c r="L83" s="4">
        <f>+SUM(L78:L82)</f>
        <v>8440</v>
      </c>
      <c r="M83" s="4">
        <f>+SUM(M78:M82)</f>
        <v>-970</v>
      </c>
    </row>
    <row r="84" spans="2:13" s="3" customFormat="1" ht="15" x14ac:dyDescent="0.25">
      <c r="B84" s="3" t="s">
        <v>78</v>
      </c>
      <c r="J84" s="4">
        <f>+J83+J76+J67</f>
        <v>2444</v>
      </c>
      <c r="K84" s="4">
        <f>+K83+K76+K67</f>
        <v>2346</v>
      </c>
      <c r="L84" s="4">
        <f>+L83+L76+L67</f>
        <v>-2228</v>
      </c>
      <c r="M84" s="4">
        <f>+M83+M76+M67</f>
        <v>-1542</v>
      </c>
    </row>
  </sheetData>
  <hyperlinks>
    <hyperlink ref="A1" location="Main!A1" display="Main" xr:uid="{D0322E52-85E3-4896-BA82-CB7B6BE8242C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2022-01-13T17:14:11Z</dcterms:created>
  <dcterms:modified xsi:type="dcterms:W3CDTF">2022-01-27T02:39:47Z</dcterms:modified>
</cp:coreProperties>
</file>