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60D31F22-E8B7-4878-8FBD-4F9E0D5B335F}" xr6:coauthVersionLast="47" xr6:coauthVersionMax="47" xr10:uidLastSave="{00000000-0000-0000-0000-000000000000}"/>
  <bookViews>
    <workbookView xWindow="11280" yWindow="1560" windowWidth="14775" windowHeight="13905" activeTab="2" xr2:uid="{90951BE1-4828-41CF-841C-BD39C640214F}"/>
  </bookViews>
  <sheets>
    <sheet name="Main" sheetId="1" r:id="rId1"/>
    <sheet name="Model" sheetId="2" r:id="rId2"/>
    <sheet name="Purchased Crude vs Explo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3" l="1"/>
  <c r="U6" i="3"/>
  <c r="V6" i="3"/>
  <c r="W6" i="3"/>
  <c r="J7" i="3"/>
  <c r="D11" i="3" s="1" a="1"/>
  <c r="U7" i="3"/>
  <c r="V7" i="3"/>
  <c r="W7" i="3"/>
  <c r="C11" i="3" a="1"/>
  <c r="C11" i="3" s="1"/>
  <c r="C39" i="3"/>
  <c r="C40" i="3"/>
  <c r="C42" i="3"/>
  <c r="D49" i="3"/>
  <c r="C32" i="3" s="1"/>
  <c r="C33" i="3" s="1"/>
  <c r="C59" i="3"/>
  <c r="C60" i="3" s="1"/>
  <c r="C61" i="3" s="1"/>
  <c r="C62" i="3" s="1"/>
  <c r="C63" i="3" s="1"/>
  <c r="C64" i="3" s="1"/>
  <c r="C65" i="3" s="1"/>
  <c r="C66" i="3" s="1"/>
  <c r="P39" i="2"/>
  <c r="L53" i="2"/>
  <c r="L61" i="2" s="1"/>
  <c r="L51" i="2"/>
  <c r="L40" i="2"/>
  <c r="P53" i="2"/>
  <c r="P61" i="2" s="1"/>
  <c r="P40" i="2"/>
  <c r="P51" i="2" s="1"/>
  <c r="Z26" i="2"/>
  <c r="C30" i="3" l="1"/>
  <c r="C31" i="3" s="1"/>
  <c r="C28" i="3"/>
  <c r="D29" i="3"/>
  <c r="D30" i="3"/>
  <c r="D31" i="3" s="1"/>
  <c r="D11" i="3"/>
  <c r="C36" i="3"/>
  <c r="C29" i="3"/>
  <c r="L39" i="2"/>
  <c r="D6" i="1"/>
  <c r="D5" i="1"/>
  <c r="D4" i="1"/>
  <c r="W21" i="2"/>
  <c r="W19" i="2"/>
  <c r="W18" i="2"/>
  <c r="W15" i="2"/>
  <c r="W14" i="2"/>
  <c r="W13" i="2"/>
  <c r="W12" i="2"/>
  <c r="W11" i="2"/>
  <c r="W10" i="2"/>
  <c r="W9" i="2"/>
  <c r="W8" i="2"/>
  <c r="W6" i="2"/>
  <c r="W5" i="2"/>
  <c r="W4" i="2"/>
  <c r="F16" i="2"/>
  <c r="F7" i="2"/>
  <c r="J4" i="2"/>
  <c r="X4" i="2" s="1"/>
  <c r="Y21" i="2"/>
  <c r="X21" i="2"/>
  <c r="X15" i="2"/>
  <c r="X14" i="2"/>
  <c r="X13" i="2"/>
  <c r="X6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I16" i="2"/>
  <c r="I7" i="2"/>
  <c r="E16" i="2"/>
  <c r="E7" i="2"/>
  <c r="D16" i="2"/>
  <c r="D7" i="2"/>
  <c r="W7" i="2" s="1"/>
  <c r="H16" i="2"/>
  <c r="H7" i="2"/>
  <c r="C16" i="2"/>
  <c r="C7" i="2"/>
  <c r="G7" i="2"/>
  <c r="G29" i="2" s="1"/>
  <c r="G16" i="2"/>
  <c r="J19" i="2"/>
  <c r="X19" i="2" s="1"/>
  <c r="J18" i="2"/>
  <c r="X18" i="2" s="1"/>
  <c r="J15" i="2"/>
  <c r="J14" i="2"/>
  <c r="J13" i="2"/>
  <c r="J12" i="2"/>
  <c r="X12" i="2" s="1"/>
  <c r="J11" i="2"/>
  <c r="X11" i="2" s="1"/>
  <c r="J10" i="2"/>
  <c r="X10" i="2" s="1"/>
  <c r="J9" i="2"/>
  <c r="X9" i="2" s="1"/>
  <c r="J8" i="2"/>
  <c r="X8" i="2" s="1"/>
  <c r="J6" i="2"/>
  <c r="J5" i="2"/>
  <c r="X5" i="2" s="1"/>
  <c r="N19" i="2"/>
  <c r="Y19" i="2" s="1"/>
  <c r="N18" i="2"/>
  <c r="Y18" i="2" s="1"/>
  <c r="N15" i="2"/>
  <c r="Y15" i="2" s="1"/>
  <c r="N14" i="2"/>
  <c r="Y14" i="2" s="1"/>
  <c r="N13" i="2"/>
  <c r="Y13" i="2" s="1"/>
  <c r="N12" i="2"/>
  <c r="Y12" i="2" s="1"/>
  <c r="N11" i="2"/>
  <c r="Y11" i="2" s="1"/>
  <c r="N10" i="2"/>
  <c r="Y10" i="2" s="1"/>
  <c r="N9" i="2"/>
  <c r="Y9" i="2" s="1"/>
  <c r="N8" i="2"/>
  <c r="Y8" i="2" s="1"/>
  <c r="N6" i="2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N5" i="2"/>
  <c r="N4" i="2"/>
  <c r="Y4" i="2" s="1"/>
  <c r="Z4" i="2" s="1"/>
  <c r="K7" i="2"/>
  <c r="K29" i="2" s="1"/>
  <c r="K16" i="2"/>
  <c r="O16" i="2"/>
  <c r="O7" i="2"/>
  <c r="L16" i="2"/>
  <c r="L7" i="2"/>
  <c r="L29" i="2" s="1"/>
  <c r="P16" i="2"/>
  <c r="P7" i="2"/>
  <c r="P29" i="2" s="1"/>
  <c r="Q53" i="2"/>
  <c r="Q61" i="2" s="1"/>
  <c r="Q40" i="2"/>
  <c r="M16" i="2"/>
  <c r="M7" i="2"/>
  <c r="Q16" i="2"/>
  <c r="Q7" i="2"/>
  <c r="Q29" i="2" s="1"/>
  <c r="N8" i="1"/>
  <c r="N7" i="1"/>
  <c r="N6" i="1"/>
  <c r="N9" i="1" s="1"/>
  <c r="C37" i="3" l="1"/>
  <c r="C53" i="3"/>
  <c r="M29" i="2"/>
  <c r="W16" i="2"/>
  <c r="H29" i="2"/>
  <c r="I29" i="2"/>
  <c r="AA4" i="2"/>
  <c r="O29" i="2"/>
  <c r="N7" i="2"/>
  <c r="Y7" i="2" s="1"/>
  <c r="Q39" i="2"/>
  <c r="Y5" i="2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F17" i="2"/>
  <c r="Q51" i="2"/>
  <c r="N16" i="2"/>
  <c r="Q17" i="2"/>
  <c r="Q24" i="2" s="1"/>
  <c r="G17" i="2"/>
  <c r="I17" i="2"/>
  <c r="E17" i="2"/>
  <c r="D17" i="2"/>
  <c r="H17" i="2"/>
  <c r="C17" i="2"/>
  <c r="J16" i="2"/>
  <c r="X16" i="2" s="1"/>
  <c r="J7" i="2"/>
  <c r="J29" i="2" s="1"/>
  <c r="K17" i="2"/>
  <c r="O17" i="2"/>
  <c r="L17" i="2"/>
  <c r="P17" i="2"/>
  <c r="M17" i="2"/>
  <c r="C45" i="3" l="1"/>
  <c r="C44" i="3"/>
  <c r="C43" i="3"/>
  <c r="C54" i="3"/>
  <c r="D59" i="3" s="1"/>
  <c r="W17" i="2"/>
  <c r="W24" i="2" s="1"/>
  <c r="C24" i="2"/>
  <c r="N17" i="2"/>
  <c r="N20" i="2" s="1"/>
  <c r="W26" i="2"/>
  <c r="Y16" i="2"/>
  <c r="Y17" i="2"/>
  <c r="Z7" i="2"/>
  <c r="F20" i="2"/>
  <c r="F26" i="2"/>
  <c r="F24" i="2"/>
  <c r="N29" i="2"/>
  <c r="AB4" i="2"/>
  <c r="AA7" i="2"/>
  <c r="AA20" i="2" s="1"/>
  <c r="X7" i="2"/>
  <c r="X29" i="2" s="1"/>
  <c r="I20" i="2"/>
  <c r="I26" i="2"/>
  <c r="I24" i="2"/>
  <c r="Q20" i="2"/>
  <c r="Q26" i="2"/>
  <c r="G20" i="2"/>
  <c r="G24" i="2"/>
  <c r="G26" i="2"/>
  <c r="C20" i="2"/>
  <c r="C26" i="2"/>
  <c r="P20" i="2"/>
  <c r="P26" i="2"/>
  <c r="P24" i="2"/>
  <c r="D20" i="2"/>
  <c r="D24" i="2"/>
  <c r="D26" i="2"/>
  <c r="O20" i="2"/>
  <c r="O26" i="2"/>
  <c r="O24" i="2"/>
  <c r="K20" i="2"/>
  <c r="K24" i="2"/>
  <c r="K26" i="2"/>
  <c r="M20" i="2"/>
  <c r="M26" i="2"/>
  <c r="M24" i="2"/>
  <c r="H20" i="2"/>
  <c r="H26" i="2"/>
  <c r="H24" i="2"/>
  <c r="L20" i="2"/>
  <c r="L30" i="2" s="1"/>
  <c r="L26" i="2"/>
  <c r="L24" i="2"/>
  <c r="E20" i="2"/>
  <c r="E24" i="2"/>
  <c r="E26" i="2"/>
  <c r="J17" i="2"/>
  <c r="X17" i="2" s="1"/>
  <c r="D64" i="3" l="1"/>
  <c r="F16" i="3"/>
  <c r="F18" i="3"/>
  <c r="F12" i="3"/>
  <c r="F20" i="3"/>
  <c r="F13" i="3"/>
  <c r="F21" i="3"/>
  <c r="F17" i="3"/>
  <c r="F19" i="3"/>
  <c r="F15" i="3"/>
  <c r="F23" i="3"/>
  <c r="F14" i="3"/>
  <c r="F22" i="3"/>
  <c r="D60" i="3"/>
  <c r="D66" i="3"/>
  <c r="D57" i="3"/>
  <c r="D62" i="3"/>
  <c r="D65" i="3"/>
  <c r="D58" i="3"/>
  <c r="D61" i="3"/>
  <c r="D63" i="3"/>
  <c r="N26" i="2"/>
  <c r="N24" i="2"/>
  <c r="M30" i="2"/>
  <c r="K30" i="2"/>
  <c r="Y20" i="2"/>
  <c r="Y25" i="2" s="1"/>
  <c r="F25" i="2"/>
  <c r="Q25" i="2"/>
  <c r="Q30" i="2"/>
  <c r="Z24" i="2"/>
  <c r="Z29" i="2"/>
  <c r="Z20" i="2"/>
  <c r="Z25" i="2" s="1"/>
  <c r="H30" i="2"/>
  <c r="Y24" i="2"/>
  <c r="Y26" i="2"/>
  <c r="O30" i="2"/>
  <c r="G30" i="2"/>
  <c r="P30" i="2"/>
  <c r="W20" i="2"/>
  <c r="W25" i="2" s="1"/>
  <c r="I30" i="2"/>
  <c r="AC4" i="2"/>
  <c r="AB7" i="2"/>
  <c r="AB20" i="2" s="1"/>
  <c r="Y29" i="2"/>
  <c r="X26" i="2"/>
  <c r="X24" i="2"/>
  <c r="M22" i="2"/>
  <c r="M25" i="2"/>
  <c r="I22" i="2"/>
  <c r="I25" i="2"/>
  <c r="L22" i="2"/>
  <c r="L25" i="2"/>
  <c r="K22" i="2"/>
  <c r="K25" i="2"/>
  <c r="N22" i="2"/>
  <c r="N25" i="2"/>
  <c r="Q22" i="2"/>
  <c r="O22" i="2"/>
  <c r="O25" i="2"/>
  <c r="D22" i="2"/>
  <c r="D25" i="2"/>
  <c r="G22" i="2"/>
  <c r="G25" i="2"/>
  <c r="J20" i="2"/>
  <c r="J30" i="2" s="1"/>
  <c r="J24" i="2"/>
  <c r="J26" i="2"/>
  <c r="P22" i="2"/>
  <c r="P31" i="2" s="1"/>
  <c r="P25" i="2"/>
  <c r="H22" i="2"/>
  <c r="H25" i="2"/>
  <c r="E22" i="2"/>
  <c r="E25" i="2"/>
  <c r="C22" i="2"/>
  <c r="C25" i="2"/>
  <c r="Y22" i="2" l="1"/>
  <c r="X20" i="2"/>
  <c r="L31" i="2"/>
  <c r="O31" i="2"/>
  <c r="I31" i="2"/>
  <c r="Q31" i="2"/>
  <c r="N30" i="2"/>
  <c r="M31" i="2"/>
  <c r="AC7" i="2"/>
  <c r="AC20" i="2" s="1"/>
  <c r="AD4" i="2"/>
  <c r="W22" i="2"/>
  <c r="G31" i="2"/>
  <c r="H31" i="2"/>
  <c r="K31" i="2"/>
  <c r="X25" i="2"/>
  <c r="J22" i="2"/>
  <c r="J25" i="2"/>
  <c r="AE4" i="2" l="1"/>
  <c r="AD7" i="2"/>
  <c r="AD20" i="2" s="1"/>
  <c r="N31" i="2"/>
  <c r="J31" i="2"/>
  <c r="X22" i="2"/>
  <c r="AE7" i="2" l="1"/>
  <c r="AE20" i="2" s="1"/>
  <c r="AF4" i="2"/>
  <c r="AG4" i="2" l="1"/>
  <c r="AF7" i="2"/>
  <c r="AF20" i="2" s="1"/>
  <c r="AH4" i="2" l="1"/>
  <c r="AG7" i="2"/>
  <c r="AG20" i="2" s="1"/>
  <c r="AI4" i="2" l="1"/>
  <c r="AH7" i="2"/>
  <c r="AH20" i="2" s="1"/>
  <c r="AJ4" i="2" l="1"/>
  <c r="AI7" i="2"/>
  <c r="AI20" i="2" s="1"/>
  <c r="AJ7" i="2" l="1"/>
  <c r="AJ20" i="2" s="1"/>
  <c r="AK4" i="2"/>
  <c r="AL4" i="2" l="1"/>
  <c r="AL7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AA35" i="2" s="1"/>
  <c r="AA37" i="2" s="1"/>
  <c r="AA38" i="2" s="1"/>
  <c r="AA40" i="2" s="1"/>
  <c r="AK7" i="2"/>
  <c r="AK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<sst xmlns="http://schemas.openxmlformats.org/spreadsheetml/2006/main" count="119" uniqueCount="109">
  <si>
    <t>Price</t>
  </si>
  <si>
    <t>Chevron</t>
  </si>
  <si>
    <t>S/O</t>
  </si>
  <si>
    <t>MC</t>
  </si>
  <si>
    <t>Cash</t>
  </si>
  <si>
    <t>Debt</t>
  </si>
  <si>
    <t>EV</t>
  </si>
  <si>
    <t>Q321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</si>
  <si>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</si>
  <si>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</si>
  <si>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</si>
  <si>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</si>
  <si>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</si>
  <si>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</si>
  <si>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</si>
  <si>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</si>
  <si>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</si>
  <si>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</si>
  <si>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</si>
  <si>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</si>
  <si>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</si>
  <si>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</si>
  <si>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Q421</t>
  </si>
  <si>
    <t>Sales &amp; Other Operating Revenues</t>
  </si>
  <si>
    <t>Income from Equity</t>
  </si>
  <si>
    <t>Other Income</t>
  </si>
  <si>
    <t>Revenue</t>
  </si>
  <si>
    <t>Purchased Crude</t>
  </si>
  <si>
    <t>Operating expense</t>
  </si>
  <si>
    <t>sG&amp;A</t>
  </si>
  <si>
    <t>Exploration Expense</t>
  </si>
  <si>
    <t>Depreciation</t>
  </si>
  <si>
    <t>Taxes</t>
  </si>
  <si>
    <t>Interest &amp; Debt</t>
  </si>
  <si>
    <t>Operating Costs</t>
  </si>
  <si>
    <t>Operating Income</t>
  </si>
  <si>
    <t>Income Attributed to noncontrolling Interest</t>
  </si>
  <si>
    <t>Net Income</t>
  </si>
  <si>
    <t>EPS</t>
  </si>
  <si>
    <t>A/R</t>
  </si>
  <si>
    <t>Crude Oil Products</t>
  </si>
  <si>
    <t>Chemicals</t>
  </si>
  <si>
    <t>Materials &amp; Supplies</t>
  </si>
  <si>
    <t>LT Receivables</t>
  </si>
  <si>
    <t>PP&amp;E</t>
  </si>
  <si>
    <t>Deferred Charges</t>
  </si>
  <si>
    <t>Intangibles</t>
  </si>
  <si>
    <t>Assets for Sale</t>
  </si>
  <si>
    <t>Total Assets</t>
  </si>
  <si>
    <t>Prepaid Expenses</t>
  </si>
  <si>
    <t>A/P</t>
  </si>
  <si>
    <t>Accured Liabilities</t>
  </si>
  <si>
    <t>Federal Income Tax</t>
  </si>
  <si>
    <t>Other Tax payables</t>
  </si>
  <si>
    <t>Noncurrent Obligations</t>
  </si>
  <si>
    <t>Deferred Income tax</t>
  </si>
  <si>
    <t>Employee benefit Plan</t>
  </si>
  <si>
    <t>Total Liabilities</t>
  </si>
  <si>
    <t>Net Cash</t>
  </si>
  <si>
    <t>Gross Margin %</t>
  </si>
  <si>
    <t>Income Margin %</t>
  </si>
  <si>
    <t>Tax Rate</t>
  </si>
  <si>
    <t>Revenue Y/Y</t>
  </si>
  <si>
    <t>Income Y/Y</t>
  </si>
  <si>
    <t>EPS Y/Y</t>
  </si>
  <si>
    <t>Name</t>
  </si>
  <si>
    <t>Description</t>
  </si>
  <si>
    <t>% Of revenue</t>
  </si>
  <si>
    <t>Notes</t>
  </si>
  <si>
    <t>Upstream</t>
  </si>
  <si>
    <t>Downstream</t>
  </si>
  <si>
    <t>Marketing and Refining Oil</t>
  </si>
  <si>
    <t>All Other</t>
  </si>
  <si>
    <t>Cash management and debt Financing</t>
  </si>
  <si>
    <t xml:space="preserve">Exploring, developing, and producing Crude Oil </t>
  </si>
  <si>
    <t>maturity</t>
  </si>
  <si>
    <t>discount</t>
  </si>
  <si>
    <t>npv</t>
  </si>
  <si>
    <t>net cash</t>
  </si>
  <si>
    <t>net</t>
  </si>
  <si>
    <t>per share</t>
  </si>
  <si>
    <t>current</t>
  </si>
  <si>
    <t>CVX Bonds</t>
  </si>
  <si>
    <t>L + S/E</t>
  </si>
  <si>
    <t>intercept</t>
  </si>
  <si>
    <t>slope</t>
  </si>
  <si>
    <t>SST</t>
  </si>
  <si>
    <t>SSE</t>
  </si>
  <si>
    <t>SSR</t>
  </si>
  <si>
    <t/>
  </si>
  <si>
    <t>T Stat[B1 = 50]</t>
  </si>
  <si>
    <t>T Stat[B1 = 1]</t>
  </si>
  <si>
    <t>Test of Correlation</t>
  </si>
  <si>
    <t>T Stat[B1 = 0]</t>
  </si>
  <si>
    <t>T Value[5%]</t>
  </si>
  <si>
    <t>Test of Varience</t>
  </si>
  <si>
    <t>F Stat</t>
  </si>
  <si>
    <t>F Value[5%]</t>
  </si>
  <si>
    <t>corrleation</t>
  </si>
  <si>
    <t>covarience</t>
  </si>
  <si>
    <t>^sb1</t>
  </si>
  <si>
    <t>Se</t>
  </si>
  <si>
    <t>stnd dev</t>
  </si>
  <si>
    <t>varience</t>
  </si>
  <si>
    <t>average</t>
  </si>
  <si>
    <t>n</t>
  </si>
  <si>
    <t>^Yi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</si>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</sst>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9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2" fontId="2" fillId="0" borderId="0" xfId="0" applyNumberFormat="1" applyFont="1"/>
    <xf numFmtId="4" fontId="2" fillId="0" borderId="0" xfId="0" applyNumberFormat="1" applyFont="1"/>
    <xf numFmtId="9" fontId="2" fillId="0" borderId="0" xfId="0" applyNumberFormat="1" applyFont="1"/>
    <xf numFmtId="164" fontId="2" fillId="0" borderId="0" xfId="0" applyNumberFormat="1" applyFont="1"/>
    <xf numFmtId="0" fontId="1" fillId="0" borderId="0" xfId="1"/>
    <xf numFmtId="4" fontId="1" fillId="0" borderId="0" xfId="1" applyNumberFormat="1"/>
    <xf numFmtId="3" fontId="1" fillId="0" borderId="0" xfId="1" applyNumberFormat="1"/>
    <xf numFmtId="0" fontId="1" fillId="0" borderId="0" xfId="1" quotePrefix="1"/>
    <xf numFmtId="2" fontId="1" fillId="0" borderId="0" xfId="1" applyNumberFormat="1"/>
  </cellXfs>
  <cellStyles count="2">
    <cellStyle name="Normal" xfId="0" builtinId="0"/>
    <cellStyle name="Normal 2" xfId="1" xr:uid="{14052C1C-D12E-4102-BD82-E09DD5434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'Purchased Crude vs Exploration'!$C$57:$C$66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'Purchased Crude vs Exploration'!$D$57:$D$66</c:f>
              <c:numCache>
                <c:formatCode>General</c:formatCode>
                <c:ptCount val="10"/>
                <c:pt idx="0">
                  <c:v>15891.010992134437</c:v>
                </c:pt>
                <c:pt idx="1">
                  <c:v>15916.482317751848</c:v>
                </c:pt>
                <c:pt idx="2">
                  <c:v>15941.953643369259</c:v>
                </c:pt>
                <c:pt idx="3">
                  <c:v>15967.42496898667</c:v>
                </c:pt>
                <c:pt idx="4">
                  <c:v>15992.896294604081</c:v>
                </c:pt>
                <c:pt idx="5">
                  <c:v>16018.367620221492</c:v>
                </c:pt>
                <c:pt idx="6">
                  <c:v>16043.838945838903</c:v>
                </c:pt>
                <c:pt idx="7">
                  <c:v>16069.310271456314</c:v>
                </c:pt>
                <c:pt idx="8">
                  <c:v>16094.781597073727</c:v>
                </c:pt>
                <c:pt idx="9">
                  <c:v>16120.252922691137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7-47C0-823A-25CA73B1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9162096"/>
        <c:axId val="1899162512"/>
      </c:line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'Purchased Crude vs Exploration'!$D$12:$D$26</c:f>
              <c:numCache>
                <c:formatCode>#,##0</c:formatCode>
                <c:ptCount val="15"/>
                <c:pt idx="0">
                  <c:v>158</c:v>
                </c:pt>
                <c:pt idx="1">
                  <c:v>177</c:v>
                </c:pt>
                <c:pt idx="2">
                  <c:v>250</c:v>
                </c:pt>
                <c:pt idx="3">
                  <c:v>189</c:v>
                </c:pt>
                <c:pt idx="4">
                  <c:v>141</c:v>
                </c:pt>
                <c:pt idx="5">
                  <c:v>168</c:v>
                </c:pt>
                <c:pt idx="6">
                  <c:v>272</c:v>
                </c:pt>
                <c:pt idx="7">
                  <c:v>158</c:v>
                </c:pt>
                <c:pt idx="8">
                  <c:v>117</c:v>
                </c:pt>
                <c:pt idx="9">
                  <c:v>86</c:v>
                </c:pt>
                <c:pt idx="10">
                  <c:v>113</c:v>
                </c:pt>
                <c:pt idx="11">
                  <c:v>158</c:v>
                </c:pt>
              </c:numCache>
            </c:numRef>
          </c:xVal>
          <c:yVal>
            <c:numRef>
              <c:f>'Purchased Crude vs Exploration'!$C$12:$C$26</c:f>
              <c:numCache>
                <c:formatCode>#,##0</c:formatCode>
                <c:ptCount val="15"/>
                <c:pt idx="0">
                  <c:v>21233</c:v>
                </c:pt>
                <c:pt idx="1">
                  <c:v>24744</c:v>
                </c:pt>
                <c:pt idx="2">
                  <c:v>23920</c:v>
                </c:pt>
                <c:pt idx="3">
                  <c:v>19703</c:v>
                </c:pt>
                <c:pt idx="4">
                  <c:v>20835</c:v>
                </c:pt>
                <c:pt idx="5">
                  <c:v>19882</c:v>
                </c:pt>
                <c:pt idx="6">
                  <c:v>19693</c:v>
                </c:pt>
                <c:pt idx="7">
                  <c:v>15509</c:v>
                </c:pt>
                <c:pt idx="8">
                  <c:v>13448</c:v>
                </c:pt>
                <c:pt idx="9">
                  <c:v>17568</c:v>
                </c:pt>
                <c:pt idx="10">
                  <c:v>20629</c:v>
                </c:pt>
                <c:pt idx="11">
                  <c:v>23834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97-47C0-823A-25CA73B1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168752"/>
        <c:axId val="1899170832"/>
      </c:scatterChart>
      <c:catAx>
        <c:axId val="189916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162512"/>
        <c:crosses val="autoZero"/>
        <c:auto val="1"/>
        <c:lblAlgn val="ctr"/>
        <c:lblOffset val="100"/>
        <c:noMultiLvlLbl val="0"/>
      </c:catAx>
      <c:valAx>
        <c:axId val="18991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162096"/>
        <c:crosses val="autoZero"/>
        <c:crossBetween val="between"/>
      </c:valAx>
      <c:valAx>
        <c:axId val="1899170832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168752"/>
        <c:crosses val="max"/>
        <c:crossBetween val="midCat"/>
      </c:valAx>
      <c:valAx>
        <c:axId val="1899168752"/>
        <c:scaling>
          <c:orientation val="minMax"/>
        </c:scaling>
        <c:delete val="0"/>
        <c:axPos val="t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17083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8467</xdr:colOff>
      <xdr:row>1</xdr:row>
      <xdr:rowOff>177800</xdr:rowOff>
    </xdr:from>
    <xdr:to>
      <xdr:col>19</xdr:col>
      <xdr:colOff>8467</xdr:colOff>
      <xdr:row>36</xdr:row>
      <xdr:rowOff>67733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25756AF-150C-410F-B78E-7F8E5F9F0CD3}"/>
            </a:ext>
          </a:extLst>
        </xdr:cNvPr>
        <xdr:cNvCxnSpPr/>
      </xdr:nvCxnSpPr>
      <xdr:spPr>
        <a:xfrm>
          <a:off x="17830800" y="364067"/>
          <a:ext cx="0" cy="64092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22</xdr:row>
      <xdr:rowOff>166687</xdr:rowOff>
    </xdr:from>
    <xdr:to>
      <xdr:col>12</xdr:col>
      <xdr:colOff>342900</xdr:colOff>
      <xdr:row>38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0F090-46BB-4DC8-B83A-52BB5E27B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FF0E-EE6A-4072-A9A4-4A8E3C9D4D1B}">
  <dimension ref="B3:O9"/>
  <sheetViews>
    <sheetView zoomScale="115" zoomScaleNormal="115" workbookViewId="0">
      <selection activeCell="G10" sqref="G10"/>
    </sheetView>
  </sheetViews>
  <sheetFormatPr defaultRowHeight="15" x14ac:dyDescent="0.25"/>
  <cols>
    <col min="2" max="2" width="12.28515625" bestFit="1" customWidth="1"/>
    <col min="3" max="3" width="43" bestFit="1" customWidth="1"/>
    <col min="4" max="4" width="13.140625" bestFit="1" customWidth="1"/>
  </cols>
  <sheetData>
    <row r="3" spans="2:15" x14ac:dyDescent="0.25">
      <c r="B3" t="s">
        <v>65</v>
      </c>
      <c r="C3" t="s">
        <v>66</v>
      </c>
      <c r="D3" t="s">
        <v>67</v>
      </c>
      <c r="E3" t="s">
        <v>68</v>
      </c>
      <c r="M3" t="s">
        <v>1</v>
      </c>
    </row>
    <row r="4" spans="2:15" x14ac:dyDescent="0.25">
      <c r="B4" t="s">
        <v>69</v>
      </c>
      <c r="C4" t="s">
        <v>74</v>
      </c>
      <c r="D4" s="4">
        <f>5135/6111</f>
        <v>0.84028800523645886</v>
      </c>
      <c r="M4" t="s">
        <v>0</v>
      </c>
      <c r="N4" s="3">
        <v>114.51</v>
      </c>
    </row>
    <row r="5" spans="2:15" x14ac:dyDescent="0.25">
      <c r="B5" t="s">
        <v>70</v>
      </c>
      <c r="C5" t="s">
        <v>71</v>
      </c>
      <c r="D5" s="4">
        <f>1310/6111</f>
        <v>0.21436753395516281</v>
      </c>
      <c r="M5" t="s">
        <v>2</v>
      </c>
      <c r="N5" s="1">
        <v>1927</v>
      </c>
      <c r="O5" s="2" t="s">
        <v>7</v>
      </c>
    </row>
    <row r="6" spans="2:15" x14ac:dyDescent="0.25">
      <c r="B6" t="s">
        <v>72</v>
      </c>
      <c r="C6" t="s">
        <v>73</v>
      </c>
      <c r="D6" s="4">
        <f>+-334/6111</f>
        <v>-5.4655539191621666E-2</v>
      </c>
      <c r="M6" t="s">
        <v>3</v>
      </c>
      <c r="N6" s="1">
        <f>+N4*N5</f>
        <v>220660.77000000002</v>
      </c>
      <c r="O6" s="2"/>
    </row>
    <row r="7" spans="2:15" x14ac:dyDescent="0.25">
      <c r="D7" s="4"/>
      <c r="M7" t="s">
        <v>4</v>
      </c>
      <c r="N7">
        <f>16567+41097</f>
        <v>57664</v>
      </c>
      <c r="O7" s="2" t="s">
        <v>7</v>
      </c>
    </row>
    <row r="8" spans="2:15" x14ac:dyDescent="0.25">
      <c r="M8" t="s">
        <v>5</v>
      </c>
      <c r="N8">
        <f>291+37056</f>
        <v>37347</v>
      </c>
      <c r="O8" s="2" t="s">
        <v>7</v>
      </c>
    </row>
    <row r="9" spans="2:15" x14ac:dyDescent="0.25">
      <c r="M9" t="s">
        <v>6</v>
      </c>
      <c r="N9" s="1">
        <f>+N6-N7+N8</f>
        <v>200343.77000000002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DAA7-49E7-4372-9DC4-7A9604D556FD}">
  <dimension ref="B2:BR62"/>
  <sheetViews>
    <sheetView zoomScaleNormal="1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26" sqref="G26"/>
    </sheetView>
  </sheetViews>
  <sheetFormatPr defaultRowHeight="14.25" x14ac:dyDescent="0.2"/>
  <cols>
    <col min="1" max="1" width="9.140625" style="5"/>
    <col min="2" max="2" width="29.85546875" style="5" bestFit="1" customWidth="1"/>
    <col min="3" max="11" width="9.28515625" style="5" bestFit="1" customWidth="1"/>
    <col min="12" max="12" width="8.42578125" style="5" bestFit="1" customWidth="1"/>
    <col min="13" max="16" width="9.28515625" style="5" bestFit="1" customWidth="1"/>
    <col min="17" max="17" width="10.5703125" style="5" bestFit="1" customWidth="1"/>
    <col min="18" max="20" width="9.140625" style="5"/>
    <col min="21" max="26" width="9.28515625" style="5" bestFit="1" customWidth="1"/>
    <col min="27" max="27" width="12" style="5" bestFit="1" customWidth="1"/>
    <col min="28" max="70" width="9.28515625" style="5" bestFit="1" customWidth="1"/>
    <col min="71" max="16384" width="9.140625" style="5"/>
  </cols>
  <sheetData>
    <row r="2" spans="2:38" x14ac:dyDescent="0.2"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7</v>
      </c>
      <c r="R2" s="5" t="s">
        <v>22</v>
      </c>
      <c r="U2" s="5">
        <v>2016</v>
      </c>
      <c r="V2" s="5">
        <f>+U2+1</f>
        <v>2017</v>
      </c>
      <c r="W2" s="5">
        <f t="shared" ref="W2:AL2" si="0">+V2+1</f>
        <v>2018</v>
      </c>
      <c r="X2" s="5">
        <f t="shared" si="0"/>
        <v>2019</v>
      </c>
      <c r="Y2" s="5">
        <f t="shared" si="0"/>
        <v>2020</v>
      </c>
      <c r="Z2" s="5">
        <f t="shared" si="0"/>
        <v>2021</v>
      </c>
      <c r="AA2" s="5">
        <f t="shared" si="0"/>
        <v>2022</v>
      </c>
      <c r="AB2" s="5">
        <f t="shared" si="0"/>
        <v>2023</v>
      </c>
      <c r="AC2" s="5">
        <f t="shared" si="0"/>
        <v>2024</v>
      </c>
      <c r="AD2" s="5">
        <f t="shared" si="0"/>
        <v>2025</v>
      </c>
      <c r="AE2" s="5">
        <f t="shared" si="0"/>
        <v>2026</v>
      </c>
      <c r="AF2" s="5">
        <f t="shared" si="0"/>
        <v>2027</v>
      </c>
      <c r="AG2" s="5">
        <f t="shared" si="0"/>
        <v>2028</v>
      </c>
      <c r="AH2" s="5">
        <f t="shared" si="0"/>
        <v>2029</v>
      </c>
      <c r="AI2" s="5">
        <f t="shared" si="0"/>
        <v>2030</v>
      </c>
      <c r="AJ2" s="5">
        <f t="shared" si="0"/>
        <v>2031</v>
      </c>
      <c r="AK2" s="5">
        <f t="shared" si="0"/>
        <v>2032</v>
      </c>
      <c r="AL2" s="5">
        <f t="shared" si="0"/>
        <v>2033</v>
      </c>
    </row>
    <row r="4" spans="2:38" x14ac:dyDescent="0.2">
      <c r="B4" s="5" t="s">
        <v>23</v>
      </c>
      <c r="C4" s="6">
        <v>35968</v>
      </c>
      <c r="D4" s="6">
        <v>40491</v>
      </c>
      <c r="E4" s="6">
        <v>42105</v>
      </c>
      <c r="F4" s="6">
        <v>40338</v>
      </c>
      <c r="G4" s="6">
        <v>34189</v>
      </c>
      <c r="H4" s="6">
        <v>36323</v>
      </c>
      <c r="I4" s="6">
        <v>34779</v>
      </c>
      <c r="J4" s="6">
        <f>139865-SUM(G4:I4)</f>
        <v>34574</v>
      </c>
      <c r="K4" s="6">
        <v>29705</v>
      </c>
      <c r="L4" s="6">
        <v>15926</v>
      </c>
      <c r="M4" s="6">
        <v>23997</v>
      </c>
      <c r="N4" s="6">
        <f>94471-SUM(K4:M4)</f>
        <v>24843</v>
      </c>
      <c r="O4" s="6">
        <v>31076</v>
      </c>
      <c r="P4" s="6">
        <v>36117</v>
      </c>
      <c r="Q4" s="6">
        <v>42552</v>
      </c>
      <c r="W4" s="6">
        <f>+SUM(C4:F4)</f>
        <v>158902</v>
      </c>
      <c r="X4" s="6">
        <f t="shared" ref="X4:X19" si="1">+SUM(G4:J4)</f>
        <v>139865</v>
      </c>
      <c r="Y4" s="6">
        <f>+SUM(K4:N4)</f>
        <v>94471</v>
      </c>
      <c r="Z4" s="6">
        <f>+Y4*1.06</f>
        <v>100139.26000000001</v>
      </c>
      <c r="AA4" s="6">
        <f t="shared" ref="AA4:AL4" si="2">+Z4*1.06</f>
        <v>106147.61560000002</v>
      </c>
      <c r="AB4" s="6">
        <f t="shared" si="2"/>
        <v>112516.47253600003</v>
      </c>
      <c r="AC4" s="6">
        <f t="shared" si="2"/>
        <v>119267.46088816004</v>
      </c>
      <c r="AD4" s="6">
        <f t="shared" si="2"/>
        <v>126423.50854144966</v>
      </c>
      <c r="AE4" s="6">
        <f t="shared" si="2"/>
        <v>134008.91905393664</v>
      </c>
      <c r="AF4" s="6">
        <f t="shared" si="2"/>
        <v>142049.45419717283</v>
      </c>
      <c r="AG4" s="6">
        <f t="shared" si="2"/>
        <v>150572.42144900322</v>
      </c>
      <c r="AH4" s="6">
        <f t="shared" si="2"/>
        <v>159606.76673594341</v>
      </c>
      <c r="AI4" s="6">
        <f t="shared" si="2"/>
        <v>169183.17274010004</v>
      </c>
      <c r="AJ4" s="6">
        <f t="shared" si="2"/>
        <v>179334.16310450606</v>
      </c>
      <c r="AK4" s="6">
        <f t="shared" si="2"/>
        <v>190094.21289077643</v>
      </c>
      <c r="AL4" s="6">
        <f t="shared" si="2"/>
        <v>201499.86566422303</v>
      </c>
    </row>
    <row r="5" spans="2:38" x14ac:dyDescent="0.2">
      <c r="B5" s="5" t="s">
        <v>24</v>
      </c>
      <c r="C5" s="6">
        <v>1637</v>
      </c>
      <c r="D5" s="6">
        <v>1493</v>
      </c>
      <c r="E5" s="6">
        <v>1555</v>
      </c>
      <c r="F5" s="6">
        <v>1642</v>
      </c>
      <c r="G5" s="6">
        <v>1062</v>
      </c>
      <c r="H5" s="6">
        <v>1196</v>
      </c>
      <c r="I5" s="6">
        <v>1172</v>
      </c>
      <c r="J5" s="6">
        <f>3968-SUM(G5:I5)</f>
        <v>538</v>
      </c>
      <c r="K5" s="6">
        <v>965</v>
      </c>
      <c r="L5" s="6">
        <v>-2515</v>
      </c>
      <c r="M5" s="6">
        <v>510</v>
      </c>
      <c r="N5" s="6">
        <f>-472-SUM(K5:M5)</f>
        <v>568</v>
      </c>
      <c r="O5" s="6">
        <v>911</v>
      </c>
      <c r="P5" s="6">
        <v>1442</v>
      </c>
      <c r="Q5" s="6">
        <v>1647</v>
      </c>
      <c r="W5" s="6">
        <f t="shared" ref="W5:W19" si="3">+SUM(C5:F5)</f>
        <v>6327</v>
      </c>
      <c r="X5" s="6">
        <f t="shared" si="1"/>
        <v>3968</v>
      </c>
      <c r="Y5" s="6">
        <f t="shared" ref="Y5:Y19" si="4">+SUM(K5:N5)</f>
        <v>-472</v>
      </c>
      <c r="Z5" s="6">
        <f>+Y5*0.94</f>
        <v>-443.67999999999995</v>
      </c>
      <c r="AA5" s="6">
        <f t="shared" ref="AA5:AL5" si="5">+Z5*0.94</f>
        <v>-417.05919999999992</v>
      </c>
      <c r="AB5" s="6">
        <f t="shared" si="5"/>
        <v>-392.03564799999992</v>
      </c>
      <c r="AC5" s="6">
        <f t="shared" si="5"/>
        <v>-368.51350911999992</v>
      </c>
      <c r="AD5" s="6">
        <f t="shared" si="5"/>
        <v>-346.40269857279992</v>
      </c>
      <c r="AE5" s="6">
        <f t="shared" si="5"/>
        <v>-325.61853665843188</v>
      </c>
      <c r="AF5" s="6">
        <f t="shared" si="5"/>
        <v>-306.08142445892594</v>
      </c>
      <c r="AG5" s="6">
        <f t="shared" si="5"/>
        <v>-287.71653899139034</v>
      </c>
      <c r="AH5" s="6">
        <f t="shared" si="5"/>
        <v>-270.45354665190689</v>
      </c>
      <c r="AI5" s="6">
        <f t="shared" si="5"/>
        <v>-254.22633385279246</v>
      </c>
      <c r="AJ5" s="6">
        <f t="shared" si="5"/>
        <v>-238.97275382162491</v>
      </c>
      <c r="AK5" s="6">
        <f t="shared" si="5"/>
        <v>-224.63438859232741</v>
      </c>
      <c r="AL5" s="6">
        <f t="shared" si="5"/>
        <v>-211.15632527678775</v>
      </c>
    </row>
    <row r="6" spans="2:38" x14ac:dyDescent="0.2">
      <c r="B6" s="5" t="s">
        <v>25</v>
      </c>
      <c r="C6" s="6">
        <v>159</v>
      </c>
      <c r="D6" s="6">
        <v>252</v>
      </c>
      <c r="E6" s="6">
        <v>327</v>
      </c>
      <c r="F6" s="6">
        <v>372</v>
      </c>
      <c r="G6" s="6">
        <v>-51</v>
      </c>
      <c r="H6" s="6">
        <v>1331</v>
      </c>
      <c r="I6" s="6">
        <v>165</v>
      </c>
      <c r="J6" s="6">
        <f>2683-SUM(G6:I6)</f>
        <v>1238</v>
      </c>
      <c r="K6" s="6">
        <v>831</v>
      </c>
      <c r="L6" s="6">
        <v>83</v>
      </c>
      <c r="M6" s="6">
        <v>-56</v>
      </c>
      <c r="N6" s="6">
        <f>693-SUM(K6:M6)</f>
        <v>-165</v>
      </c>
      <c r="O6" s="6">
        <v>42</v>
      </c>
      <c r="P6" s="6">
        <v>38</v>
      </c>
      <c r="Q6" s="6">
        <v>511</v>
      </c>
      <c r="W6" s="6">
        <f t="shared" si="3"/>
        <v>1110</v>
      </c>
      <c r="X6" s="6">
        <f t="shared" si="1"/>
        <v>2683</v>
      </c>
      <c r="Y6" s="6">
        <f t="shared" si="4"/>
        <v>693</v>
      </c>
      <c r="Z6" s="6">
        <f>+Y6*0.95</f>
        <v>658.35</v>
      </c>
      <c r="AA6" s="6">
        <f t="shared" ref="AA6:AL6" si="6">+Z6*0.95</f>
        <v>625.4325</v>
      </c>
      <c r="AB6" s="6">
        <f t="shared" si="6"/>
        <v>594.16087500000003</v>
      </c>
      <c r="AC6" s="6">
        <f t="shared" si="6"/>
        <v>564.45283125000003</v>
      </c>
      <c r="AD6" s="6">
        <f t="shared" si="6"/>
        <v>536.2301896875</v>
      </c>
      <c r="AE6" s="6">
        <f t="shared" si="6"/>
        <v>509.41868020312495</v>
      </c>
      <c r="AF6" s="6">
        <f t="shared" si="6"/>
        <v>483.94774619296868</v>
      </c>
      <c r="AG6" s="6">
        <f t="shared" si="6"/>
        <v>459.75035888332025</v>
      </c>
      <c r="AH6" s="6">
        <f t="shared" si="6"/>
        <v>436.76284093915422</v>
      </c>
      <c r="AI6" s="6">
        <f t="shared" si="6"/>
        <v>414.92469889219649</v>
      </c>
      <c r="AJ6" s="6">
        <f t="shared" si="6"/>
        <v>394.17846394758664</v>
      </c>
      <c r="AK6" s="6">
        <f t="shared" si="6"/>
        <v>374.46954075020727</v>
      </c>
      <c r="AL6" s="6">
        <f t="shared" si="6"/>
        <v>355.74606371269687</v>
      </c>
    </row>
    <row r="7" spans="2:38" s="7" customFormat="1" ht="15" x14ac:dyDescent="0.25">
      <c r="B7" s="7" t="s">
        <v>26</v>
      </c>
      <c r="C7" s="8">
        <f>+SUM(C4:C6)</f>
        <v>37764</v>
      </c>
      <c r="D7" s="8">
        <f>+SUM(D4:D6)</f>
        <v>42236</v>
      </c>
      <c r="E7" s="8">
        <f>+SUM(E4:E6)</f>
        <v>43987</v>
      </c>
      <c r="F7" s="8">
        <f t="shared" ref="F7" si="7">+SUM(F4:F6)</f>
        <v>42352</v>
      </c>
      <c r="G7" s="8">
        <f t="shared" ref="G7:Q7" si="8">+SUM(G4:G6)</f>
        <v>35200</v>
      </c>
      <c r="H7" s="8">
        <f t="shared" si="8"/>
        <v>38850</v>
      </c>
      <c r="I7" s="8">
        <f t="shared" si="8"/>
        <v>36116</v>
      </c>
      <c r="J7" s="8">
        <f t="shared" si="8"/>
        <v>36350</v>
      </c>
      <c r="K7" s="8">
        <f t="shared" si="8"/>
        <v>31501</v>
      </c>
      <c r="L7" s="8">
        <f t="shared" si="8"/>
        <v>13494</v>
      </c>
      <c r="M7" s="8">
        <f t="shared" si="8"/>
        <v>24451</v>
      </c>
      <c r="N7" s="8">
        <f t="shared" si="8"/>
        <v>25246</v>
      </c>
      <c r="O7" s="8">
        <f t="shared" si="8"/>
        <v>32029</v>
      </c>
      <c r="P7" s="8">
        <f t="shared" si="8"/>
        <v>37597</v>
      </c>
      <c r="Q7" s="8">
        <f t="shared" si="8"/>
        <v>44710</v>
      </c>
      <c r="W7" s="8">
        <f t="shared" si="3"/>
        <v>166339</v>
      </c>
      <c r="X7" s="8">
        <f t="shared" si="1"/>
        <v>146516</v>
      </c>
      <c r="Y7" s="8">
        <f t="shared" si="4"/>
        <v>94692</v>
      </c>
      <c r="Z7" s="8">
        <f>+SUM(Z4:Z6)</f>
        <v>100353.93000000002</v>
      </c>
      <c r="AA7" s="8">
        <f t="shared" ref="AA7:AL7" si="9">+SUM(AA4:AA6)</f>
        <v>106355.98890000001</v>
      </c>
      <c r="AB7" s="8">
        <f t="shared" si="9"/>
        <v>112718.59776300003</v>
      </c>
      <c r="AC7" s="8">
        <f t="shared" si="9"/>
        <v>119463.40021029004</v>
      </c>
      <c r="AD7" s="8">
        <f t="shared" si="9"/>
        <v>126613.33603256436</v>
      </c>
      <c r="AE7" s="8">
        <f t="shared" si="9"/>
        <v>134192.71919748132</v>
      </c>
      <c r="AF7" s="8">
        <f t="shared" si="9"/>
        <v>142227.3205189069</v>
      </c>
      <c r="AG7" s="8">
        <f t="shared" si="9"/>
        <v>150744.45526889514</v>
      </c>
      <c r="AH7" s="8">
        <f t="shared" si="9"/>
        <v>159773.07603023067</v>
      </c>
      <c r="AI7" s="8">
        <f t="shared" si="9"/>
        <v>169343.87110513943</v>
      </c>
      <c r="AJ7" s="8">
        <f t="shared" si="9"/>
        <v>179489.36881463201</v>
      </c>
      <c r="AK7" s="8">
        <f t="shared" si="9"/>
        <v>190244.0480429343</v>
      </c>
      <c r="AL7" s="8">
        <f t="shared" si="9"/>
        <v>201644.45540265893</v>
      </c>
    </row>
    <row r="8" spans="2:38" x14ac:dyDescent="0.2">
      <c r="B8" s="5" t="s">
        <v>27</v>
      </c>
      <c r="C8" s="6">
        <v>21233</v>
      </c>
      <c r="D8" s="6">
        <v>24744</v>
      </c>
      <c r="E8" s="6">
        <v>24681</v>
      </c>
      <c r="F8" s="6">
        <v>23920</v>
      </c>
      <c r="G8" s="6">
        <v>19703</v>
      </c>
      <c r="H8" s="6">
        <v>20835</v>
      </c>
      <c r="I8" s="6">
        <v>19882</v>
      </c>
      <c r="J8" s="6">
        <f>80113-SUM(G8:I8)</f>
        <v>19693</v>
      </c>
      <c r="K8" s="6">
        <v>15509</v>
      </c>
      <c r="L8" s="6">
        <v>8144</v>
      </c>
      <c r="M8" s="6">
        <v>13448</v>
      </c>
      <c r="N8" s="6">
        <f>50488-SUM(K8:M8)</f>
        <v>13387</v>
      </c>
      <c r="O8" s="6">
        <v>17568</v>
      </c>
      <c r="P8" s="6">
        <v>20629</v>
      </c>
      <c r="Q8" s="6">
        <v>23834</v>
      </c>
      <c r="W8" s="6">
        <f t="shared" si="3"/>
        <v>94578</v>
      </c>
      <c r="X8" s="6">
        <f t="shared" si="1"/>
        <v>80113</v>
      </c>
      <c r="Y8" s="6">
        <f t="shared" si="4"/>
        <v>50488</v>
      </c>
    </row>
    <row r="9" spans="2:38" x14ac:dyDescent="0.2">
      <c r="B9" s="5" t="s">
        <v>28</v>
      </c>
      <c r="C9" s="6">
        <v>4701</v>
      </c>
      <c r="D9" s="6">
        <v>5213</v>
      </c>
      <c r="E9" s="6">
        <v>4985</v>
      </c>
      <c r="F9" s="6">
        <v>5645</v>
      </c>
      <c r="G9" s="6">
        <v>4886</v>
      </c>
      <c r="H9" s="6">
        <v>5187</v>
      </c>
      <c r="I9" s="6">
        <v>5325</v>
      </c>
      <c r="J9" s="6">
        <f>21385-SUM(G9:I9)</f>
        <v>5987</v>
      </c>
      <c r="K9" s="6">
        <v>5291</v>
      </c>
      <c r="L9" s="6">
        <v>5530</v>
      </c>
      <c r="M9" s="6">
        <v>4604</v>
      </c>
      <c r="N9" s="6">
        <f>20323-SUM(K9:M9)</f>
        <v>4898</v>
      </c>
      <c r="O9" s="6">
        <v>4967</v>
      </c>
      <c r="P9" s="6">
        <v>4899</v>
      </c>
      <c r="Q9" s="6">
        <v>5353</v>
      </c>
      <c r="W9" s="6">
        <f t="shared" si="3"/>
        <v>20544</v>
      </c>
      <c r="X9" s="6">
        <f t="shared" si="1"/>
        <v>21385</v>
      </c>
      <c r="Y9" s="6">
        <f t="shared" si="4"/>
        <v>20323</v>
      </c>
    </row>
    <row r="10" spans="2:38" x14ac:dyDescent="0.2">
      <c r="B10" s="5" t="s">
        <v>29</v>
      </c>
      <c r="C10" s="6">
        <v>723</v>
      </c>
      <c r="D10" s="6">
        <v>1017</v>
      </c>
      <c r="E10" s="6">
        <v>1018</v>
      </c>
      <c r="F10" s="6">
        <v>1080</v>
      </c>
      <c r="G10" s="6">
        <v>984</v>
      </c>
      <c r="H10" s="6">
        <v>1076</v>
      </c>
      <c r="I10" s="6">
        <v>954</v>
      </c>
      <c r="J10" s="6">
        <f>4143-SUM(G10:I10)</f>
        <v>1129</v>
      </c>
      <c r="K10" s="6">
        <v>683</v>
      </c>
      <c r="L10" s="6">
        <v>1569</v>
      </c>
      <c r="M10" s="6">
        <v>832</v>
      </c>
      <c r="N10" s="6">
        <f>4213-SUM(K10:M10)</f>
        <v>1129</v>
      </c>
      <c r="O10" s="6">
        <v>990</v>
      </c>
      <c r="P10" s="6">
        <v>1096</v>
      </c>
      <c r="Q10" s="6">
        <v>657</v>
      </c>
      <c r="W10" s="6">
        <f t="shared" si="3"/>
        <v>3838</v>
      </c>
      <c r="X10" s="6">
        <f t="shared" si="1"/>
        <v>4143</v>
      </c>
      <c r="Y10" s="6">
        <f t="shared" si="4"/>
        <v>4213</v>
      </c>
    </row>
    <row r="11" spans="2:38" x14ac:dyDescent="0.2">
      <c r="B11" s="5" t="s">
        <v>30</v>
      </c>
      <c r="C11" s="6">
        <v>158</v>
      </c>
      <c r="D11" s="6">
        <v>177</v>
      </c>
      <c r="E11" s="6">
        <v>625</v>
      </c>
      <c r="F11" s="6">
        <v>250</v>
      </c>
      <c r="G11" s="6">
        <v>189</v>
      </c>
      <c r="H11" s="6">
        <v>141</v>
      </c>
      <c r="I11" s="6">
        <v>168</v>
      </c>
      <c r="J11" s="6">
        <f>770-SUM(G11:I11)</f>
        <v>272</v>
      </c>
      <c r="K11" s="6">
        <v>158</v>
      </c>
      <c r="L11" s="6">
        <v>895</v>
      </c>
      <c r="M11" s="6">
        <v>117</v>
      </c>
      <c r="N11" s="6">
        <f>1537-SUM(K11:M11)</f>
        <v>367</v>
      </c>
      <c r="O11" s="6">
        <v>86</v>
      </c>
      <c r="P11" s="6">
        <v>113</v>
      </c>
      <c r="Q11" s="6">
        <v>158</v>
      </c>
      <c r="W11" s="6">
        <f t="shared" si="3"/>
        <v>1210</v>
      </c>
      <c r="X11" s="6">
        <f t="shared" si="1"/>
        <v>770</v>
      </c>
      <c r="Y11" s="6">
        <f t="shared" si="4"/>
        <v>1537</v>
      </c>
    </row>
    <row r="12" spans="2:38" x14ac:dyDescent="0.2">
      <c r="B12" s="5" t="s">
        <v>31</v>
      </c>
      <c r="C12" s="6">
        <v>4289</v>
      </c>
      <c r="D12" s="6">
        <v>4498</v>
      </c>
      <c r="E12" s="6">
        <v>5380</v>
      </c>
      <c r="F12" s="6">
        <v>5252</v>
      </c>
      <c r="G12" s="6">
        <v>4094</v>
      </c>
      <c r="H12" s="6">
        <v>4334</v>
      </c>
      <c r="I12" s="6">
        <v>4361</v>
      </c>
      <c r="J12" s="6">
        <f>29218-SUM(G12:I12)</f>
        <v>16429</v>
      </c>
      <c r="K12" s="6">
        <v>4288</v>
      </c>
      <c r="L12" s="6">
        <v>6717</v>
      </c>
      <c r="M12" s="6">
        <v>4017</v>
      </c>
      <c r="N12" s="6">
        <f>19508-SUM(K12:M12)</f>
        <v>4486</v>
      </c>
      <c r="O12" s="6">
        <v>4286</v>
      </c>
      <c r="P12" s="6">
        <v>4522</v>
      </c>
      <c r="Q12" s="6">
        <v>4304</v>
      </c>
      <c r="W12" s="6">
        <f t="shared" si="3"/>
        <v>19419</v>
      </c>
      <c r="X12" s="6">
        <f t="shared" si="1"/>
        <v>29218</v>
      </c>
      <c r="Y12" s="6">
        <f t="shared" si="4"/>
        <v>19508</v>
      </c>
    </row>
    <row r="13" spans="2:38" x14ac:dyDescent="0.2">
      <c r="B13" s="5" t="s">
        <v>32</v>
      </c>
      <c r="C13" s="6">
        <v>1344</v>
      </c>
      <c r="D13" s="6">
        <v>1363</v>
      </c>
      <c r="E13" s="6">
        <v>1259</v>
      </c>
      <c r="F13" s="6">
        <v>901</v>
      </c>
      <c r="G13" s="6">
        <v>1061</v>
      </c>
      <c r="H13" s="6">
        <v>1047</v>
      </c>
      <c r="I13" s="6">
        <v>1059</v>
      </c>
      <c r="J13" s="6">
        <f>4136-SUM(G13:I13)</f>
        <v>969</v>
      </c>
      <c r="K13" s="6">
        <v>1167</v>
      </c>
      <c r="L13" s="6">
        <v>965</v>
      </c>
      <c r="M13" s="6">
        <v>1091</v>
      </c>
      <c r="N13" s="6">
        <f>4499-SUM(K13:M13)</f>
        <v>1276</v>
      </c>
      <c r="O13" s="6">
        <v>1420</v>
      </c>
      <c r="P13" s="6">
        <v>1566</v>
      </c>
      <c r="Q13" s="6">
        <v>2075</v>
      </c>
      <c r="W13" s="6">
        <f t="shared" si="3"/>
        <v>4867</v>
      </c>
      <c r="X13" s="6">
        <f t="shared" si="1"/>
        <v>4136</v>
      </c>
      <c r="Y13" s="6">
        <f t="shared" si="4"/>
        <v>4499</v>
      </c>
    </row>
    <row r="14" spans="2:38" x14ac:dyDescent="0.2">
      <c r="B14" s="5" t="s">
        <v>33</v>
      </c>
      <c r="C14" s="6">
        <v>159</v>
      </c>
      <c r="D14" s="6">
        <v>217</v>
      </c>
      <c r="E14" s="6">
        <v>182</v>
      </c>
      <c r="F14" s="6">
        <v>190</v>
      </c>
      <c r="G14" s="6">
        <v>225</v>
      </c>
      <c r="H14" s="6">
        <v>198</v>
      </c>
      <c r="I14" s="6">
        <v>197</v>
      </c>
      <c r="J14" s="6">
        <f>798-SUM(G14:I14)</f>
        <v>178</v>
      </c>
      <c r="K14" s="6">
        <v>162</v>
      </c>
      <c r="L14" s="6">
        <v>172</v>
      </c>
      <c r="M14" s="6">
        <v>164</v>
      </c>
      <c r="N14" s="6">
        <f>697-SUM(K14:M14)</f>
        <v>199</v>
      </c>
      <c r="O14" s="6">
        <v>198</v>
      </c>
      <c r="P14" s="6">
        <v>185</v>
      </c>
      <c r="Q14" s="6">
        <v>174</v>
      </c>
      <c r="W14" s="6">
        <f t="shared" si="3"/>
        <v>748</v>
      </c>
      <c r="X14" s="6">
        <f t="shared" si="1"/>
        <v>798</v>
      </c>
      <c r="Y14" s="6">
        <f t="shared" si="4"/>
        <v>697</v>
      </c>
    </row>
    <row r="15" spans="2:38" x14ac:dyDescent="0.2">
      <c r="B15" s="5" t="s">
        <v>25</v>
      </c>
      <c r="C15" s="6">
        <v>84</v>
      </c>
      <c r="D15" s="6">
        <v>102</v>
      </c>
      <c r="E15" s="6">
        <v>158</v>
      </c>
      <c r="F15" s="6">
        <v>216</v>
      </c>
      <c r="G15" s="6">
        <v>101</v>
      </c>
      <c r="H15" s="6">
        <v>97</v>
      </c>
      <c r="I15" s="6">
        <v>121</v>
      </c>
      <c r="J15" s="6">
        <f>417-SUM(G15:I15)</f>
        <v>98</v>
      </c>
      <c r="K15" s="6">
        <v>98</v>
      </c>
      <c r="L15" s="6">
        <v>99</v>
      </c>
      <c r="M15" s="6">
        <v>222</v>
      </c>
      <c r="N15" s="6">
        <f>880-SUM(K15:M15)</f>
        <v>461</v>
      </c>
      <c r="O15" s="6">
        <v>337</v>
      </c>
      <c r="P15" s="6">
        <v>165</v>
      </c>
      <c r="Q15" s="6">
        <v>100</v>
      </c>
      <c r="W15" s="6">
        <f t="shared" si="3"/>
        <v>560</v>
      </c>
      <c r="X15" s="6">
        <f t="shared" si="1"/>
        <v>417</v>
      </c>
      <c r="Y15" s="6">
        <f t="shared" si="4"/>
        <v>880</v>
      </c>
    </row>
    <row r="16" spans="2:38" x14ac:dyDescent="0.2">
      <c r="B16" s="5" t="s">
        <v>34</v>
      </c>
      <c r="C16" s="6">
        <f>+SUM(C8:C15)</f>
        <v>32691</v>
      </c>
      <c r="D16" s="6">
        <f>+SUM(D8:D15)</f>
        <v>37331</v>
      </c>
      <c r="E16" s="6">
        <f>+SUM(E8:E15)</f>
        <v>38288</v>
      </c>
      <c r="F16" s="6">
        <f t="shared" ref="F16" si="10">+SUM(F8:F15)</f>
        <v>37454</v>
      </c>
      <c r="G16" s="6">
        <f t="shared" ref="G16:Q16" si="11">+SUM(G8:G15)</f>
        <v>31243</v>
      </c>
      <c r="H16" s="6">
        <f t="shared" si="11"/>
        <v>32915</v>
      </c>
      <c r="I16" s="6">
        <f t="shared" si="11"/>
        <v>32067</v>
      </c>
      <c r="J16" s="6">
        <f t="shared" si="11"/>
        <v>44755</v>
      </c>
      <c r="K16" s="6">
        <f t="shared" si="11"/>
        <v>27356</v>
      </c>
      <c r="L16" s="6">
        <f t="shared" si="11"/>
        <v>24091</v>
      </c>
      <c r="M16" s="6">
        <f t="shared" si="11"/>
        <v>24495</v>
      </c>
      <c r="N16" s="6">
        <f t="shared" si="11"/>
        <v>26203</v>
      </c>
      <c r="O16" s="6">
        <f t="shared" si="11"/>
        <v>29852</v>
      </c>
      <c r="P16" s="6">
        <f t="shared" si="11"/>
        <v>33175</v>
      </c>
      <c r="Q16" s="6">
        <f t="shared" si="11"/>
        <v>36655</v>
      </c>
      <c r="W16" s="6">
        <f t="shared" si="3"/>
        <v>145764</v>
      </c>
      <c r="X16" s="6">
        <f t="shared" si="1"/>
        <v>140980</v>
      </c>
      <c r="Y16" s="6">
        <f t="shared" si="4"/>
        <v>102145</v>
      </c>
    </row>
    <row r="17" spans="2:70" x14ac:dyDescent="0.2">
      <c r="B17" s="5" t="s">
        <v>35</v>
      </c>
      <c r="C17" s="6">
        <f>+C7-C16</f>
        <v>5073</v>
      </c>
      <c r="D17" s="6">
        <f>+D7-D16</f>
        <v>4905</v>
      </c>
      <c r="E17" s="6">
        <f>+E7-E16</f>
        <v>5699</v>
      </c>
      <c r="F17" s="6">
        <f t="shared" ref="F17" si="12">+F7-F16</f>
        <v>4898</v>
      </c>
      <c r="G17" s="6">
        <f t="shared" ref="G17:Q17" si="13">+G7-G16</f>
        <v>3957</v>
      </c>
      <c r="H17" s="6">
        <f t="shared" si="13"/>
        <v>5935</v>
      </c>
      <c r="I17" s="6">
        <f t="shared" si="13"/>
        <v>4049</v>
      </c>
      <c r="J17" s="6">
        <f t="shared" si="13"/>
        <v>-8405</v>
      </c>
      <c r="K17" s="6">
        <f t="shared" si="13"/>
        <v>4145</v>
      </c>
      <c r="L17" s="6">
        <f t="shared" si="13"/>
        <v>-10597</v>
      </c>
      <c r="M17" s="6">
        <f t="shared" si="13"/>
        <v>-44</v>
      </c>
      <c r="N17" s="6">
        <f t="shared" si="13"/>
        <v>-957</v>
      </c>
      <c r="O17" s="6">
        <f t="shared" si="13"/>
        <v>2177</v>
      </c>
      <c r="P17" s="6">
        <f t="shared" si="13"/>
        <v>4422</v>
      </c>
      <c r="Q17" s="6">
        <f t="shared" si="13"/>
        <v>8055</v>
      </c>
      <c r="W17" s="6">
        <f t="shared" si="3"/>
        <v>20575</v>
      </c>
      <c r="X17" s="6">
        <f t="shared" si="1"/>
        <v>5536</v>
      </c>
      <c r="Y17" s="6">
        <f t="shared" si="4"/>
        <v>-7453</v>
      </c>
    </row>
    <row r="18" spans="2:70" x14ac:dyDescent="0.2">
      <c r="B18" s="5" t="s">
        <v>32</v>
      </c>
      <c r="C18" s="6">
        <v>1414</v>
      </c>
      <c r="D18" s="6">
        <v>1483</v>
      </c>
      <c r="E18" s="6">
        <v>1643</v>
      </c>
      <c r="F18" s="6">
        <v>1175</v>
      </c>
      <c r="G18" s="6">
        <v>1315</v>
      </c>
      <c r="H18" s="6">
        <v>1645</v>
      </c>
      <c r="I18" s="6">
        <v>1469</v>
      </c>
      <c r="J18" s="6">
        <f>2691-SUM(G18:I18)</f>
        <v>-1738</v>
      </c>
      <c r="K18" s="6">
        <v>564</v>
      </c>
      <c r="L18" s="6">
        <v>-2320</v>
      </c>
      <c r="M18" s="6">
        <v>165</v>
      </c>
      <c r="N18" s="6">
        <f>+-1892-SUM(K18:M18)</f>
        <v>-301</v>
      </c>
      <c r="O18" s="6">
        <v>779</v>
      </c>
      <c r="P18" s="6">
        <v>1328</v>
      </c>
      <c r="Q18" s="6">
        <v>1940</v>
      </c>
      <c r="W18" s="6">
        <f t="shared" si="3"/>
        <v>5715</v>
      </c>
      <c r="X18" s="6">
        <f t="shared" si="1"/>
        <v>2691</v>
      </c>
      <c r="Y18" s="6">
        <f t="shared" si="4"/>
        <v>-1892</v>
      </c>
    </row>
    <row r="19" spans="2:70" x14ac:dyDescent="0.2">
      <c r="B19" s="5" t="s">
        <v>36</v>
      </c>
      <c r="C19" s="6">
        <v>21</v>
      </c>
      <c r="D19" s="6">
        <v>13</v>
      </c>
      <c r="E19" s="6">
        <v>9</v>
      </c>
      <c r="F19" s="6">
        <v>-7</v>
      </c>
      <c r="G19" s="6">
        <v>-7</v>
      </c>
      <c r="H19" s="6">
        <v>-15</v>
      </c>
      <c r="I19" s="6">
        <v>0</v>
      </c>
      <c r="J19" s="6">
        <f>+-79+G19+H19+E19</f>
        <v>-92</v>
      </c>
      <c r="K19" s="6">
        <v>-18</v>
      </c>
      <c r="L19" s="6">
        <v>-7</v>
      </c>
      <c r="M19" s="6">
        <v>-2</v>
      </c>
      <c r="N19" s="6">
        <f>+-18+K19+L19+M19</f>
        <v>-45</v>
      </c>
      <c r="O19" s="6">
        <v>21</v>
      </c>
      <c r="P19" s="6">
        <v>12</v>
      </c>
      <c r="Q19" s="6">
        <v>4</v>
      </c>
      <c r="W19" s="6">
        <f t="shared" si="3"/>
        <v>36</v>
      </c>
      <c r="X19" s="6">
        <f t="shared" si="1"/>
        <v>-114</v>
      </c>
      <c r="Y19" s="6">
        <f t="shared" si="4"/>
        <v>-72</v>
      </c>
    </row>
    <row r="20" spans="2:70" s="7" customFormat="1" ht="15" x14ac:dyDescent="0.25">
      <c r="B20" s="7" t="s">
        <v>37</v>
      </c>
      <c r="C20" s="8">
        <f>+C17-C18-C19</f>
        <v>3638</v>
      </c>
      <c r="D20" s="8">
        <f>+D17-D18-D19</f>
        <v>3409</v>
      </c>
      <c r="E20" s="8">
        <f>+E17-E18-E19</f>
        <v>4047</v>
      </c>
      <c r="F20" s="8">
        <f t="shared" ref="F20" si="14">+F17-F18-F19</f>
        <v>3730</v>
      </c>
      <c r="G20" s="8">
        <f t="shared" ref="G20:Q20" si="15">+G17-G18-G19</f>
        <v>2649</v>
      </c>
      <c r="H20" s="8">
        <f t="shared" si="15"/>
        <v>4305</v>
      </c>
      <c r="I20" s="8">
        <f t="shared" si="15"/>
        <v>2580</v>
      </c>
      <c r="J20" s="8">
        <f t="shared" si="15"/>
        <v>-6575</v>
      </c>
      <c r="K20" s="8">
        <f t="shared" si="15"/>
        <v>3599</v>
      </c>
      <c r="L20" s="8">
        <f t="shared" si="15"/>
        <v>-8270</v>
      </c>
      <c r="M20" s="8">
        <f t="shared" si="15"/>
        <v>-207</v>
      </c>
      <c r="N20" s="8">
        <f t="shared" si="15"/>
        <v>-611</v>
      </c>
      <c r="O20" s="8">
        <f t="shared" si="15"/>
        <v>1377</v>
      </c>
      <c r="P20" s="8">
        <f t="shared" si="15"/>
        <v>3082</v>
      </c>
      <c r="Q20" s="8">
        <f t="shared" si="15"/>
        <v>6111</v>
      </c>
      <c r="W20" s="8">
        <f>+SUM(C20:F20)</f>
        <v>14824</v>
      </c>
      <c r="X20" s="8">
        <f>+SUM(G20:J20)</f>
        <v>2959</v>
      </c>
      <c r="Y20" s="8">
        <f>+SUM(K20:N20)</f>
        <v>-5489</v>
      </c>
      <c r="Z20" s="8">
        <f>+Z7*0.09</f>
        <v>9031.8537000000015</v>
      </c>
      <c r="AA20" s="8">
        <f t="shared" ref="AA20:AL20" si="16">+AA7*0.09</f>
        <v>9572.039001000001</v>
      </c>
      <c r="AB20" s="8">
        <f t="shared" si="16"/>
        <v>10144.673798670003</v>
      </c>
      <c r="AC20" s="8">
        <f t="shared" si="16"/>
        <v>10751.706018926103</v>
      </c>
      <c r="AD20" s="8">
        <f t="shared" si="16"/>
        <v>11395.200242930792</v>
      </c>
      <c r="AE20" s="8">
        <f t="shared" si="16"/>
        <v>12077.344727773318</v>
      </c>
      <c r="AF20" s="8">
        <f t="shared" si="16"/>
        <v>12800.45884670162</v>
      </c>
      <c r="AG20" s="8">
        <f t="shared" si="16"/>
        <v>13567.000974200562</v>
      </c>
      <c r="AH20" s="8">
        <f t="shared" si="16"/>
        <v>14379.57684272076</v>
      </c>
      <c r="AI20" s="8">
        <f t="shared" si="16"/>
        <v>15240.948399462548</v>
      </c>
      <c r="AJ20" s="8">
        <f t="shared" si="16"/>
        <v>16154.04319331688</v>
      </c>
      <c r="AK20" s="8">
        <f t="shared" si="16"/>
        <v>17121.964323864086</v>
      </c>
      <c r="AL20" s="8">
        <f t="shared" si="16"/>
        <v>18148.000986239302</v>
      </c>
      <c r="AM20" s="8">
        <f>+AL20*0.98</f>
        <v>17785.040966514516</v>
      </c>
      <c r="AN20" s="8">
        <f t="shared" ref="AN20:BR20" si="17">+AM20*0.98</f>
        <v>17429.340147184226</v>
      </c>
      <c r="AO20" s="8">
        <f t="shared" si="17"/>
        <v>17080.75334424054</v>
      </c>
      <c r="AP20" s="8">
        <f t="shared" si="17"/>
        <v>16739.138277355731</v>
      </c>
      <c r="AQ20" s="8">
        <f t="shared" si="17"/>
        <v>16404.355511808615</v>
      </c>
      <c r="AR20" s="8">
        <f t="shared" si="17"/>
        <v>16076.268401572443</v>
      </c>
      <c r="AS20" s="8">
        <f t="shared" si="17"/>
        <v>15754.743033540994</v>
      </c>
      <c r="AT20" s="8">
        <f t="shared" si="17"/>
        <v>15439.648172870173</v>
      </c>
      <c r="AU20" s="8">
        <f t="shared" si="17"/>
        <v>15130.85520941277</v>
      </c>
      <c r="AV20" s="8">
        <f t="shared" si="17"/>
        <v>14828.238105224515</v>
      </c>
      <c r="AW20" s="8">
        <f t="shared" si="17"/>
        <v>14531.673343120025</v>
      </c>
      <c r="AX20" s="8">
        <f t="shared" si="17"/>
        <v>14241.039876257624</v>
      </c>
      <c r="AY20" s="8">
        <f t="shared" si="17"/>
        <v>13956.219078732471</v>
      </c>
      <c r="AZ20" s="8">
        <f t="shared" si="17"/>
        <v>13677.094697157821</v>
      </c>
      <c r="BA20" s="8">
        <f t="shared" si="17"/>
        <v>13403.552803214665</v>
      </c>
      <c r="BB20" s="8">
        <f t="shared" si="17"/>
        <v>13135.481747150372</v>
      </c>
      <c r="BC20" s="8">
        <f t="shared" si="17"/>
        <v>12872.772112207364</v>
      </c>
      <c r="BD20" s="8">
        <f t="shared" si="17"/>
        <v>12615.316669963217</v>
      </c>
      <c r="BE20" s="8">
        <f t="shared" si="17"/>
        <v>12363.010336563952</v>
      </c>
      <c r="BF20" s="8">
        <f t="shared" si="17"/>
        <v>12115.750129832672</v>
      </c>
      <c r="BG20" s="8">
        <f t="shared" si="17"/>
        <v>11873.435127236018</v>
      </c>
      <c r="BH20" s="8">
        <f t="shared" si="17"/>
        <v>11635.966424691298</v>
      </c>
      <c r="BI20" s="8">
        <f t="shared" si="17"/>
        <v>11403.247096197472</v>
      </c>
      <c r="BJ20" s="8">
        <f t="shared" si="17"/>
        <v>11175.182154273523</v>
      </c>
      <c r="BK20" s="8">
        <f t="shared" si="17"/>
        <v>10951.678511188053</v>
      </c>
      <c r="BL20" s="8">
        <f t="shared" si="17"/>
        <v>10732.644940964292</v>
      </c>
      <c r="BM20" s="8">
        <f t="shared" si="17"/>
        <v>10517.992042145006</v>
      </c>
      <c r="BN20" s="8">
        <f t="shared" si="17"/>
        <v>10307.632201302105</v>
      </c>
      <c r="BO20" s="8">
        <f t="shared" si="17"/>
        <v>10101.479557276063</v>
      </c>
      <c r="BP20" s="8">
        <f t="shared" si="17"/>
        <v>9899.4499661305417</v>
      </c>
      <c r="BQ20" s="8">
        <f t="shared" si="17"/>
        <v>9701.4609668079302</v>
      </c>
      <c r="BR20" s="8">
        <f t="shared" si="17"/>
        <v>9507.4317474717718</v>
      </c>
    </row>
    <row r="21" spans="2:70" x14ac:dyDescent="0.2">
      <c r="B21" s="5" t="s">
        <v>2</v>
      </c>
      <c r="C21" s="6">
        <v>1913</v>
      </c>
      <c r="D21" s="6">
        <v>1918</v>
      </c>
      <c r="E21" s="6">
        <v>1917</v>
      </c>
      <c r="F21" s="6">
        <v>1915</v>
      </c>
      <c r="G21" s="6">
        <v>1900</v>
      </c>
      <c r="H21" s="6">
        <v>1902</v>
      </c>
      <c r="I21" s="6">
        <v>1893</v>
      </c>
      <c r="J21" s="6">
        <v>1915</v>
      </c>
      <c r="K21" s="6">
        <v>1865</v>
      </c>
      <c r="L21" s="6">
        <v>1853</v>
      </c>
      <c r="M21" s="6">
        <v>1853</v>
      </c>
      <c r="N21" s="6">
        <v>1915</v>
      </c>
      <c r="O21" s="6">
        <v>1915</v>
      </c>
      <c r="P21" s="6">
        <v>1921</v>
      </c>
      <c r="Q21" s="6">
        <v>1921</v>
      </c>
      <c r="W21" s="6">
        <f>+AVERAGE(C21:F21)</f>
        <v>1915.75</v>
      </c>
      <c r="X21" s="6">
        <f>AVERAGE(G21:J21)</f>
        <v>1902.5</v>
      </c>
      <c r="Y21" s="6">
        <f>AVERAGE(F21:I21)</f>
        <v>1902.5</v>
      </c>
    </row>
    <row r="22" spans="2:70" x14ac:dyDescent="0.2">
      <c r="B22" s="5" t="s">
        <v>38</v>
      </c>
      <c r="C22" s="9">
        <f>+C20/C21</f>
        <v>1.9017250392054366</v>
      </c>
      <c r="D22" s="9">
        <f>+D20/D21</f>
        <v>1.7773722627737227</v>
      </c>
      <c r="E22" s="9">
        <f>+E20/E21</f>
        <v>2.1111111111111112</v>
      </c>
      <c r="F22" s="9">
        <v>1.95</v>
      </c>
      <c r="G22" s="9">
        <f t="shared" ref="G22:Q22" si="18">+G20/G21</f>
        <v>1.3942105263157896</v>
      </c>
      <c r="H22" s="9">
        <f t="shared" si="18"/>
        <v>2.2634069400630916</v>
      </c>
      <c r="I22" s="9">
        <f t="shared" si="18"/>
        <v>1.3629160063391441</v>
      </c>
      <c r="J22" s="9">
        <f t="shared" si="18"/>
        <v>-3.4334203655352482</v>
      </c>
      <c r="K22" s="9">
        <f t="shared" si="18"/>
        <v>1.9297587131367293</v>
      </c>
      <c r="L22" s="9">
        <f t="shared" si="18"/>
        <v>-4.4630329195898542</v>
      </c>
      <c r="M22" s="9">
        <f t="shared" si="18"/>
        <v>-0.1117107393416082</v>
      </c>
      <c r="N22" s="9">
        <f t="shared" si="18"/>
        <v>-0.31906005221932116</v>
      </c>
      <c r="O22" s="9">
        <f t="shared" si="18"/>
        <v>0.71906005221932112</v>
      </c>
      <c r="P22" s="9">
        <f t="shared" si="18"/>
        <v>1.6043727225403435</v>
      </c>
      <c r="Q22" s="9">
        <f t="shared" si="18"/>
        <v>3.1811556480999479</v>
      </c>
      <c r="W22" s="10">
        <f>+AVERAGE(C22:F22)</f>
        <v>1.9350521032725678</v>
      </c>
      <c r="X22" s="10">
        <f>AVERAGE(G22:J22)</f>
        <v>0.39677827679569422</v>
      </c>
      <c r="Y22" s="10">
        <f>AVERAGE(F22:I22)</f>
        <v>1.7426333681795065</v>
      </c>
    </row>
    <row r="24" spans="2:70" x14ac:dyDescent="0.2">
      <c r="B24" s="5" t="s">
        <v>59</v>
      </c>
      <c r="C24" s="11">
        <f>+C17/C7</f>
        <v>0.13433428662217986</v>
      </c>
      <c r="D24" s="11">
        <f t="shared" ref="D24:P24" si="19">+D17/D7</f>
        <v>0.11613315654891562</v>
      </c>
      <c r="E24" s="11">
        <f t="shared" si="19"/>
        <v>0.12956100666105894</v>
      </c>
      <c r="F24" s="11">
        <f t="shared" ref="F24" si="20">+F17/F7</f>
        <v>0.11564979221760484</v>
      </c>
      <c r="G24" s="11">
        <f t="shared" si="19"/>
        <v>0.11241477272727272</v>
      </c>
      <c r="H24" s="11">
        <f t="shared" si="19"/>
        <v>0.15276705276705277</v>
      </c>
      <c r="I24" s="11">
        <f t="shared" si="19"/>
        <v>0.11211097574482223</v>
      </c>
      <c r="J24" s="11">
        <f t="shared" si="19"/>
        <v>-0.23122420907840441</v>
      </c>
      <c r="K24" s="11">
        <f t="shared" si="19"/>
        <v>0.13158312434525887</v>
      </c>
      <c r="L24" s="11">
        <f t="shared" si="19"/>
        <v>-0.78531199051430267</v>
      </c>
      <c r="M24" s="11">
        <f t="shared" si="19"/>
        <v>-1.7995174021512412E-3</v>
      </c>
      <c r="N24" s="11">
        <f t="shared" si="19"/>
        <v>-3.7906995167551298E-2</v>
      </c>
      <c r="O24" s="11">
        <f t="shared" si="19"/>
        <v>6.7969652502419681E-2</v>
      </c>
      <c r="P24" s="11">
        <f t="shared" si="19"/>
        <v>0.11761576721546932</v>
      </c>
      <c r="Q24" s="11">
        <f>+Q17/Q7</f>
        <v>0.18016103779915008</v>
      </c>
      <c r="W24" s="11">
        <f>+W17/W7</f>
        <v>0.1236931807934399</v>
      </c>
      <c r="X24" s="11">
        <f t="shared" ref="X24" si="21">+X17/X7</f>
        <v>3.7784269294821045E-2</v>
      </c>
      <c r="Y24" s="11">
        <f>+Y17/Y7</f>
        <v>-7.8707810585899554E-2</v>
      </c>
      <c r="Z24" s="11">
        <f>+Z17/Z7</f>
        <v>0</v>
      </c>
    </row>
    <row r="25" spans="2:70" x14ac:dyDescent="0.2">
      <c r="B25" s="5" t="s">
        <v>60</v>
      </c>
      <c r="C25" s="11">
        <f>+C20/C7</f>
        <v>9.6335133990043426E-2</v>
      </c>
      <c r="D25" s="11">
        <f t="shared" ref="D25:P25" si="22">+D20/D7</f>
        <v>8.0713135713609246E-2</v>
      </c>
      <c r="E25" s="11">
        <f t="shared" si="22"/>
        <v>9.2004455861959211E-2</v>
      </c>
      <c r="F25" s="11">
        <f t="shared" ref="F25" si="23">+F20/F7</f>
        <v>8.8071401586701931E-2</v>
      </c>
      <c r="G25" s="11">
        <f t="shared" si="22"/>
        <v>7.5255681818181819E-2</v>
      </c>
      <c r="H25" s="11">
        <f t="shared" si="22"/>
        <v>0.11081081081081082</v>
      </c>
      <c r="I25" s="11">
        <f t="shared" si="22"/>
        <v>7.1436482445453545E-2</v>
      </c>
      <c r="J25" s="11">
        <f t="shared" si="22"/>
        <v>-0.18088033012379642</v>
      </c>
      <c r="K25" s="11">
        <f t="shared" si="22"/>
        <v>0.11425034125900765</v>
      </c>
      <c r="L25" s="11">
        <f t="shared" si="22"/>
        <v>-0.61286497702682674</v>
      </c>
      <c r="M25" s="11">
        <f t="shared" si="22"/>
        <v>-8.4659114146660667E-3</v>
      </c>
      <c r="N25" s="11">
        <f t="shared" si="22"/>
        <v>-2.4201853759011328E-2</v>
      </c>
      <c r="O25" s="11">
        <f t="shared" si="22"/>
        <v>4.2992288238783601E-2</v>
      </c>
      <c r="P25" s="11">
        <f t="shared" si="22"/>
        <v>8.197462563502407E-2</v>
      </c>
      <c r="Q25" s="11">
        <f>+Q20/Q7</f>
        <v>0.13668083202862893</v>
      </c>
      <c r="S25" s="11"/>
      <c r="W25" s="11">
        <f t="shared" ref="W25" si="24">+W20/W7</f>
        <v>8.9119208363642927E-2</v>
      </c>
      <c r="X25" s="11">
        <f t="shared" ref="X25:Y25" si="25">+X20/X7</f>
        <v>2.0195746539627073E-2</v>
      </c>
      <c r="Y25" s="11">
        <f t="shared" si="25"/>
        <v>-5.7966882101972712E-2</v>
      </c>
      <c r="Z25" s="11">
        <f>+Z20/Z7</f>
        <v>0.09</v>
      </c>
    </row>
    <row r="26" spans="2:70" x14ac:dyDescent="0.2">
      <c r="B26" s="5" t="s">
        <v>61</v>
      </c>
      <c r="C26" s="11">
        <f>+C18/C17</f>
        <v>0.27873053420067023</v>
      </c>
      <c r="D26" s="11">
        <f t="shared" ref="D26:E26" si="26">+D18/D17</f>
        <v>0.30234454638124364</v>
      </c>
      <c r="E26" s="11">
        <f t="shared" si="26"/>
        <v>0.28829619231444115</v>
      </c>
      <c r="F26" s="11">
        <f t="shared" ref="F26" si="27">+F18/F17</f>
        <v>0.23989383421804819</v>
      </c>
      <c r="G26" s="11">
        <f t="shared" ref="G26:Q26" si="28">+G18/G17</f>
        <v>0.33232246651503666</v>
      </c>
      <c r="H26" s="11">
        <f t="shared" si="28"/>
        <v>0.27716933445661329</v>
      </c>
      <c r="I26" s="11">
        <f t="shared" si="28"/>
        <v>0.36280563102000496</v>
      </c>
      <c r="J26" s="11">
        <f t="shared" si="28"/>
        <v>0.2067816775728733</v>
      </c>
      <c r="K26" s="11">
        <f t="shared" si="28"/>
        <v>0.13606755126658626</v>
      </c>
      <c r="L26" s="11">
        <f t="shared" si="28"/>
        <v>0.21892988581674058</v>
      </c>
      <c r="M26" s="11">
        <f>+M18/M17</f>
        <v>-3.75</v>
      </c>
      <c r="N26" s="11">
        <f t="shared" si="28"/>
        <v>0.31452455590386624</v>
      </c>
      <c r="O26" s="11">
        <f t="shared" si="28"/>
        <v>0.35783187873220029</v>
      </c>
      <c r="P26" s="11">
        <f t="shared" si="28"/>
        <v>0.30031659882406153</v>
      </c>
      <c r="Q26" s="11">
        <f t="shared" si="28"/>
        <v>0.24084419615145872</v>
      </c>
      <c r="W26" s="11">
        <f t="shared" ref="W26" si="29">+W18/W17</f>
        <v>0.27776427703523693</v>
      </c>
      <c r="X26" s="11">
        <f t="shared" ref="X26:Y26" si="30">+X18/X17</f>
        <v>0.48609104046242774</v>
      </c>
      <c r="Y26" s="11">
        <f t="shared" si="30"/>
        <v>0.25385750704414328</v>
      </c>
      <c r="Z26" s="11" t="e">
        <f>+Z18/Z17</f>
        <v>#DIV/0!</v>
      </c>
    </row>
    <row r="29" spans="2:70" x14ac:dyDescent="0.2">
      <c r="B29" s="5" t="s">
        <v>62</v>
      </c>
      <c r="D29" s="11"/>
      <c r="E29" s="11"/>
      <c r="F29" s="11"/>
      <c r="G29" s="11">
        <f t="shared" ref="G29:P29" si="31">(G7-C7)/ABS(C7)</f>
        <v>-6.7895350068848642E-2</v>
      </c>
      <c r="H29" s="11">
        <f t="shared" si="31"/>
        <v>-8.0168576569750918E-2</v>
      </c>
      <c r="I29" s="11">
        <f t="shared" si="31"/>
        <v>-0.17893923204583173</v>
      </c>
      <c r="J29" s="11">
        <f t="shared" si="31"/>
        <v>-0.14171703815640346</v>
      </c>
      <c r="K29" s="11">
        <f t="shared" si="31"/>
        <v>-0.10508522727272727</v>
      </c>
      <c r="L29" s="11">
        <f t="shared" si="31"/>
        <v>-0.65266409266409264</v>
      </c>
      <c r="M29" s="11">
        <f t="shared" si="31"/>
        <v>-0.32298704175434712</v>
      </c>
      <c r="N29" s="11">
        <f t="shared" si="31"/>
        <v>-0.30547455295735904</v>
      </c>
      <c r="O29" s="11">
        <f t="shared" si="31"/>
        <v>1.6761372654836355E-2</v>
      </c>
      <c r="P29" s="11">
        <f t="shared" si="31"/>
        <v>1.7862012746405811</v>
      </c>
      <c r="Q29" s="11">
        <f>(Q7-M7)/ABS(M7)</f>
        <v>0.82855506932231815</v>
      </c>
      <c r="S29" s="11"/>
      <c r="X29" s="11">
        <f>+X7/W7-1</f>
        <v>-0.11917229272750229</v>
      </c>
      <c r="Y29" s="11">
        <f>+Y7/X7-1</f>
        <v>-0.35370880995932186</v>
      </c>
      <c r="Z29" s="11">
        <f>+Z7/Y7-1</f>
        <v>5.9793118742871965E-2</v>
      </c>
    </row>
    <row r="30" spans="2:70" x14ac:dyDescent="0.2">
      <c r="B30" s="5" t="s">
        <v>63</v>
      </c>
      <c r="D30" s="11"/>
      <c r="E30" s="11"/>
      <c r="F30" s="11"/>
      <c r="G30" s="11">
        <f t="shared" ref="G30:P30" si="32">(G20-C20)/ABS(C20)</f>
        <v>-0.27185266630016491</v>
      </c>
      <c r="H30" s="11">
        <f t="shared" si="32"/>
        <v>0.26283367556468173</v>
      </c>
      <c r="I30" s="11">
        <f t="shared" si="32"/>
        <v>-0.36249073387694586</v>
      </c>
      <c r="J30" s="11">
        <f t="shared" si="32"/>
        <v>-2.7627345844504023</v>
      </c>
      <c r="K30" s="11">
        <f t="shared" si="32"/>
        <v>0.35862589656474142</v>
      </c>
      <c r="L30" s="11">
        <f t="shared" si="32"/>
        <v>-2.921022067363531</v>
      </c>
      <c r="M30" s="11">
        <f t="shared" si="32"/>
        <v>-1.0802325581395349</v>
      </c>
      <c r="N30" s="11">
        <f t="shared" si="32"/>
        <v>0.90707224334600756</v>
      </c>
      <c r="O30" s="11">
        <f t="shared" si="32"/>
        <v>-0.61739372047791052</v>
      </c>
      <c r="P30" s="11">
        <f t="shared" si="32"/>
        <v>1.3726723095525997</v>
      </c>
      <c r="Q30" s="11">
        <f>(Q20-M20)/ABS(M20)</f>
        <v>30.521739130434781</v>
      </c>
    </row>
    <row r="31" spans="2:70" x14ac:dyDescent="0.2">
      <c r="B31" s="5" t="s">
        <v>64</v>
      </c>
      <c r="D31" s="11"/>
      <c r="E31" s="11"/>
      <c r="F31" s="11"/>
      <c r="G31" s="11">
        <f>+G22-C22/ABS(G22)</f>
        <v>3.0194831906454223E-2</v>
      </c>
      <c r="H31" s="11">
        <f>+H22-D22/ABS(H22)</f>
        <v>1.478142818391635</v>
      </c>
      <c r="I31" s="11">
        <f t="shared" ref="I31:P31" si="33">+I22-E22/ABS(I22)</f>
        <v>-0.18605040192958988</v>
      </c>
      <c r="J31" s="11">
        <f t="shared" si="33"/>
        <v>-4.0013671335960845</v>
      </c>
      <c r="K31" s="11">
        <f t="shared" si="33"/>
        <v>1.2072795156988445</v>
      </c>
      <c r="L31" s="11">
        <f t="shared" si="33"/>
        <v>-4.9701783923754537</v>
      </c>
      <c r="M31" s="11">
        <f>+M22-I22/ABS(M22)</f>
        <v>-12.312113443430663</v>
      </c>
      <c r="N31" s="11">
        <f t="shared" si="33"/>
        <v>10.441987410955802</v>
      </c>
      <c r="O31" s="11">
        <f t="shared" si="33"/>
        <v>-1.9646639388168712</v>
      </c>
      <c r="P31" s="11">
        <f t="shared" si="33"/>
        <v>4.3861657914994971</v>
      </c>
      <c r="Q31" s="11">
        <f>+Q22-M22/ABS(Q22)</f>
        <v>3.2162720497159238</v>
      </c>
    </row>
    <row r="33" spans="2:32" x14ac:dyDescent="0.2">
      <c r="Z33" s="5" t="s">
        <v>75</v>
      </c>
      <c r="AA33" s="11">
        <v>0.02</v>
      </c>
      <c r="AE33" s="5" t="s">
        <v>82</v>
      </c>
      <c r="AF33" s="12">
        <v>2.3550000000000001E-2</v>
      </c>
    </row>
    <row r="34" spans="2:32" x14ac:dyDescent="0.2">
      <c r="Z34" s="5" t="s">
        <v>76</v>
      </c>
      <c r="AA34" s="11">
        <v>0.03</v>
      </c>
    </row>
    <row r="35" spans="2:32" x14ac:dyDescent="0.2">
      <c r="Z35" s="5" t="s">
        <v>77</v>
      </c>
      <c r="AA35" s="6">
        <f>+NPV(AA34,Z20:BR20)</f>
        <v>329026.30186996277</v>
      </c>
    </row>
    <row r="36" spans="2:32" x14ac:dyDescent="0.2">
      <c r="Z36" s="5" t="s">
        <v>78</v>
      </c>
      <c r="AA36" s="6">
        <v>9782</v>
      </c>
    </row>
    <row r="37" spans="2:32" x14ac:dyDescent="0.2">
      <c r="Z37" s="5" t="s">
        <v>79</v>
      </c>
      <c r="AA37" s="6">
        <f>+AA35+AA36</f>
        <v>338808.30186996277</v>
      </c>
    </row>
    <row r="38" spans="2:32" x14ac:dyDescent="0.2">
      <c r="Z38" s="5" t="s">
        <v>80</v>
      </c>
      <c r="AA38" s="9">
        <f>+AA37/1927</f>
        <v>175.82164082509743</v>
      </c>
    </row>
    <row r="39" spans="2:32" ht="15" x14ac:dyDescent="0.25">
      <c r="B39" s="7" t="s">
        <v>58</v>
      </c>
      <c r="C39" s="7"/>
      <c r="D39" s="7"/>
      <c r="E39" s="7"/>
      <c r="F39" s="7"/>
      <c r="G39" s="7"/>
      <c r="H39" s="7"/>
      <c r="I39" s="7"/>
      <c r="J39" s="7"/>
      <c r="K39" s="7"/>
      <c r="L39" s="8">
        <f>+L40-L53</f>
        <v>364</v>
      </c>
      <c r="M39" s="7"/>
      <c r="N39" s="7"/>
      <c r="O39" s="7"/>
      <c r="P39" s="8">
        <f>+P40-P53</f>
        <v>5094</v>
      </c>
      <c r="Q39" s="8">
        <f>+Q40-Q53</f>
        <v>9782</v>
      </c>
      <c r="Z39" s="5" t="s">
        <v>81</v>
      </c>
      <c r="AA39" s="5">
        <v>114.44</v>
      </c>
    </row>
    <row r="40" spans="2:32" ht="15" x14ac:dyDescent="0.25">
      <c r="B40" s="7" t="s">
        <v>4</v>
      </c>
      <c r="C40" s="7"/>
      <c r="D40" s="7"/>
      <c r="E40" s="7"/>
      <c r="F40" s="7"/>
      <c r="G40" s="7"/>
      <c r="H40" s="7"/>
      <c r="I40" s="7"/>
      <c r="J40" s="7"/>
      <c r="K40" s="7"/>
      <c r="L40" s="8">
        <f>5596+31+39052</f>
        <v>44679</v>
      </c>
      <c r="M40" s="7"/>
      <c r="N40" s="7"/>
      <c r="O40" s="7"/>
      <c r="P40" s="8">
        <f>7527+34+40551</f>
        <v>48112</v>
      </c>
      <c r="Q40" s="8">
        <f>5998+34+41097</f>
        <v>47129</v>
      </c>
      <c r="AA40" s="11">
        <f>+AA38/AA39-1</f>
        <v>0.53636526411304986</v>
      </c>
    </row>
    <row r="41" spans="2:32" x14ac:dyDescent="0.2">
      <c r="B41" s="5" t="s">
        <v>39</v>
      </c>
      <c r="L41" s="6">
        <v>11471</v>
      </c>
      <c r="P41" s="6">
        <v>15705</v>
      </c>
      <c r="Q41" s="6">
        <v>16567</v>
      </c>
    </row>
    <row r="42" spans="2:32" x14ac:dyDescent="0.2">
      <c r="B42" s="5" t="s">
        <v>40</v>
      </c>
      <c r="L42" s="6">
        <v>3576</v>
      </c>
      <c r="P42" s="6">
        <v>4093</v>
      </c>
      <c r="Q42" s="6">
        <v>3937</v>
      </c>
    </row>
    <row r="43" spans="2:32" x14ac:dyDescent="0.2">
      <c r="B43" s="5" t="s">
        <v>41</v>
      </c>
      <c r="L43" s="6">
        <v>457</v>
      </c>
      <c r="P43" s="6">
        <v>556</v>
      </c>
      <c r="Q43" s="6">
        <v>621</v>
      </c>
    </row>
    <row r="44" spans="2:32" x14ac:dyDescent="0.2">
      <c r="B44" s="5" t="s">
        <v>42</v>
      </c>
      <c r="L44" s="6">
        <v>1643</v>
      </c>
      <c r="P44" s="6">
        <v>1590</v>
      </c>
      <c r="Q44" s="6">
        <v>1571</v>
      </c>
    </row>
    <row r="45" spans="2:32" x14ac:dyDescent="0.2">
      <c r="B45" s="5" t="s">
        <v>49</v>
      </c>
      <c r="L45" s="6">
        <v>3304</v>
      </c>
      <c r="P45" s="6">
        <v>3468</v>
      </c>
      <c r="Q45" s="6">
        <v>3409</v>
      </c>
    </row>
    <row r="46" spans="2:32" x14ac:dyDescent="0.2">
      <c r="B46" s="5" t="s">
        <v>43</v>
      </c>
      <c r="L46" s="6">
        <v>589</v>
      </c>
      <c r="P46" s="6">
        <v>566</v>
      </c>
      <c r="Q46" s="6">
        <v>644</v>
      </c>
    </row>
    <row r="47" spans="2:32" x14ac:dyDescent="0.2">
      <c r="B47" s="5" t="s">
        <v>44</v>
      </c>
      <c r="L47" s="6">
        <v>39052</v>
      </c>
      <c r="P47" s="6">
        <v>151208</v>
      </c>
      <c r="Q47" s="6">
        <v>147945</v>
      </c>
    </row>
    <row r="48" spans="2:32" x14ac:dyDescent="0.2">
      <c r="B48" s="5" t="s">
        <v>45</v>
      </c>
      <c r="L48" s="6">
        <v>156618</v>
      </c>
      <c r="P48" s="6">
        <v>11744</v>
      </c>
      <c r="Q48" s="6">
        <v>11743</v>
      </c>
    </row>
    <row r="49" spans="2:17" x14ac:dyDescent="0.2">
      <c r="B49" s="5" t="s">
        <v>46</v>
      </c>
      <c r="L49" s="6">
        <v>4402</v>
      </c>
      <c r="P49" s="6">
        <v>4402</v>
      </c>
      <c r="Q49" s="6">
        <v>4402</v>
      </c>
    </row>
    <row r="50" spans="2:17" x14ac:dyDescent="0.2">
      <c r="B50" s="5" t="s">
        <v>47</v>
      </c>
      <c r="L50" s="6">
        <v>1362</v>
      </c>
      <c r="P50" s="6">
        <v>1362</v>
      </c>
      <c r="Q50" s="6">
        <v>1980</v>
      </c>
    </row>
    <row r="51" spans="2:17" x14ac:dyDescent="0.2">
      <c r="B51" s="5" t="s">
        <v>48</v>
      </c>
      <c r="L51" s="6">
        <f>SUM(L40:L50)</f>
        <v>267153</v>
      </c>
      <c r="P51" s="6">
        <f>SUM(P40:P50)</f>
        <v>242806</v>
      </c>
      <c r="Q51" s="6">
        <f>SUM(Q40:Q50)</f>
        <v>239948</v>
      </c>
    </row>
    <row r="52" spans="2:17" x14ac:dyDescent="0.2">
      <c r="Q52" s="6"/>
    </row>
    <row r="53" spans="2:17" ht="15" x14ac:dyDescent="0.25">
      <c r="B53" s="7" t="s">
        <v>5</v>
      </c>
      <c r="C53" s="7"/>
      <c r="D53" s="7"/>
      <c r="E53" s="7"/>
      <c r="F53" s="7"/>
      <c r="G53" s="7"/>
      <c r="H53" s="7"/>
      <c r="I53" s="7"/>
      <c r="J53" s="7"/>
      <c r="K53" s="7"/>
      <c r="L53" s="7">
        <f>1548+42767</f>
        <v>44315</v>
      </c>
      <c r="M53" s="7"/>
      <c r="N53" s="7"/>
      <c r="O53" s="7"/>
      <c r="P53" s="7">
        <f>3497+39521</f>
        <v>43018</v>
      </c>
      <c r="Q53" s="8">
        <f>291+37056</f>
        <v>37347</v>
      </c>
    </row>
    <row r="54" spans="2:17" x14ac:dyDescent="0.2">
      <c r="B54" s="5" t="s">
        <v>50</v>
      </c>
      <c r="L54" s="5">
        <v>10950</v>
      </c>
      <c r="P54" s="5">
        <v>14719</v>
      </c>
      <c r="Q54" s="6">
        <v>15308</v>
      </c>
    </row>
    <row r="55" spans="2:17" x14ac:dyDescent="0.2">
      <c r="B55" s="5" t="s">
        <v>51</v>
      </c>
      <c r="L55" s="5">
        <v>7812</v>
      </c>
      <c r="P55" s="5">
        <v>7680</v>
      </c>
      <c r="Q55" s="6">
        <v>6938</v>
      </c>
    </row>
    <row r="56" spans="2:17" x14ac:dyDescent="0.2">
      <c r="B56" s="5" t="s">
        <v>52</v>
      </c>
      <c r="L56" s="5">
        <v>921</v>
      </c>
      <c r="P56" s="5">
        <v>1212</v>
      </c>
      <c r="Q56" s="6">
        <v>1467</v>
      </c>
    </row>
    <row r="57" spans="2:17" x14ac:dyDescent="0.2">
      <c r="B57" s="5" t="s">
        <v>53</v>
      </c>
      <c r="L57" s="5">
        <v>952</v>
      </c>
      <c r="P57" s="5">
        <v>1039</v>
      </c>
      <c r="Q57" s="6">
        <v>1184</v>
      </c>
    </row>
    <row r="58" spans="2:17" x14ac:dyDescent="0.2">
      <c r="B58" s="5" t="s">
        <v>54</v>
      </c>
      <c r="L58" s="5">
        <v>20328</v>
      </c>
      <c r="P58" s="5">
        <v>20437</v>
      </c>
      <c r="Q58" s="6">
        <v>20298</v>
      </c>
    </row>
    <row r="59" spans="2:17" x14ac:dyDescent="0.2">
      <c r="B59" s="5" t="s">
        <v>55</v>
      </c>
      <c r="L59" s="5">
        <v>12569</v>
      </c>
      <c r="P59" s="5">
        <v>13140</v>
      </c>
      <c r="Q59" s="6">
        <v>13546</v>
      </c>
    </row>
    <row r="60" spans="2:17" x14ac:dyDescent="0.2">
      <c r="B60" s="5" t="s">
        <v>56</v>
      </c>
      <c r="L60" s="5">
        <v>9217</v>
      </c>
      <c r="P60" s="5">
        <v>7650</v>
      </c>
      <c r="Q60" s="6">
        <v>7138</v>
      </c>
    </row>
    <row r="61" spans="2:17" x14ac:dyDescent="0.2">
      <c r="B61" s="5" t="s">
        <v>57</v>
      </c>
      <c r="L61" s="6">
        <f>SUM(L53:L60)</f>
        <v>107064</v>
      </c>
      <c r="P61" s="6">
        <f>SUM(P53:P60)</f>
        <v>108895</v>
      </c>
      <c r="Q61" s="6">
        <f>SUM(Q53:Q60)</f>
        <v>103226</v>
      </c>
    </row>
    <row r="62" spans="2:17" s="6" customFormat="1" x14ac:dyDescent="0.2">
      <c r="B62" s="6" t="s">
        <v>83</v>
      </c>
      <c r="L62" s="6">
        <v>132726</v>
      </c>
      <c r="P62" s="6">
        <v>133911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2A2F-DA43-4A6F-A9D6-8E79CD97F2F7}">
  <dimension ref="B6:W66"/>
  <sheetViews>
    <sheetView tabSelected="1" topLeftCell="C19" zoomScaleNormal="100" workbookViewId="0">
      <selection activeCell="G46" sqref="G46"/>
    </sheetView>
  </sheetViews>
  <sheetFormatPr defaultRowHeight="14.25" x14ac:dyDescent="0.2"/>
  <cols>
    <col min="1" max="2" width="9.140625" style="13"/>
    <col min="3" max="4" width="12.42578125" style="13" bestFit="1" customWidth="1"/>
    <col min="5" max="8" width="9.140625" style="13"/>
    <col min="9" max="9" width="13.5703125" style="13" bestFit="1" customWidth="1"/>
    <col min="10" max="16384" width="9.140625" style="13"/>
  </cols>
  <sheetData>
    <row r="6" spans="3:23" x14ac:dyDescent="0.2">
      <c r="C6" s="13" t="s">
        <v>27</v>
      </c>
      <c r="D6" s="15">
        <v>21233</v>
      </c>
      <c r="E6" s="15">
        <v>24744</v>
      </c>
      <c r="F6" s="15">
        <v>23920</v>
      </c>
      <c r="G6" s="15">
        <v>19703</v>
      </c>
      <c r="H6" s="15">
        <v>20835</v>
      </c>
      <c r="I6" s="15">
        <v>19882</v>
      </c>
      <c r="J6" s="15">
        <f>80113-SUM(G6:I6)</f>
        <v>19693</v>
      </c>
      <c r="K6" s="15">
        <v>15509</v>
      </c>
      <c r="L6" s="15">
        <v>13448</v>
      </c>
      <c r="M6" s="15">
        <v>17568</v>
      </c>
      <c r="N6" s="15">
        <v>20629</v>
      </c>
      <c r="O6" s="15">
        <v>23834</v>
      </c>
      <c r="U6" s="15">
        <f>+SUM(D6:F6)</f>
        <v>69897</v>
      </c>
      <c r="V6" s="15">
        <f>+SUM(G6:J6)</f>
        <v>80113</v>
      </c>
      <c r="W6" s="15">
        <f>+SUM(K6:L6)</f>
        <v>28957</v>
      </c>
    </row>
    <row r="7" spans="3:23" x14ac:dyDescent="0.2">
      <c r="C7" s="13" t="s">
        <v>30</v>
      </c>
      <c r="D7" s="15">
        <v>158</v>
      </c>
      <c r="E7" s="15">
        <v>177</v>
      </c>
      <c r="F7" s="15">
        <v>250</v>
      </c>
      <c r="G7" s="15">
        <v>189</v>
      </c>
      <c r="H7" s="15">
        <v>141</v>
      </c>
      <c r="I7" s="15">
        <v>168</v>
      </c>
      <c r="J7" s="15">
        <f>770-SUM(G7:I7)</f>
        <v>272</v>
      </c>
      <c r="K7" s="15">
        <v>158</v>
      </c>
      <c r="L7" s="15">
        <v>117</v>
      </c>
      <c r="M7" s="15">
        <v>86</v>
      </c>
      <c r="N7" s="15">
        <v>113</v>
      </c>
      <c r="O7" s="15">
        <v>158</v>
      </c>
      <c r="U7" s="15">
        <f>+SUM(D7:F7)</f>
        <v>585</v>
      </c>
      <c r="V7" s="15">
        <f>+SUM(G7:J7)</f>
        <v>770</v>
      </c>
      <c r="W7" s="15">
        <f>+SUM(K7:L7)</f>
        <v>275</v>
      </c>
    </row>
    <row r="10" spans="3:23" x14ac:dyDescent="0.2">
      <c r="C10" s="13" t="s">
        <v>108</v>
      </c>
      <c r="D10" s="13" t="s">
        <v>107</v>
      </c>
      <c r="F10" s="13" t="s">
        <v>106</v>
      </c>
    </row>
    <row r="11" spans="3:23" x14ac:dyDescent="0.2">
      <c r="C11" s="15" t="str" cm="1">
        <f t="array" ref="C11:C23">+TRANSPOSE(C6:O6)</f>
        <v>Purchased Crude</v>
      </c>
      <c r="D11" s="15" t="str" cm="1">
        <f t="array" ref="D11:D23">+TRANSPOSE(C7:O7)</f>
        <v>Exploration Expense</v>
      </c>
    </row>
    <row r="12" spans="3:23" x14ac:dyDescent="0.2">
      <c r="C12" s="15">
        <v>21233</v>
      </c>
      <c r="D12" s="15">
        <v>158</v>
      </c>
      <c r="F12" s="13">
        <f>+$C$54+$C$53*D12</f>
        <v>19890.009114067969</v>
      </c>
      <c r="H12" s="15"/>
    </row>
    <row r="13" spans="3:23" x14ac:dyDescent="0.2">
      <c r="C13" s="15">
        <v>24744</v>
      </c>
      <c r="D13" s="15">
        <v>177</v>
      </c>
      <c r="F13" s="13">
        <f>+$C$54+$C$53*D13</f>
        <v>20373.964300798776</v>
      </c>
      <c r="H13" s="15"/>
    </row>
    <row r="14" spans="3:23" x14ac:dyDescent="0.2">
      <c r="C14" s="15">
        <v>23920</v>
      </c>
      <c r="D14" s="15">
        <v>250</v>
      </c>
      <c r="F14" s="13">
        <f>+$C$54+$C$53*D14</f>
        <v>22233.37107086978</v>
      </c>
      <c r="H14" s="15"/>
    </row>
    <row r="15" spans="3:23" x14ac:dyDescent="0.2">
      <c r="C15" s="15">
        <v>19703</v>
      </c>
      <c r="D15" s="15">
        <v>189</v>
      </c>
      <c r="F15" s="13">
        <f>+$C$54+$C$53*D15</f>
        <v>20679.620208207707</v>
      </c>
      <c r="H15" s="15"/>
    </row>
    <row r="16" spans="3:23" x14ac:dyDescent="0.2">
      <c r="C16" s="15">
        <v>20835</v>
      </c>
      <c r="D16" s="15">
        <v>141</v>
      </c>
      <c r="F16" s="13">
        <f>+$C$54+$C$53*D16</f>
        <v>19456.99657857198</v>
      </c>
      <c r="H16" s="15"/>
    </row>
    <row r="17" spans="2:8" x14ac:dyDescent="0.2">
      <c r="C17" s="15">
        <v>19882</v>
      </c>
      <c r="D17" s="15">
        <v>168</v>
      </c>
      <c r="F17" s="13">
        <f>+$C$54+$C$53*D17</f>
        <v>20144.722370242078</v>
      </c>
      <c r="H17" s="15"/>
    </row>
    <row r="18" spans="2:8" x14ac:dyDescent="0.2">
      <c r="C18" s="15">
        <v>19693</v>
      </c>
      <c r="D18" s="15">
        <v>272</v>
      </c>
      <c r="F18" s="13">
        <f>+$C$54+$C$53*D18</f>
        <v>22793.740234452824</v>
      </c>
      <c r="H18" s="15"/>
    </row>
    <row r="19" spans="2:8" x14ac:dyDescent="0.2">
      <c r="C19" s="15">
        <v>15509</v>
      </c>
      <c r="D19" s="15">
        <v>158</v>
      </c>
      <c r="F19" s="13">
        <f>+$C$54+$C$53*D19</f>
        <v>19890.009114067969</v>
      </c>
      <c r="H19" s="15"/>
    </row>
    <row r="20" spans="2:8" x14ac:dyDescent="0.2">
      <c r="C20" s="15">
        <v>13448</v>
      </c>
      <c r="D20" s="15">
        <v>117</v>
      </c>
      <c r="F20" s="13">
        <f>+$C$54+$C$53*D20</f>
        <v>18845.684763754114</v>
      </c>
      <c r="H20" s="15"/>
    </row>
    <row r="21" spans="2:8" x14ac:dyDescent="0.2">
      <c r="C21" s="15">
        <v>17568</v>
      </c>
      <c r="D21" s="15">
        <v>86</v>
      </c>
      <c r="F21" s="13">
        <f>+$C$54+$C$53*D21</f>
        <v>18056.073669614372</v>
      </c>
      <c r="H21" s="15"/>
    </row>
    <row r="22" spans="2:8" x14ac:dyDescent="0.2">
      <c r="C22" s="15">
        <v>20629</v>
      </c>
      <c r="D22" s="15">
        <v>113</v>
      </c>
      <c r="F22" s="13">
        <f>+$C$54+$C$53*D22</f>
        <v>18743.79946128447</v>
      </c>
      <c r="H22" s="15"/>
    </row>
    <row r="23" spans="2:8" x14ac:dyDescent="0.2">
      <c r="C23" s="15">
        <v>23834</v>
      </c>
      <c r="D23" s="15">
        <v>158</v>
      </c>
      <c r="F23" s="13">
        <f>+$C$54+$C$53*D23</f>
        <v>19890.009114067969</v>
      </c>
      <c r="H23" s="15"/>
    </row>
    <row r="24" spans="2:8" x14ac:dyDescent="0.2">
      <c r="C24" s="15"/>
      <c r="D24" s="15"/>
    </row>
    <row r="25" spans="2:8" x14ac:dyDescent="0.2">
      <c r="C25" s="15"/>
      <c r="D25" s="15"/>
    </row>
    <row r="26" spans="2:8" x14ac:dyDescent="0.2">
      <c r="C26" s="15"/>
      <c r="D26" s="15"/>
    </row>
    <row r="27" spans="2:8" x14ac:dyDescent="0.2">
      <c r="C27" s="15"/>
      <c r="D27" s="15"/>
    </row>
    <row r="28" spans="2:8" x14ac:dyDescent="0.2">
      <c r="B28" s="13" t="s">
        <v>105</v>
      </c>
      <c r="C28" s="13">
        <f>+COUNT(C12:C23)</f>
        <v>12</v>
      </c>
    </row>
    <row r="29" spans="2:8" x14ac:dyDescent="0.2">
      <c r="B29" s="13" t="s">
        <v>104</v>
      </c>
      <c r="C29" s="15">
        <f>+AVERAGE(C12:C26)</f>
        <v>20083.166666666668</v>
      </c>
      <c r="D29" s="15">
        <f>+AVERAGE(D12:D26)</f>
        <v>165.58333333333334</v>
      </c>
    </row>
    <row r="30" spans="2:8" x14ac:dyDescent="0.2">
      <c r="B30" s="13" t="s">
        <v>103</v>
      </c>
      <c r="C30" s="13">
        <f>+_xlfn.STDEV.S(C12:C26)^2</f>
        <v>11300948.878787907</v>
      </c>
      <c r="D30" s="13">
        <f>+_xlfn.STDEV.S(D12:D26)^2</f>
        <v>2851.9015151515168</v>
      </c>
    </row>
    <row r="31" spans="2:8" x14ac:dyDescent="0.2">
      <c r="B31" s="13" t="s">
        <v>102</v>
      </c>
      <c r="C31" s="13">
        <f>+SQRT(C30)</f>
        <v>3361.6883970391882</v>
      </c>
      <c r="D31" s="13">
        <f>+SQRT(D30)</f>
        <v>53.403197611674123</v>
      </c>
    </row>
    <row r="32" spans="2:8" x14ac:dyDescent="0.2">
      <c r="B32" s="13" t="s">
        <v>101</v>
      </c>
      <c r="C32" s="17">
        <f>+SQRT(D49)</f>
        <v>3224.2417703293399</v>
      </c>
    </row>
    <row r="33" spans="2:8" x14ac:dyDescent="0.2">
      <c r="B33" s="13" t="s">
        <v>100</v>
      </c>
      <c r="C33" s="13">
        <f>+C32/177.118369083127</f>
        <v>18.203881319707197</v>
      </c>
    </row>
    <row r="34" spans="2:8" x14ac:dyDescent="0.2">
      <c r="C34" s="17"/>
    </row>
    <row r="36" spans="2:8" x14ac:dyDescent="0.2">
      <c r="B36" s="13" t="s">
        <v>99</v>
      </c>
      <c r="C36" s="13">
        <f>+_xlfn.COVARIANCE.S(C12:C26,D12:D26)</f>
        <v>72641.712121212127</v>
      </c>
    </row>
    <row r="37" spans="2:8" x14ac:dyDescent="0.2">
      <c r="B37" s="13" t="s">
        <v>98</v>
      </c>
      <c r="C37" s="13">
        <f>+C36/PRODUCT(C31:D31)</f>
        <v>0.40463305182477366</v>
      </c>
    </row>
    <row r="39" spans="2:8" x14ac:dyDescent="0.2">
      <c r="B39" s="13" t="s">
        <v>97</v>
      </c>
      <c r="C39" s="14">
        <f>+_xlfn.F.INV(0.95,1,10)</f>
        <v>4.9646027437307128</v>
      </c>
    </row>
    <row r="40" spans="2:8" x14ac:dyDescent="0.2">
      <c r="B40" s="13" t="s">
        <v>96</v>
      </c>
      <c r="C40" s="14">
        <f>+C48/D49</f>
        <v>1.957830566473306</v>
      </c>
      <c r="D40" s="13" t="b">
        <v>1</v>
      </c>
      <c r="E40" s="13" t="s">
        <v>95</v>
      </c>
    </row>
    <row r="41" spans="2:8" x14ac:dyDescent="0.2">
      <c r="C41" s="14"/>
    </row>
    <row r="42" spans="2:8" x14ac:dyDescent="0.2">
      <c r="B42" s="13" t="s">
        <v>94</v>
      </c>
      <c r="C42" s="14">
        <f>+ABS(_xlfn.T.INV(0.05/2,10))</f>
        <v>2.2281388519862744</v>
      </c>
    </row>
    <row r="43" spans="2:8" x14ac:dyDescent="0.2">
      <c r="B43" s="13" t="s">
        <v>93</v>
      </c>
      <c r="C43" s="14">
        <f>+$C$53/$C$33</f>
        <v>1.3992249877962133</v>
      </c>
      <c r="D43" s="13" t="b">
        <v>1</v>
      </c>
      <c r="E43" s="13" t="s">
        <v>92</v>
      </c>
    </row>
    <row r="44" spans="2:8" x14ac:dyDescent="0.2">
      <c r="B44" s="13" t="s">
        <v>91</v>
      </c>
      <c r="C44" s="14">
        <f>+($C$53-1)/$C$33</f>
        <v>1.3442916478981215</v>
      </c>
      <c r="D44" s="13" t="b">
        <v>1</v>
      </c>
    </row>
    <row r="45" spans="2:8" x14ac:dyDescent="0.2">
      <c r="B45" s="13" t="s">
        <v>90</v>
      </c>
      <c r="C45" s="14">
        <f>+($C$53-30)/$C$33</f>
        <v>-0.24877520914654169</v>
      </c>
      <c r="D45" s="13" t="b">
        <v>1</v>
      </c>
      <c r="H45" s="14"/>
    </row>
    <row r="46" spans="2:8" x14ac:dyDescent="0.2">
      <c r="B46" s="16" t="s">
        <v>89</v>
      </c>
      <c r="C46" s="14"/>
      <c r="H46" s="14"/>
    </row>
    <row r="47" spans="2:8" x14ac:dyDescent="0.2">
      <c r="H47" s="14"/>
    </row>
    <row r="48" spans="2:8" x14ac:dyDescent="0.2">
      <c r="B48" s="13" t="s">
        <v>88</v>
      </c>
      <c r="C48" s="15">
        <v>20353087.731301889</v>
      </c>
      <c r="H48" s="14"/>
    </row>
    <row r="49" spans="2:8" x14ac:dyDescent="0.2">
      <c r="B49" s="13" t="s">
        <v>87</v>
      </c>
      <c r="C49" s="15">
        <v>103957349.93536477</v>
      </c>
      <c r="D49" s="15">
        <f>+C49/10</f>
        <v>10395734.993536476</v>
      </c>
      <c r="H49" s="14"/>
    </row>
    <row r="50" spans="2:8" x14ac:dyDescent="0.2">
      <c r="B50" s="13" t="s">
        <v>86</v>
      </c>
      <c r="C50" s="15">
        <v>124310437.66666667</v>
      </c>
      <c r="H50" s="14"/>
    </row>
    <row r="51" spans="2:8" x14ac:dyDescent="0.2">
      <c r="H51" s="14"/>
    </row>
    <row r="52" spans="2:8" x14ac:dyDescent="0.2">
      <c r="H52" s="14"/>
    </row>
    <row r="53" spans="2:8" x14ac:dyDescent="0.2">
      <c r="B53" s="13" t="s">
        <v>85</v>
      </c>
      <c r="C53" s="13">
        <f>+C36/D30</f>
        <v>25.471325617411019</v>
      </c>
      <c r="H53" s="14"/>
    </row>
    <row r="54" spans="2:8" x14ac:dyDescent="0.2">
      <c r="B54" s="13" t="s">
        <v>84</v>
      </c>
      <c r="C54" s="13">
        <f>+C29-C53*D29</f>
        <v>15865.539666517026</v>
      </c>
      <c r="H54" s="14"/>
    </row>
    <row r="55" spans="2:8" x14ac:dyDescent="0.2">
      <c r="H55" s="14"/>
    </row>
    <row r="56" spans="2:8" x14ac:dyDescent="0.2">
      <c r="H56" s="14"/>
    </row>
    <row r="57" spans="2:8" x14ac:dyDescent="0.2">
      <c r="C57" s="13">
        <v>1</v>
      </c>
      <c r="D57" s="13">
        <f>+$C$53*C57+$C$54</f>
        <v>15891.010992134437</v>
      </c>
      <c r="H57" s="14"/>
    </row>
    <row r="58" spans="2:8" x14ac:dyDescent="0.2">
      <c r="C58" s="13">
        <v>2</v>
      </c>
      <c r="D58" s="13">
        <f>+$C$53*C58+$C$54</f>
        <v>15916.482317751848</v>
      </c>
      <c r="H58" s="14"/>
    </row>
    <row r="59" spans="2:8" x14ac:dyDescent="0.2">
      <c r="C59" s="13">
        <f>+C58+1</f>
        <v>3</v>
      </c>
      <c r="D59" s="13">
        <f>+$C$53*C59+$C$54</f>
        <v>15941.953643369259</v>
      </c>
    </row>
    <row r="60" spans="2:8" x14ac:dyDescent="0.2">
      <c r="C60" s="13">
        <f>+C59+1</f>
        <v>4</v>
      </c>
      <c r="D60" s="13">
        <f>+$C$53*C60+$C$54</f>
        <v>15967.42496898667</v>
      </c>
    </row>
    <row r="61" spans="2:8" x14ac:dyDescent="0.2">
      <c r="C61" s="13">
        <f>+C60+1</f>
        <v>5</v>
      </c>
      <c r="D61" s="13">
        <f>+$C$53*C61+$C$54</f>
        <v>15992.896294604081</v>
      </c>
    </row>
    <row r="62" spans="2:8" x14ac:dyDescent="0.2">
      <c r="C62" s="13">
        <f>+C61+1</f>
        <v>6</v>
      </c>
      <c r="D62" s="13">
        <f>+$C$53*C62+$C$54</f>
        <v>16018.367620221492</v>
      </c>
    </row>
    <row r="63" spans="2:8" x14ac:dyDescent="0.2">
      <c r="C63" s="13">
        <f>+C62+1</f>
        <v>7</v>
      </c>
      <c r="D63" s="13">
        <f>+$C$53*C63+$C$54</f>
        <v>16043.838945838903</v>
      </c>
    </row>
    <row r="64" spans="2:8" x14ac:dyDescent="0.2">
      <c r="C64" s="13">
        <f>+C63+1</f>
        <v>8</v>
      </c>
      <c r="D64" s="13">
        <f>+$C$53*C64+$C$54</f>
        <v>16069.310271456314</v>
      </c>
    </row>
    <row r="65" spans="3:4" x14ac:dyDescent="0.2">
      <c r="C65" s="13">
        <f>+C64+1</f>
        <v>9</v>
      </c>
      <c r="D65" s="13">
        <f>+$C$53*C65+$C$54</f>
        <v>16094.781597073727</v>
      </c>
    </row>
    <row r="66" spans="3:4" x14ac:dyDescent="0.2">
      <c r="C66" s="13">
        <f>+C65+1</f>
        <v>10</v>
      </c>
      <c r="D66" s="13">
        <f>+$C$53*C66+$C$54</f>
        <v>16120.252922691137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Purchased Crude vs Exploration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Josh Case</cp:lastModifiedBy>
  <dcterms:created xsi:type="dcterms:W3CDTF">2021-11-27T21:06:15Z</dcterms:created>
  <dcterms:modified xsi:type="dcterms:W3CDTF">2022-04-10T16:58:59Z</dcterms:modified>
</cp:coreProperties>
</file>