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Case\Documents\xl\"/>
    </mc:Choice>
  </mc:AlternateContent>
  <xr:revisionPtr revIDLastSave="0" documentId="13_ncr:1_{27A1543C-0159-41F8-A324-A1CC6A57F807}" xr6:coauthVersionLast="47" xr6:coauthVersionMax="47" xr10:uidLastSave="{00000000-0000-0000-0000-000000000000}"/>
  <bookViews>
    <workbookView xWindow="8220" yWindow="210" windowWidth="16230" windowHeight="15360" firstSheet="1" activeTab="1" xr2:uid="{83F1A79E-7650-4FBB-B1CC-D6E1B2E8F637}"/>
  </bookViews>
  <sheets>
    <sheet name="Main" sheetId="1" r:id="rId1"/>
    <sheet name="Model" sheetId="2" r:id="rId2"/>
    <sheet name="Bon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2" l="1"/>
  <c r="I23" i="2"/>
  <c r="E23" i="2"/>
  <c r="E17" i="2"/>
  <c r="E18" i="2" s="1"/>
  <c r="I18" i="2"/>
  <c r="I17" i="2"/>
  <c r="I13" i="2"/>
  <c r="E13" i="2"/>
  <c r="E11" i="2"/>
  <c r="I11" i="2"/>
  <c r="E6" i="2"/>
  <c r="E8" i="2" s="1"/>
  <c r="E22" i="2" s="1"/>
  <c r="I6" i="2"/>
  <c r="I8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L8" i="1"/>
  <c r="L7" i="1"/>
  <c r="L6" i="1"/>
  <c r="L5" i="1"/>
  <c r="E12" i="2" l="1"/>
  <c r="E14" i="2" s="1"/>
  <c r="I12" i="2"/>
  <c r="I14" i="2" s="1"/>
  <c r="I22" i="2"/>
</calcChain>
</file>

<file path=xl/sharedStrings.xml><?xml version="1.0" encoding="utf-8"?>
<sst xmlns="http://schemas.openxmlformats.org/spreadsheetml/2006/main" count="43" uniqueCount="39">
  <si>
    <t>Price</t>
  </si>
  <si>
    <t>Shares</t>
  </si>
  <si>
    <t>MC</t>
  </si>
  <si>
    <t>Cash</t>
  </si>
  <si>
    <t>Debt</t>
  </si>
  <si>
    <t>EV</t>
  </si>
  <si>
    <t>Q321</t>
  </si>
  <si>
    <t>Main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</si>
  <si>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</si>
  <si>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</si>
  <si>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</si>
  <si>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</si>
  <si>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</si>
  <si>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</si>
  <si>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</si>
  <si>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</si>
  <si>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</si>
  <si>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Q322</t>
  </si>
  <si>
    <t>Q422</t>
  </si>
  <si>
    <t>Revenue</t>
  </si>
  <si>
    <t>Gross Profit</t>
  </si>
  <si>
    <t>Sales</t>
  </si>
  <si>
    <t>Equity Affiliates</t>
  </si>
  <si>
    <t>Other Income</t>
  </si>
  <si>
    <t>Purchased Crude</t>
  </si>
  <si>
    <t>Gross Margin</t>
  </si>
  <si>
    <t>Operating Expenses</t>
  </si>
  <si>
    <t>sG&amp;A</t>
  </si>
  <si>
    <t>Operating Income</t>
  </si>
  <si>
    <t>Pretax Income</t>
  </si>
  <si>
    <t>Manufactuing Expenses</t>
  </si>
  <si>
    <t>Interest Expense</t>
  </si>
  <si>
    <t>Taxes</t>
  </si>
  <si>
    <t>NI</t>
  </si>
  <si>
    <t>Net Income</t>
  </si>
  <si>
    <t xml:space="preserve"> </t>
  </si>
  <si>
    <t>EPS</t>
  </si>
  <si>
    <t>Operating Margin</t>
  </si>
  <si>
    <t>Revenue Growth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</si>
</sst>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9" fontId="0" fillId="0" borderId="0" xfId="0" applyNumberFormat="1"/>
    <xf numFmtId="0" fontId="1" fillId="0" borderId="0" xfId="0" applyFont="1"/>
    <xf numFmtId="3" fontId="1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7EA4-0499-4378-8E0D-09A8D75EE8F6}">
  <dimension ref="K3:M8"/>
  <sheetViews>
    <sheetView workbookViewId="0">
      <selection activeCell="E21" sqref="E21"/>
    </sheetView>
  </sheetViews>
  <sheetFormatPr defaultRowHeight="14.25" x14ac:dyDescent="0.2"/>
  <cols>
    <col min="13" max="13" width="9" style="2"/>
  </cols>
  <sheetData>
    <row r="3" spans="11:13" x14ac:dyDescent="0.2">
      <c r="K3" t="s">
        <v>0</v>
      </c>
      <c r="L3">
        <v>128.96</v>
      </c>
    </row>
    <row r="4" spans="11:13" x14ac:dyDescent="0.2">
      <c r="K4" t="s">
        <v>1</v>
      </c>
      <c r="L4" s="1">
        <v>1927.6849999999999</v>
      </c>
      <c r="M4" s="2" t="s">
        <v>6</v>
      </c>
    </row>
    <row r="5" spans="11:13" x14ac:dyDescent="0.2">
      <c r="K5" t="s">
        <v>2</v>
      </c>
      <c r="L5" s="1">
        <f>+L3*L4</f>
        <v>248594.25760000001</v>
      </c>
    </row>
    <row r="6" spans="11:13" x14ac:dyDescent="0.2">
      <c r="K6" t="s">
        <v>3</v>
      </c>
      <c r="L6" s="1">
        <f>5998+34+41097</f>
        <v>47129</v>
      </c>
      <c r="M6" s="2" t="s">
        <v>6</v>
      </c>
    </row>
    <row r="7" spans="11:13" x14ac:dyDescent="0.2">
      <c r="K7" t="s">
        <v>4</v>
      </c>
      <c r="L7" s="1">
        <f>291+37056</f>
        <v>37347</v>
      </c>
      <c r="M7" s="2" t="s">
        <v>6</v>
      </c>
    </row>
    <row r="8" spans="11:13" x14ac:dyDescent="0.2">
      <c r="K8" t="s">
        <v>5</v>
      </c>
      <c r="L8" s="1">
        <f>+L5-L6+L7</f>
        <v>238812.25760000001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5A11-B26E-44E4-9D74-5F6351DE4A66}">
  <dimension ref="A1:AE25"/>
  <sheetViews>
    <sheetView tabSelected="1" workbookViewId="0">
      <pane xSplit="2" ySplit="2" topLeftCell="E24" activePane="bottomRight" state="frozen"/>
      <selection pane="topRight" activeCell="C1" sqref="C1"/>
      <selection pane="bottomLeft" activeCell="A3" sqref="A3"/>
      <selection pane="bottomRight" activeCell="I32" sqref="I32"/>
    </sheetView>
  </sheetViews>
  <sheetFormatPr defaultRowHeight="14.25" x14ac:dyDescent="0.2"/>
  <cols>
    <col min="1" max="1" width="4.625" bestFit="1" customWidth="1"/>
    <col min="2" max="2" width="15.375" bestFit="1" customWidth="1"/>
  </cols>
  <sheetData>
    <row r="1" spans="1:31" x14ac:dyDescent="0.2">
      <c r="A1" s="3" t="s">
        <v>7</v>
      </c>
    </row>
    <row r="2" spans="1:31" x14ac:dyDescent="0.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Q2">
        <v>2018</v>
      </c>
      <c r="R2">
        <f>+Q2+1</f>
        <v>2019</v>
      </c>
      <c r="S2">
        <f t="shared" ref="S2:AE2" si="0">+R2+1</f>
        <v>2020</v>
      </c>
      <c r="T2">
        <f t="shared" si="0"/>
        <v>2021</v>
      </c>
      <c r="U2">
        <f t="shared" si="0"/>
        <v>2022</v>
      </c>
      <c r="V2">
        <f t="shared" si="0"/>
        <v>2023</v>
      </c>
      <c r="W2">
        <f t="shared" si="0"/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  <c r="AD2">
        <f t="shared" si="0"/>
        <v>2031</v>
      </c>
      <c r="AE2">
        <f t="shared" si="0"/>
        <v>2032</v>
      </c>
    </row>
    <row r="3" spans="1:31" x14ac:dyDescent="0.2">
      <c r="B3" t="s">
        <v>21</v>
      </c>
      <c r="E3" s="1">
        <v>23997</v>
      </c>
      <c r="I3" s="1">
        <v>42552</v>
      </c>
    </row>
    <row r="4" spans="1:31" x14ac:dyDescent="0.2">
      <c r="B4" t="s">
        <v>22</v>
      </c>
      <c r="E4" s="1">
        <v>510</v>
      </c>
      <c r="I4" s="1">
        <v>1647</v>
      </c>
    </row>
    <row r="5" spans="1:31" x14ac:dyDescent="0.2">
      <c r="B5" t="s">
        <v>23</v>
      </c>
      <c r="E5" s="1">
        <v>-56</v>
      </c>
      <c r="I5" s="1">
        <v>511</v>
      </c>
    </row>
    <row r="6" spans="1:31" s="5" customFormat="1" ht="15" x14ac:dyDescent="0.25">
      <c r="B6" s="5" t="s">
        <v>19</v>
      </c>
      <c r="E6" s="6">
        <f>+SUM(E3:E5)</f>
        <v>24451</v>
      </c>
      <c r="I6" s="6">
        <f>+SUM(I3:I5)</f>
        <v>44710</v>
      </c>
    </row>
    <row r="7" spans="1:31" x14ac:dyDescent="0.2">
      <c r="B7" t="s">
        <v>24</v>
      </c>
      <c r="E7" s="1">
        <v>13448</v>
      </c>
      <c r="I7" s="1">
        <v>23834</v>
      </c>
    </row>
    <row r="8" spans="1:31" x14ac:dyDescent="0.2">
      <c r="B8" t="s">
        <v>20</v>
      </c>
      <c r="E8" s="1">
        <f>+E6-E7</f>
        <v>11003</v>
      </c>
      <c r="I8" s="1">
        <f>+I6-I7</f>
        <v>20876</v>
      </c>
    </row>
    <row r="9" spans="1:31" x14ac:dyDescent="0.2">
      <c r="B9" t="s">
        <v>30</v>
      </c>
      <c r="E9" s="1">
        <v>4604</v>
      </c>
      <c r="I9" s="1">
        <v>5353</v>
      </c>
    </row>
    <row r="10" spans="1:31" x14ac:dyDescent="0.2">
      <c r="B10" t="s">
        <v>27</v>
      </c>
      <c r="E10" s="1">
        <v>832</v>
      </c>
      <c r="I10" s="1">
        <v>657</v>
      </c>
    </row>
    <row r="11" spans="1:31" x14ac:dyDescent="0.2">
      <c r="B11" t="s">
        <v>26</v>
      </c>
      <c r="E11" s="1">
        <f>+SUM(E9:E10)</f>
        <v>5436</v>
      </c>
      <c r="I11" s="1">
        <f>+SUM(I9:I10)</f>
        <v>6010</v>
      </c>
    </row>
    <row r="12" spans="1:31" x14ac:dyDescent="0.2">
      <c r="B12" t="s">
        <v>28</v>
      </c>
      <c r="E12" s="1">
        <f>+E8-E11</f>
        <v>5567</v>
      </c>
      <c r="I12" s="1">
        <f>+I8-I11</f>
        <v>14866</v>
      </c>
    </row>
    <row r="13" spans="1:31" x14ac:dyDescent="0.2">
      <c r="B13" t="s">
        <v>31</v>
      </c>
      <c r="E13" s="1">
        <f>1091+164+222</f>
        <v>1477</v>
      </c>
      <c r="I13" s="1">
        <f>2075+174+100</f>
        <v>2349</v>
      </c>
    </row>
    <row r="14" spans="1:31" x14ac:dyDescent="0.2">
      <c r="B14" t="s">
        <v>29</v>
      </c>
      <c r="E14" s="1">
        <f>+E12-E13</f>
        <v>4090</v>
      </c>
      <c r="I14" s="1">
        <f>+I12-I13</f>
        <v>12517</v>
      </c>
    </row>
    <row r="15" spans="1:31" x14ac:dyDescent="0.2">
      <c r="B15" t="s">
        <v>32</v>
      </c>
      <c r="E15" s="1">
        <v>165</v>
      </c>
      <c r="I15" s="1">
        <v>1940</v>
      </c>
    </row>
    <row r="16" spans="1:31" x14ac:dyDescent="0.2">
      <c r="B16" t="s">
        <v>33</v>
      </c>
      <c r="E16">
        <v>-2</v>
      </c>
      <c r="I16">
        <v>4</v>
      </c>
    </row>
    <row r="17" spans="2:9" s="5" customFormat="1" ht="15" x14ac:dyDescent="0.25">
      <c r="B17" s="5" t="s">
        <v>34</v>
      </c>
      <c r="E17" s="6">
        <f>+E14-E15+E16</f>
        <v>3923</v>
      </c>
      <c r="I17" s="6">
        <f>+I14-I15+I16</f>
        <v>10581</v>
      </c>
    </row>
    <row r="18" spans="2:9" x14ac:dyDescent="0.2">
      <c r="B18" t="s">
        <v>36</v>
      </c>
      <c r="E18" s="7">
        <f>+E17/E19</f>
        <v>2.1164986002407296</v>
      </c>
      <c r="I18" s="7">
        <f>+I17/I19</f>
        <v>5.5077963349027508</v>
      </c>
    </row>
    <row r="19" spans="2:9" x14ac:dyDescent="0.2">
      <c r="B19" t="s">
        <v>1</v>
      </c>
      <c r="E19" s="1">
        <v>1853.5329999999999</v>
      </c>
      <c r="F19" s="1"/>
      <c r="G19" s="1"/>
      <c r="H19" s="1"/>
      <c r="I19" s="1">
        <v>1921.095</v>
      </c>
    </row>
    <row r="20" spans="2:9" x14ac:dyDescent="0.2">
      <c r="B20" t="s">
        <v>35</v>
      </c>
    </row>
    <row r="22" spans="2:9" x14ac:dyDescent="0.2">
      <c r="B22" t="s">
        <v>25</v>
      </c>
      <c r="E22" s="4">
        <f>+E8/E6</f>
        <v>0.45000204490613882</v>
      </c>
      <c r="I22" s="4">
        <f>+I8/I6</f>
        <v>0.46692015209125476</v>
      </c>
    </row>
    <row r="23" spans="2:9" x14ac:dyDescent="0.2">
      <c r="B23" t="s">
        <v>37</v>
      </c>
      <c r="E23" s="4">
        <f>+E12/E6</f>
        <v>0.22767984949490819</v>
      </c>
      <c r="I23" s="4">
        <f>+I12/I6</f>
        <v>0.33249832252292549</v>
      </c>
    </row>
    <row r="25" spans="2:9" x14ac:dyDescent="0.2">
      <c r="B25" t="s">
        <v>38</v>
      </c>
      <c r="I25" s="4">
        <f>+I6/E6-1</f>
        <v>0.82855506932231804</v>
      </c>
    </row>
  </sheetData>
  <hyperlinks>
    <hyperlink ref="A1" location="Main!A1" display="Main" xr:uid="{7690D72B-BE64-46E2-A04F-C306E88BC2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19A5-948B-4CDF-81F4-57608F0E0F3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2022-01-18T02:32:06Z</dcterms:created>
  <dcterms:modified xsi:type="dcterms:W3CDTF">2022-01-22T05:03:48Z</dcterms:modified>
</cp:coreProperties>
</file>