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51B99CD7-F855-4AD5-8834-61B114CD060E}" xr6:coauthVersionLast="47" xr6:coauthVersionMax="47" xr10:uidLastSave="{00000000-0000-0000-0000-000000000000}"/>
  <bookViews>
    <workbookView xWindow="7155" yWindow="90" windowWidth="21405" windowHeight="15915" activeTab="1" xr2:uid="{1A2BDC66-425F-405E-B62B-9FE1CC1D288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2" l="1"/>
  <c r="W23" i="2"/>
  <c r="V23" i="2"/>
  <c r="X22" i="2"/>
  <c r="W22" i="2"/>
  <c r="V22" i="2"/>
  <c r="X21" i="2"/>
  <c r="W21" i="2"/>
  <c r="V21" i="2"/>
  <c r="V11" i="2"/>
  <c r="V12" i="2"/>
  <c r="V8" i="2"/>
  <c r="V5" i="2"/>
  <c r="W11" i="2"/>
  <c r="W12" i="2" s="1"/>
  <c r="W8" i="2"/>
  <c r="W5" i="2"/>
  <c r="X11" i="2"/>
  <c r="X12" i="2"/>
  <c r="X8" i="2"/>
  <c r="X5" i="2"/>
  <c r="H23" i="2"/>
  <c r="H22" i="2"/>
  <c r="H21" i="2"/>
  <c r="H12" i="2"/>
  <c r="H8" i="2"/>
  <c r="H5" i="2"/>
  <c r="I23" i="2"/>
  <c r="I22" i="2"/>
  <c r="I21" i="2"/>
  <c r="L23" i="2"/>
  <c r="L22" i="2"/>
  <c r="L21" i="2"/>
  <c r="L12" i="2"/>
  <c r="L8" i="2"/>
  <c r="L5" i="2"/>
  <c r="V9" i="2" l="1"/>
  <c r="V13" i="2" s="1"/>
  <c r="V15" i="2" s="1"/>
  <c r="V17" i="2" s="1"/>
  <c r="V18" i="2" s="1"/>
  <c r="W9" i="2"/>
  <c r="W13" i="2" s="1"/>
  <c r="W15" i="2" s="1"/>
  <c r="W17" i="2" s="1"/>
  <c r="W18" i="2" s="1"/>
  <c r="X9" i="2"/>
  <c r="X13" i="2" s="1"/>
  <c r="X15" i="2" s="1"/>
  <c r="X17" i="2" s="1"/>
  <c r="X18" i="2" s="1"/>
  <c r="H9" i="2"/>
  <c r="H13" i="2" s="1"/>
  <c r="H15" i="2" s="1"/>
  <c r="H17" i="2" s="1"/>
  <c r="H18" i="2" s="1"/>
  <c r="L9" i="2"/>
  <c r="L13" i="2" s="1"/>
  <c r="L15" i="2" s="1"/>
  <c r="L17" i="2" s="1"/>
  <c r="L18" i="2" s="1"/>
  <c r="I12" i="2" l="1"/>
  <c r="I8" i="2"/>
  <c r="I5" i="2"/>
  <c r="M23" i="2"/>
  <c r="M22" i="2"/>
  <c r="M21" i="2"/>
  <c r="M12" i="2"/>
  <c r="M8" i="2"/>
  <c r="M5" i="2"/>
  <c r="N88" i="2"/>
  <c r="N79" i="2"/>
  <c r="N68" i="2"/>
  <c r="N40" i="2"/>
  <c r="N35" i="2"/>
  <c r="N28" i="2"/>
  <c r="N49" i="2"/>
  <c r="N50" i="2" s="1"/>
  <c r="J12" i="2"/>
  <c r="J8" i="2"/>
  <c r="J5" i="2"/>
  <c r="N14" i="2"/>
  <c r="N12" i="2"/>
  <c r="N8" i="2"/>
  <c r="N5" i="2"/>
  <c r="I9" i="2" l="1"/>
  <c r="I13" i="2" s="1"/>
  <c r="I15" i="2" s="1"/>
  <c r="I17" i="2" s="1"/>
  <c r="I18" i="2" s="1"/>
  <c r="M9" i="2"/>
  <c r="M13" i="2" s="1"/>
  <c r="M15" i="2" s="1"/>
  <c r="M17" i="2" s="1"/>
  <c r="M18" i="2" s="1"/>
  <c r="N38" i="2"/>
  <c r="N89" i="2"/>
  <c r="N25" i="2"/>
  <c r="N27" i="2"/>
  <c r="J9" i="2"/>
  <c r="N9" i="2"/>
  <c r="J13" i="2" l="1"/>
  <c r="J21" i="2"/>
  <c r="N13" i="2"/>
  <c r="N21" i="2"/>
  <c r="N15" i="2" l="1"/>
  <c r="N22" i="2"/>
  <c r="J15" i="2"/>
  <c r="J22" i="2"/>
  <c r="N17" i="2" l="1"/>
  <c r="N23" i="2"/>
  <c r="J17" i="2"/>
  <c r="J18" i="2" s="1"/>
  <c r="J23" i="2"/>
  <c r="N18" i="2" l="1"/>
  <c r="N52" i="2"/>
  <c r="O88" i="2"/>
  <c r="O79" i="2"/>
  <c r="O68" i="2"/>
  <c r="O40" i="2"/>
  <c r="O49" i="2" s="1"/>
  <c r="O50" i="2" s="1"/>
  <c r="O35" i="2"/>
  <c r="O28" i="2"/>
  <c r="K14" i="2"/>
  <c r="O14" i="2"/>
  <c r="K12" i="2"/>
  <c r="O12" i="2"/>
  <c r="K8" i="2"/>
  <c r="K5" i="2"/>
  <c r="O8" i="2"/>
  <c r="O5" i="2"/>
  <c r="V2" i="2"/>
  <c r="W2" i="2" s="1"/>
  <c r="X2" i="2" s="1"/>
  <c r="Y2" i="2" s="1"/>
  <c r="Z2" i="2" s="1"/>
  <c r="AA2" i="2" s="1"/>
  <c r="AB2" i="2" s="1"/>
  <c r="AC2" i="2" s="1"/>
  <c r="AD2" i="2" s="1"/>
  <c r="AE2" i="2" s="1"/>
  <c r="H8" i="1"/>
  <c r="H7" i="1"/>
  <c r="H6" i="1"/>
  <c r="H5" i="1"/>
  <c r="O25" i="2" l="1"/>
  <c r="O89" i="2"/>
  <c r="O38" i="2"/>
  <c r="O27" i="2"/>
  <c r="K9" i="2"/>
  <c r="K21" i="2" s="1"/>
  <c r="O9" i="2"/>
  <c r="O13" i="2" s="1"/>
  <c r="O22" i="2" s="1"/>
  <c r="K13" i="2"/>
  <c r="O21" i="2"/>
  <c r="O15" i="2" l="1"/>
  <c r="O17" i="2" s="1"/>
  <c r="O23" i="2"/>
  <c r="K22" i="2"/>
  <c r="K15" i="2"/>
  <c r="O18" i="2" l="1"/>
  <c r="O52" i="2"/>
  <c r="K17" i="2"/>
  <c r="K18" i="2" s="1"/>
  <c r="K23" i="2"/>
</calcChain>
</file>

<file path=xl/sharedStrings.xml><?xml version="1.0" encoding="utf-8"?>
<sst xmlns="http://schemas.openxmlformats.org/spreadsheetml/2006/main" count="103" uniqueCount="89">
  <si>
    <t>Price</t>
  </si>
  <si>
    <t>Shares</t>
  </si>
  <si>
    <t>EV</t>
  </si>
  <si>
    <t>Cash</t>
  </si>
  <si>
    <t>Debt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</si>
  <si>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</si>
  <si>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</si>
  <si>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</si>
  <si>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</si>
  <si>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</si>
  <si>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</si>
  <si>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</si>
  <si>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</si>
  <si>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</si>
  <si>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</si>
  <si>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</si>
  <si>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</si>
  <si>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</si>
  <si>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</si>
  <si>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</si>
  <si>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</si>
  <si>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</si>
  <si>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Main</t>
  </si>
  <si>
    <t>Product</t>
  </si>
  <si>
    <t>Services</t>
  </si>
  <si>
    <t>Cost of Product</t>
  </si>
  <si>
    <t>Cost of Services</t>
  </si>
  <si>
    <t>COGS</t>
  </si>
  <si>
    <t>Gross Profit</t>
  </si>
  <si>
    <t>R&amp;D</t>
  </si>
  <si>
    <t>Operating Costs</t>
  </si>
  <si>
    <t>Operating Income</t>
  </si>
  <si>
    <t>Interest Income</t>
  </si>
  <si>
    <t>Pretax Income</t>
  </si>
  <si>
    <t>Taxes</t>
  </si>
  <si>
    <t>Net Income</t>
  </si>
  <si>
    <t>EPS</t>
  </si>
  <si>
    <t>Gross Margin %</t>
  </si>
  <si>
    <t>Revenue Growth Y/Y</t>
  </si>
  <si>
    <t>Operating Margin %</t>
  </si>
  <si>
    <t>Tax Rate %</t>
  </si>
  <si>
    <t>A/R</t>
  </si>
  <si>
    <t>Inventory</t>
  </si>
  <si>
    <t>F/R</t>
  </si>
  <si>
    <t>OCA</t>
  </si>
  <si>
    <t>PP&amp;E</t>
  </si>
  <si>
    <t>Intangibles</t>
  </si>
  <si>
    <t>D/T</t>
  </si>
  <si>
    <t>OA</t>
  </si>
  <si>
    <t>Total Assets</t>
  </si>
  <si>
    <t>A/P</t>
  </si>
  <si>
    <t>Tax Payable</t>
  </si>
  <si>
    <t>A/C</t>
  </si>
  <si>
    <t>D/R</t>
  </si>
  <si>
    <t>OLTL</t>
  </si>
  <si>
    <t>Total Liabilties</t>
  </si>
  <si>
    <t>OCL</t>
  </si>
  <si>
    <t>LT Tax Payable</t>
  </si>
  <si>
    <t>LT D/R</t>
  </si>
  <si>
    <t>Model NI</t>
  </si>
  <si>
    <t>Reported NI</t>
  </si>
  <si>
    <t>Net Cash</t>
  </si>
  <si>
    <t>D/A</t>
  </si>
  <si>
    <t>SBC</t>
  </si>
  <si>
    <t>Receivables</t>
  </si>
  <si>
    <t>Investments</t>
  </si>
  <si>
    <t>Tax</t>
  </si>
  <si>
    <t>OL</t>
  </si>
  <si>
    <t>CFFO</t>
  </si>
  <si>
    <t>Investment</t>
  </si>
  <si>
    <t>Sale of Investment</t>
  </si>
  <si>
    <t>Maturity of Investment</t>
  </si>
  <si>
    <t>Private Investments</t>
  </si>
  <si>
    <t>Return of Priv. Investments</t>
  </si>
  <si>
    <t>Cash Acquistion</t>
  </si>
  <si>
    <t>CapEx</t>
  </si>
  <si>
    <t>Sale of PP&amp;E</t>
  </si>
  <si>
    <t>CFFI</t>
  </si>
  <si>
    <t>Issuances of Stock</t>
  </si>
  <si>
    <t>Stock Repurhcases</t>
  </si>
  <si>
    <t>Tax Withholding</t>
  </si>
  <si>
    <t>Debt Repayment</t>
  </si>
  <si>
    <t>Dividend</t>
  </si>
  <si>
    <t>Other</t>
  </si>
  <si>
    <t>CFFF</t>
  </si>
  <si>
    <t>CF</t>
  </si>
  <si>
    <t>L + S/E</t>
  </si>
  <si>
    <t>ST Borrowing</t>
  </si>
  <si>
    <t>sG&amp;A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</si>
</sst>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 applyFont="1"/>
    <xf numFmtId="0" fontId="2" fillId="0" borderId="0" xfId="1" applyFill="1"/>
    <xf numFmtId="3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44824</xdr:colOff>
      <xdr:row>0</xdr:row>
      <xdr:rowOff>33618</xdr:rowOff>
    </xdr:from>
    <xdr:to>
      <xdr:col>15</xdr:col>
      <xdr:colOff>44824</xdr:colOff>
      <xdr:row>53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F48C375-AAC4-499A-877B-3D7C508FF174}"/>
            </a:ext>
          </a:extLst>
        </xdr:cNvPr>
        <xdr:cNvCxnSpPr/>
      </xdr:nvCxnSpPr>
      <xdr:spPr>
        <a:xfrm>
          <a:off x="11049000" y="33618"/>
          <a:ext cx="0" cy="950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44823</xdr:colOff>
      <xdr:row>0</xdr:row>
      <xdr:rowOff>22412</xdr:rowOff>
    </xdr:from>
    <xdr:to>
      <xdr:col>24</xdr:col>
      <xdr:colOff>44823</xdr:colOff>
      <xdr:row>51</xdr:row>
      <xdr:rowOff>78441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0780F8E-FEA9-453A-8F6A-ED738B214C81}"/>
            </a:ext>
          </a:extLst>
        </xdr:cNvPr>
        <xdr:cNvCxnSpPr/>
      </xdr:nvCxnSpPr>
      <xdr:spPr>
        <a:xfrm>
          <a:off x="17201029" y="22412"/>
          <a:ext cx="0" cy="92336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632D-8196-412B-9868-4C3419E5C00F}">
  <dimension ref="G3:H8"/>
  <sheetViews>
    <sheetView workbookViewId="0">
      <selection activeCell="H9" sqref="H9"/>
    </sheetView>
  </sheetViews>
  <sheetFormatPr defaultRowHeight="14.25" x14ac:dyDescent="0.2"/>
  <sheetData>
    <row r="3" spans="7:8" x14ac:dyDescent="0.2">
      <c r="G3" t="s">
        <v>0</v>
      </c>
      <c r="H3">
        <v>61.37</v>
      </c>
    </row>
    <row r="4" spans="7:8" x14ac:dyDescent="0.2">
      <c r="G4" t="s">
        <v>1</v>
      </c>
      <c r="H4" s="2">
        <v>4217.6059999999998</v>
      </c>
    </row>
    <row r="5" spans="7:8" x14ac:dyDescent="0.2">
      <c r="G5" t="s">
        <v>2</v>
      </c>
      <c r="H5" s="2">
        <f>+H3*H4</f>
        <v>258834.48021999997</v>
      </c>
    </row>
    <row r="6" spans="7:8" x14ac:dyDescent="0.2">
      <c r="G6" t="s">
        <v>3</v>
      </c>
      <c r="H6" s="2">
        <f>7619+15727</f>
        <v>23346</v>
      </c>
    </row>
    <row r="7" spans="7:8" x14ac:dyDescent="0.2">
      <c r="G7" t="s">
        <v>4</v>
      </c>
      <c r="H7" s="2">
        <f>506+8996</f>
        <v>9502</v>
      </c>
    </row>
    <row r="8" spans="7:8" x14ac:dyDescent="0.2">
      <c r="G8" t="s">
        <v>2</v>
      </c>
      <c r="H8" s="2">
        <f>+H5-H6+H7</f>
        <v>244990.48021999997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F665-3A7E-47E7-8631-C3E83BC79B9C}">
  <dimension ref="A1:AE8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4.25" x14ac:dyDescent="0.2"/>
  <cols>
    <col min="1" max="1" width="4.625" bestFit="1" customWidth="1"/>
    <col min="2" max="2" width="23.25" bestFit="1" customWidth="1"/>
    <col min="15" max="15" width="9" customWidth="1"/>
  </cols>
  <sheetData>
    <row r="1" spans="1:31" x14ac:dyDescent="0.2">
      <c r="A1" s="3" t="s">
        <v>22</v>
      </c>
    </row>
    <row r="2" spans="1:31" x14ac:dyDescent="0.2"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U2">
        <v>2018</v>
      </c>
      <c r="V2">
        <f>+U2+1</f>
        <v>2019</v>
      </c>
      <c r="W2">
        <f t="shared" ref="W2:AE2" si="0">+V2+1</f>
        <v>2020</v>
      </c>
      <c r="X2">
        <f t="shared" si="0"/>
        <v>2021</v>
      </c>
      <c r="Y2">
        <f t="shared" si="0"/>
        <v>2022</v>
      </c>
      <c r="Z2">
        <f t="shared" si="0"/>
        <v>2023</v>
      </c>
      <c r="AA2">
        <f t="shared" si="0"/>
        <v>2024</v>
      </c>
      <c r="AB2">
        <f t="shared" si="0"/>
        <v>2025</v>
      </c>
      <c r="AC2">
        <f t="shared" si="0"/>
        <v>2026</v>
      </c>
      <c r="AD2">
        <f t="shared" si="0"/>
        <v>2027</v>
      </c>
      <c r="AE2">
        <f t="shared" si="0"/>
        <v>2028</v>
      </c>
    </row>
    <row r="3" spans="1:31" x14ac:dyDescent="0.2">
      <c r="B3" t="s">
        <v>23</v>
      </c>
      <c r="H3" s="4">
        <v>8671</v>
      </c>
      <c r="I3" s="4">
        <v>8597</v>
      </c>
      <c r="J3" s="4">
        <v>8832</v>
      </c>
      <c r="K3" s="4">
        <v>8587</v>
      </c>
      <c r="L3" s="4">
        <v>8572</v>
      </c>
      <c r="M3" s="4">
        <v>9139</v>
      </c>
      <c r="N3" s="4">
        <v>9716</v>
      </c>
      <c r="O3" s="4">
        <v>9529</v>
      </c>
      <c r="V3" s="4">
        <v>39005</v>
      </c>
      <c r="W3" s="4">
        <v>35978</v>
      </c>
      <c r="X3" s="4">
        <v>36014</v>
      </c>
    </row>
    <row r="4" spans="1:31" x14ac:dyDescent="0.2">
      <c r="B4" t="s">
        <v>24</v>
      </c>
      <c r="H4" s="4">
        <v>3334</v>
      </c>
      <c r="I4" s="4">
        <v>3386</v>
      </c>
      <c r="J4" s="4">
        <v>3322</v>
      </c>
      <c r="K4" s="4">
        <v>3342</v>
      </c>
      <c r="L4" s="4">
        <v>3388</v>
      </c>
      <c r="M4" s="4">
        <v>2664</v>
      </c>
      <c r="N4" s="4">
        <v>3410</v>
      </c>
      <c r="O4" s="4">
        <v>3371</v>
      </c>
      <c r="V4" s="4">
        <v>12899</v>
      </c>
      <c r="W4" s="4">
        <v>13323</v>
      </c>
      <c r="X4" s="4">
        <v>13804</v>
      </c>
    </row>
    <row r="5" spans="1:31" s="1" customFormat="1" ht="15" x14ac:dyDescent="0.25">
      <c r="B5" s="1" t="s">
        <v>21</v>
      </c>
      <c r="H5" s="6">
        <f>+SUM(H3:H4)</f>
        <v>12005</v>
      </c>
      <c r="I5" s="6">
        <f>+SUM(I3:I4)</f>
        <v>11983</v>
      </c>
      <c r="J5" s="6">
        <f>+SUM(J3:J4)</f>
        <v>12154</v>
      </c>
      <c r="K5" s="6">
        <f>+SUM(K3:K4)</f>
        <v>11929</v>
      </c>
      <c r="L5" s="6">
        <f>+SUM(L3:L4)</f>
        <v>11960</v>
      </c>
      <c r="M5" s="6">
        <f>+SUM(M3:M4)</f>
        <v>11803</v>
      </c>
      <c r="N5" s="6">
        <f>+SUM(N3:N4)</f>
        <v>13126</v>
      </c>
      <c r="O5" s="6">
        <f>+SUM(O3:O4)</f>
        <v>12900</v>
      </c>
      <c r="V5" s="6">
        <f>+SUM(V3:V4)</f>
        <v>51904</v>
      </c>
      <c r="W5" s="6">
        <f>+SUM(W3:W4)</f>
        <v>49301</v>
      </c>
      <c r="X5" s="6">
        <f>+SUM(X3:X4)</f>
        <v>49818</v>
      </c>
    </row>
    <row r="6" spans="1:31" x14ac:dyDescent="0.2">
      <c r="B6" t="s">
        <v>25</v>
      </c>
      <c r="H6" s="4">
        <v>3126</v>
      </c>
      <c r="I6" s="4">
        <v>3120</v>
      </c>
      <c r="J6" s="4">
        <v>3429</v>
      </c>
      <c r="K6" s="4">
        <v>3206</v>
      </c>
      <c r="L6" s="4">
        <v>3044</v>
      </c>
      <c r="M6" s="4">
        <v>3422</v>
      </c>
      <c r="N6" s="4">
        <v>3628</v>
      </c>
      <c r="O6" s="4">
        <v>3673</v>
      </c>
      <c r="V6" s="4">
        <v>14863</v>
      </c>
      <c r="W6" s="4">
        <v>13199</v>
      </c>
      <c r="X6" s="4">
        <v>13300</v>
      </c>
    </row>
    <row r="7" spans="1:31" x14ac:dyDescent="0.2">
      <c r="B7" t="s">
        <v>26</v>
      </c>
      <c r="H7" s="4">
        <v>1115</v>
      </c>
      <c r="I7" s="4">
        <v>1092</v>
      </c>
      <c r="J7" s="4">
        <v>1041</v>
      </c>
      <c r="K7" s="4">
        <v>1142</v>
      </c>
      <c r="L7" s="4">
        <v>1132</v>
      </c>
      <c r="M7" s="4">
        <v>1196</v>
      </c>
      <c r="N7" s="4">
        <v>1154</v>
      </c>
      <c r="O7" s="4">
        <v>1174</v>
      </c>
      <c r="V7" s="4">
        <v>4375</v>
      </c>
      <c r="W7" s="4">
        <v>4419</v>
      </c>
      <c r="X7" s="4">
        <v>4624</v>
      </c>
    </row>
    <row r="8" spans="1:31" x14ac:dyDescent="0.2">
      <c r="B8" t="s">
        <v>27</v>
      </c>
      <c r="H8" s="4">
        <f>+SUM(H6:H7)</f>
        <v>4241</v>
      </c>
      <c r="I8" s="4">
        <f>+SUM(I6:I7)</f>
        <v>4212</v>
      </c>
      <c r="J8" s="4">
        <f>+SUM(J6:J7)</f>
        <v>4470</v>
      </c>
      <c r="K8" s="4">
        <f>+SUM(K6:K7)</f>
        <v>4348</v>
      </c>
      <c r="L8" s="4">
        <f>+SUM(L6:L7)</f>
        <v>4176</v>
      </c>
      <c r="M8" s="4">
        <f>+SUM(M6:M7)</f>
        <v>4618</v>
      </c>
      <c r="N8" s="4">
        <f>+SUM(N6:N7)</f>
        <v>4782</v>
      </c>
      <c r="O8" s="4">
        <f>+SUM(O6:O7)</f>
        <v>4847</v>
      </c>
      <c r="V8" s="4">
        <f>+SUM(V6:V7)</f>
        <v>19238</v>
      </c>
      <c r="W8" s="4">
        <f>+SUM(W6:W7)</f>
        <v>17618</v>
      </c>
      <c r="X8" s="4">
        <f>+SUM(X6:X7)</f>
        <v>17924</v>
      </c>
    </row>
    <row r="9" spans="1:31" x14ac:dyDescent="0.2">
      <c r="B9" t="s">
        <v>28</v>
      </c>
      <c r="H9" s="4">
        <f>+H5-H8</f>
        <v>7764</v>
      </c>
      <c r="I9" s="4">
        <f>+I5-I8</f>
        <v>7771</v>
      </c>
      <c r="J9" s="4">
        <f>+J5-J8</f>
        <v>7684</v>
      </c>
      <c r="K9" s="4">
        <f>+K5-K8</f>
        <v>7581</v>
      </c>
      <c r="L9" s="4">
        <f>+L5-L8</f>
        <v>7784</v>
      </c>
      <c r="M9" s="4">
        <f>+M5-M8</f>
        <v>7185</v>
      </c>
      <c r="N9" s="4">
        <f>+N5-N8</f>
        <v>8344</v>
      </c>
      <c r="O9" s="4">
        <f>+O5-O8</f>
        <v>8053</v>
      </c>
      <c r="V9" s="4">
        <f>+V5-V8</f>
        <v>32666</v>
      </c>
      <c r="W9" s="4">
        <f>+W5-W8</f>
        <v>31683</v>
      </c>
      <c r="X9" s="4">
        <f>+X5-X8</f>
        <v>31894</v>
      </c>
    </row>
    <row r="10" spans="1:31" x14ac:dyDescent="0.2">
      <c r="B10" t="s">
        <v>29</v>
      </c>
      <c r="H10" s="4">
        <v>1570</v>
      </c>
      <c r="I10" s="4">
        <v>1546</v>
      </c>
      <c r="J10" s="4">
        <v>1565</v>
      </c>
      <c r="K10" s="4">
        <v>1612</v>
      </c>
      <c r="L10" s="4">
        <v>1697</v>
      </c>
      <c r="M10" s="4">
        <v>1697</v>
      </c>
      <c r="N10" s="4">
        <v>1713</v>
      </c>
      <c r="O10" s="4">
        <v>1714</v>
      </c>
      <c r="V10" s="4">
        <v>6577</v>
      </c>
      <c r="W10" s="4">
        <v>6347</v>
      </c>
      <c r="X10" s="4">
        <v>6549</v>
      </c>
    </row>
    <row r="11" spans="1:31" x14ac:dyDescent="0.2">
      <c r="B11" t="s">
        <v>88</v>
      </c>
      <c r="H11" s="4">
        <v>2279</v>
      </c>
      <c r="I11" s="4">
        <v>21</v>
      </c>
      <c r="J11" s="4">
        <v>2218</v>
      </c>
      <c r="K11" s="4">
        <v>2217</v>
      </c>
      <c r="L11" s="4">
        <v>2317</v>
      </c>
      <c r="M11" s="4">
        <v>2317</v>
      </c>
      <c r="N11" s="4">
        <v>2448</v>
      </c>
      <c r="O11" s="4">
        <v>2261</v>
      </c>
      <c r="V11" s="4">
        <f>9571+1827</f>
        <v>11398</v>
      </c>
      <c r="W11" s="4">
        <f>9169+1925</f>
        <v>11094</v>
      </c>
      <c r="X11" s="4">
        <f>9259+2152</f>
        <v>11411</v>
      </c>
    </row>
    <row r="12" spans="1:31" x14ac:dyDescent="0.2">
      <c r="B12" t="s">
        <v>30</v>
      </c>
      <c r="H12" s="4">
        <f>+SUM(H10:H11)</f>
        <v>3849</v>
      </c>
      <c r="I12" s="4">
        <f>+SUM(I10:I11)</f>
        <v>1567</v>
      </c>
      <c r="J12" s="4">
        <f>+SUM(J10:J11)</f>
        <v>3783</v>
      </c>
      <c r="K12" s="4">
        <f>+SUM(K10:K11)</f>
        <v>3829</v>
      </c>
      <c r="L12" s="4">
        <f>+SUM(L10:L11)</f>
        <v>4014</v>
      </c>
      <c r="M12" s="4">
        <f>+SUM(M10:M11)</f>
        <v>4014</v>
      </c>
      <c r="N12" s="4">
        <f>+SUM(N10:N11)</f>
        <v>4161</v>
      </c>
      <c r="O12" s="4">
        <f>+SUM(O10:O11)</f>
        <v>3975</v>
      </c>
      <c r="V12" s="4">
        <f>+SUM(V10:V11)</f>
        <v>17975</v>
      </c>
      <c r="W12" s="4">
        <f>+SUM(W10:W11)</f>
        <v>17441</v>
      </c>
      <c r="X12" s="4">
        <f>+SUM(X10:X11)</f>
        <v>17960</v>
      </c>
    </row>
    <row r="13" spans="1:31" x14ac:dyDescent="0.2">
      <c r="B13" t="s">
        <v>31</v>
      </c>
      <c r="H13" s="4">
        <f>+H9-H12</f>
        <v>3915</v>
      </c>
      <c r="I13" s="4">
        <f>+I9-I12</f>
        <v>6204</v>
      </c>
      <c r="J13" s="4">
        <f>+J9-J12</f>
        <v>3901</v>
      </c>
      <c r="K13" s="4">
        <f>+K9-K12</f>
        <v>3752</v>
      </c>
      <c r="L13" s="4">
        <f>+L9-L12</f>
        <v>3770</v>
      </c>
      <c r="M13" s="4">
        <f>+M9-M12</f>
        <v>3171</v>
      </c>
      <c r="N13" s="4">
        <f>+N9-N12</f>
        <v>4183</v>
      </c>
      <c r="O13" s="4">
        <f>+O9-O12</f>
        <v>4078</v>
      </c>
      <c r="V13" s="4">
        <f>+V9-V12</f>
        <v>14691</v>
      </c>
      <c r="W13" s="4">
        <f>+W9-W12</f>
        <v>14242</v>
      </c>
      <c r="X13" s="4">
        <f>+X9-X12</f>
        <v>13934</v>
      </c>
    </row>
    <row r="14" spans="1:31" x14ac:dyDescent="0.2">
      <c r="B14" t="s">
        <v>32</v>
      </c>
      <c r="H14">
        <v>154</v>
      </c>
      <c r="I14">
        <v>126</v>
      </c>
      <c r="J14">
        <v>59</v>
      </c>
      <c r="K14">
        <f>174+-112+49</f>
        <v>111</v>
      </c>
      <c r="L14">
        <v>126</v>
      </c>
      <c r="M14">
        <v>126</v>
      </c>
      <c r="N14">
        <f>130+-98+128</f>
        <v>160</v>
      </c>
      <c r="O14">
        <f>121+-89+187</f>
        <v>219</v>
      </c>
      <c r="V14">
        <v>352</v>
      </c>
      <c r="W14">
        <v>350</v>
      </c>
      <c r="X14">
        <v>429</v>
      </c>
    </row>
    <row r="15" spans="1:31" x14ac:dyDescent="0.2">
      <c r="B15" t="s">
        <v>33</v>
      </c>
      <c r="H15" s="4">
        <f>+H13+H14</f>
        <v>4069</v>
      </c>
      <c r="I15" s="4">
        <f>+I13+I14</f>
        <v>6330</v>
      </c>
      <c r="J15" s="4">
        <f>+J13+J14</f>
        <v>3960</v>
      </c>
      <c r="K15" s="4">
        <f>+K13+K14</f>
        <v>3863</v>
      </c>
      <c r="L15" s="4">
        <f>+L13+L14</f>
        <v>3896</v>
      </c>
      <c r="M15" s="4">
        <f>+M13+M14</f>
        <v>3297</v>
      </c>
      <c r="N15" s="4">
        <f>+N13+N14</f>
        <v>4343</v>
      </c>
      <c r="O15" s="4">
        <f>+O13+O14</f>
        <v>4297</v>
      </c>
      <c r="V15" s="4">
        <f>+V13+V14</f>
        <v>15043</v>
      </c>
      <c r="W15" s="4">
        <f>+W13+W14</f>
        <v>14592</v>
      </c>
      <c r="X15" s="4">
        <f>+X13+X14</f>
        <v>14363</v>
      </c>
    </row>
    <row r="16" spans="1:31" x14ac:dyDescent="0.2">
      <c r="B16" t="s">
        <v>34</v>
      </c>
      <c r="H16">
        <v>656</v>
      </c>
      <c r="I16">
        <v>728</v>
      </c>
      <c r="J16">
        <v>670</v>
      </c>
      <c r="K16">
        <v>507</v>
      </c>
      <c r="L16">
        <v>728</v>
      </c>
      <c r="M16">
        <v>728</v>
      </c>
      <c r="N16">
        <v>726</v>
      </c>
      <c r="O16">
        <v>677</v>
      </c>
      <c r="V16">
        <v>2950</v>
      </c>
      <c r="W16">
        <v>2756</v>
      </c>
      <c r="X16">
        <v>2671</v>
      </c>
    </row>
    <row r="17" spans="2:24" s="1" customFormat="1" ht="15" x14ac:dyDescent="0.25">
      <c r="B17" s="1" t="s">
        <v>35</v>
      </c>
      <c r="H17" s="6">
        <f>+H15-H16</f>
        <v>3413</v>
      </c>
      <c r="I17" s="6">
        <f>+I15-I16</f>
        <v>5602</v>
      </c>
      <c r="J17" s="6">
        <f>+J15-J16</f>
        <v>3290</v>
      </c>
      <c r="K17" s="6">
        <f>+K15-K16</f>
        <v>3356</v>
      </c>
      <c r="L17" s="6">
        <f>+L15-L16</f>
        <v>3168</v>
      </c>
      <c r="M17" s="6">
        <f>+M15-M16</f>
        <v>2569</v>
      </c>
      <c r="N17" s="6">
        <f>+N15-N16</f>
        <v>3617</v>
      </c>
      <c r="O17" s="6">
        <f>+O15-O16</f>
        <v>3620</v>
      </c>
      <c r="V17" s="6">
        <f>+V15-V16</f>
        <v>12093</v>
      </c>
      <c r="W17" s="6">
        <f>+W15-W16</f>
        <v>11836</v>
      </c>
      <c r="X17" s="6">
        <f>+X15-X16</f>
        <v>11692</v>
      </c>
    </row>
    <row r="18" spans="2:24" x14ac:dyDescent="0.2">
      <c r="B18" t="s">
        <v>36</v>
      </c>
      <c r="H18" s="5">
        <f>+H17/H19</f>
        <v>0.8011737089201878</v>
      </c>
      <c r="I18" s="5">
        <f>+I17/I19</f>
        <v>1.3218499292118924</v>
      </c>
      <c r="J18" s="5">
        <f>+J17/J19</f>
        <v>0.77521206409048071</v>
      </c>
      <c r="K18" s="5">
        <f>+K17/K19</f>
        <v>0.79076343072573041</v>
      </c>
      <c r="L18" s="5">
        <f>+L17/L19</f>
        <v>0.74752241623407267</v>
      </c>
      <c r="M18" s="5">
        <f>+M17/M19</f>
        <v>0.6061821613968853</v>
      </c>
      <c r="N18" s="5">
        <f>+N17/N19</f>
        <v>0.85346861727229828</v>
      </c>
      <c r="O18" s="5">
        <f>+O17/O19</f>
        <v>0.85316992693848692</v>
      </c>
      <c r="V18" s="5">
        <f>+V17/V19</f>
        <v>2.7156972827307433</v>
      </c>
      <c r="W18" s="5">
        <f>+W17/W19</f>
        <v>2.7823225199811943</v>
      </c>
      <c r="X18" s="5">
        <f>+X17/X19</f>
        <v>2.7601510859301226</v>
      </c>
    </row>
    <row r="19" spans="2:24" x14ac:dyDescent="0.2">
      <c r="B19" t="s">
        <v>1</v>
      </c>
      <c r="H19" s="4">
        <v>4260</v>
      </c>
      <c r="I19" s="4">
        <v>4238</v>
      </c>
      <c r="J19" s="4">
        <v>4244</v>
      </c>
      <c r="K19" s="4">
        <v>4244</v>
      </c>
      <c r="L19" s="4">
        <v>4238</v>
      </c>
      <c r="M19" s="4">
        <v>4238</v>
      </c>
      <c r="N19" s="4">
        <v>4238</v>
      </c>
      <c r="O19" s="4">
        <v>4243</v>
      </c>
      <c r="V19" s="4">
        <v>4453</v>
      </c>
      <c r="W19" s="4">
        <v>4254</v>
      </c>
      <c r="X19" s="4">
        <v>4236</v>
      </c>
    </row>
    <row r="21" spans="2:24" x14ac:dyDescent="0.2">
      <c r="B21" t="s">
        <v>37</v>
      </c>
      <c r="H21" s="7">
        <f>+H9/H5</f>
        <v>0.64673052894627236</v>
      </c>
      <c r="I21" s="7">
        <f>+I9/I5</f>
        <v>0.6485020445631311</v>
      </c>
      <c r="J21" s="7">
        <f>+J9/J5</f>
        <v>0.63221984531841369</v>
      </c>
      <c r="K21" s="7">
        <f>+K9/K5</f>
        <v>0.63551010143348141</v>
      </c>
      <c r="L21" s="7">
        <f>+L9/L5</f>
        <v>0.65083612040133776</v>
      </c>
      <c r="M21" s="7">
        <f>+M9/M5</f>
        <v>0.60874353977802254</v>
      </c>
      <c r="N21" s="7">
        <f>+N9/N5</f>
        <v>0.63568490019808011</v>
      </c>
      <c r="O21" s="7">
        <f>+O9/O5</f>
        <v>0.62426356589147292</v>
      </c>
      <c r="V21" s="7">
        <f t="shared" ref="V21:X21" si="1">+V9/V5</f>
        <v>0.62935419235511714</v>
      </c>
      <c r="W21" s="7">
        <f t="shared" si="1"/>
        <v>0.64264416543274983</v>
      </c>
      <c r="X21" s="7">
        <f t="shared" si="1"/>
        <v>0.64021036573126178</v>
      </c>
    </row>
    <row r="22" spans="2:24" x14ac:dyDescent="0.2">
      <c r="B22" t="s">
        <v>39</v>
      </c>
      <c r="H22" s="7">
        <f>+H13/H5</f>
        <v>0.32611411911703458</v>
      </c>
      <c r="I22" s="7">
        <f>+I13/I5</f>
        <v>0.51773345572894935</v>
      </c>
      <c r="J22" s="7">
        <f>+J13/J5</f>
        <v>0.32096429159124568</v>
      </c>
      <c r="K22" s="7">
        <f>+K13/K5</f>
        <v>0.31452762176209237</v>
      </c>
      <c r="L22" s="7">
        <f>+L13/L5</f>
        <v>0.31521739130434784</v>
      </c>
      <c r="M22" s="7">
        <f>+M13/M5</f>
        <v>0.26866051003982039</v>
      </c>
      <c r="N22" s="7">
        <f>+N13/N5</f>
        <v>0.3186804814871248</v>
      </c>
      <c r="O22" s="7">
        <f>+O13/O5</f>
        <v>0.31612403100775194</v>
      </c>
      <c r="V22" s="7">
        <f t="shared" ref="V22:X22" si="2">+V13/V5</f>
        <v>0.28304176942046855</v>
      </c>
      <c r="W22" s="7">
        <f t="shared" si="2"/>
        <v>0.28887852173383904</v>
      </c>
      <c r="X22" s="7">
        <f t="shared" si="2"/>
        <v>0.27969810108796017</v>
      </c>
    </row>
    <row r="23" spans="2:24" x14ac:dyDescent="0.2">
      <c r="B23" t="s">
        <v>40</v>
      </c>
      <c r="H23" s="7">
        <f>+H16/H15</f>
        <v>0.16121897272057018</v>
      </c>
      <c r="I23" s="7">
        <f>+I16/I15</f>
        <v>0.11500789889415482</v>
      </c>
      <c r="J23" s="7">
        <f>+J16/J15</f>
        <v>0.1691919191919192</v>
      </c>
      <c r="K23" s="7">
        <f>+K16/K15</f>
        <v>0.13124514625938391</v>
      </c>
      <c r="L23" s="7">
        <f>+L16/L15</f>
        <v>0.18685831622176591</v>
      </c>
      <c r="M23" s="7">
        <f>+M16/M15</f>
        <v>0.2208067940552017</v>
      </c>
      <c r="N23" s="7">
        <f>+N16/N15</f>
        <v>0.16716555376467879</v>
      </c>
      <c r="O23" s="7">
        <f>+O16/O15</f>
        <v>0.15755178031184547</v>
      </c>
      <c r="V23" s="7">
        <f t="shared" ref="V23:X23" si="3">+V16/V15</f>
        <v>0.19610450043209465</v>
      </c>
      <c r="W23" s="7">
        <f t="shared" si="3"/>
        <v>0.18887061403508773</v>
      </c>
      <c r="X23" s="7">
        <f t="shared" si="3"/>
        <v>0.18596393511104922</v>
      </c>
    </row>
    <row r="25" spans="2:24" x14ac:dyDescent="0.2">
      <c r="B25" t="s">
        <v>38</v>
      </c>
      <c r="N25" s="7">
        <f>+N5/J5-1</f>
        <v>7.9973671219351727E-2</v>
      </c>
      <c r="O25" s="7">
        <f>+O5/K5-1</f>
        <v>8.1398273115935948E-2</v>
      </c>
    </row>
    <row r="26" spans="2:24" x14ac:dyDescent="0.2">
      <c r="O26" s="7"/>
    </row>
    <row r="27" spans="2:24" s="1" customFormat="1" ht="15" x14ac:dyDescent="0.25">
      <c r="B27" s="1" t="s">
        <v>61</v>
      </c>
      <c r="N27" s="6">
        <f>+N28-N40</f>
        <v>12992</v>
      </c>
      <c r="O27" s="6">
        <f>+O28-O40</f>
        <v>13844</v>
      </c>
    </row>
    <row r="28" spans="2:24" x14ac:dyDescent="0.2">
      <c r="B28" t="s">
        <v>3</v>
      </c>
      <c r="K28" s="4"/>
      <c r="N28" s="4">
        <f>9175+15343</f>
        <v>24518</v>
      </c>
      <c r="O28" s="4">
        <f>7619+15727</f>
        <v>23346</v>
      </c>
    </row>
    <row r="29" spans="2:24" x14ac:dyDescent="0.2">
      <c r="B29" t="s">
        <v>41</v>
      </c>
      <c r="K29" s="4"/>
      <c r="N29" s="4">
        <v>5766</v>
      </c>
      <c r="O29" s="4">
        <v>5306</v>
      </c>
    </row>
    <row r="30" spans="2:24" x14ac:dyDescent="0.2">
      <c r="B30" t="s">
        <v>42</v>
      </c>
      <c r="K30" s="4"/>
      <c r="N30" s="4">
        <v>1559</v>
      </c>
      <c r="O30" s="4">
        <v>1832</v>
      </c>
    </row>
    <row r="31" spans="2:24" x14ac:dyDescent="0.2">
      <c r="B31" t="s">
        <v>43</v>
      </c>
      <c r="K31" s="4"/>
      <c r="N31" s="4">
        <v>4380</v>
      </c>
      <c r="O31" s="4">
        <v>4070</v>
      </c>
    </row>
    <row r="32" spans="2:24" x14ac:dyDescent="0.2">
      <c r="B32" t="s">
        <v>44</v>
      </c>
      <c r="K32" s="4"/>
      <c r="N32" s="4">
        <v>2889</v>
      </c>
      <c r="O32" s="4">
        <v>3034</v>
      </c>
    </row>
    <row r="33" spans="2:15" x14ac:dyDescent="0.2">
      <c r="B33" t="s">
        <v>45</v>
      </c>
      <c r="K33" s="4"/>
      <c r="N33" s="4">
        <v>2338</v>
      </c>
      <c r="O33" s="4">
        <v>2238</v>
      </c>
    </row>
    <row r="34" spans="2:15" x14ac:dyDescent="0.2">
      <c r="B34" t="s">
        <v>43</v>
      </c>
      <c r="K34" s="4"/>
      <c r="N34" s="4">
        <v>4884</v>
      </c>
      <c r="O34" s="4">
        <v>4546</v>
      </c>
    </row>
    <row r="35" spans="2:15" x14ac:dyDescent="0.2">
      <c r="B35" t="s">
        <v>46</v>
      </c>
      <c r="K35" s="4"/>
      <c r="N35" s="4">
        <f>38168+3619</f>
        <v>41787</v>
      </c>
      <c r="O35" s="4">
        <f>38802+3350</f>
        <v>42152</v>
      </c>
    </row>
    <row r="36" spans="2:15" x14ac:dyDescent="0.2">
      <c r="B36" t="s">
        <v>47</v>
      </c>
      <c r="K36" s="4"/>
      <c r="N36" s="4">
        <v>4360</v>
      </c>
      <c r="O36" s="4">
        <v>4198</v>
      </c>
    </row>
    <row r="37" spans="2:15" x14ac:dyDescent="0.2">
      <c r="B37" t="s">
        <v>48</v>
      </c>
      <c r="K37" s="4"/>
      <c r="N37" s="4">
        <v>5016</v>
      </c>
      <c r="O37" s="4">
        <v>5259</v>
      </c>
    </row>
    <row r="38" spans="2:15" x14ac:dyDescent="0.2">
      <c r="B38" t="s">
        <v>49</v>
      </c>
      <c r="K38" s="4"/>
      <c r="N38" s="4">
        <f>+SUM(N28:N37)</f>
        <v>97497</v>
      </c>
      <c r="O38" s="4">
        <f>+SUM(O28:O37)</f>
        <v>95981</v>
      </c>
    </row>
    <row r="40" spans="2:15" x14ac:dyDescent="0.2">
      <c r="B40" t="s">
        <v>4</v>
      </c>
      <c r="N40" s="4">
        <f>2508+9018</f>
        <v>11526</v>
      </c>
      <c r="O40" s="4">
        <f>506+8996</f>
        <v>9502</v>
      </c>
    </row>
    <row r="41" spans="2:15" x14ac:dyDescent="0.2">
      <c r="B41" t="s">
        <v>50</v>
      </c>
      <c r="N41" s="4">
        <v>2362</v>
      </c>
      <c r="O41" s="4">
        <v>2261</v>
      </c>
    </row>
    <row r="42" spans="2:15" x14ac:dyDescent="0.2">
      <c r="B42" t="s">
        <v>51</v>
      </c>
      <c r="N42" s="4">
        <v>801</v>
      </c>
      <c r="O42" s="4">
        <v>816</v>
      </c>
    </row>
    <row r="43" spans="2:15" x14ac:dyDescent="0.2">
      <c r="B43" t="s">
        <v>52</v>
      </c>
      <c r="N43" s="4">
        <v>3818</v>
      </c>
      <c r="O43" s="4">
        <v>3231</v>
      </c>
    </row>
    <row r="44" spans="2:15" x14ac:dyDescent="0.2">
      <c r="B44" t="s">
        <v>53</v>
      </c>
      <c r="N44" s="4">
        <v>12148</v>
      </c>
      <c r="O44" s="4">
        <v>12017</v>
      </c>
    </row>
    <row r="45" spans="2:15" x14ac:dyDescent="0.2">
      <c r="B45" t="s">
        <v>56</v>
      </c>
      <c r="N45" s="4">
        <v>4620</v>
      </c>
      <c r="O45" s="4">
        <v>4407</v>
      </c>
    </row>
    <row r="46" spans="2:15" x14ac:dyDescent="0.2">
      <c r="B46" t="s">
        <v>57</v>
      </c>
      <c r="N46" s="4">
        <v>8538</v>
      </c>
      <c r="O46" s="4">
        <v>8553</v>
      </c>
    </row>
    <row r="47" spans="2:15" x14ac:dyDescent="0.2">
      <c r="B47" t="s">
        <v>58</v>
      </c>
      <c r="N47" s="4">
        <v>10016</v>
      </c>
      <c r="O47" s="4">
        <v>10055</v>
      </c>
    </row>
    <row r="48" spans="2:15" x14ac:dyDescent="0.2">
      <c r="B48" t="s">
        <v>54</v>
      </c>
      <c r="N48" s="4">
        <v>2393</v>
      </c>
      <c r="O48" s="4">
        <v>2438</v>
      </c>
    </row>
    <row r="49" spans="2:15" x14ac:dyDescent="0.2">
      <c r="B49" t="s">
        <v>55</v>
      </c>
      <c r="N49" s="4">
        <f>+SUM(N40:N48)</f>
        <v>56222</v>
      </c>
      <c r="O49" s="4">
        <f>+SUM(O40:O48)</f>
        <v>53280</v>
      </c>
    </row>
    <row r="50" spans="2:15" x14ac:dyDescent="0.2">
      <c r="B50" t="s">
        <v>86</v>
      </c>
      <c r="N50" s="4">
        <f>+N49+41275</f>
        <v>97497</v>
      </c>
      <c r="O50" s="4">
        <f>+O49+42701</f>
        <v>95981</v>
      </c>
    </row>
    <row r="52" spans="2:15" x14ac:dyDescent="0.2">
      <c r="B52" t="s">
        <v>59</v>
      </c>
      <c r="N52" s="4">
        <f>+N17</f>
        <v>3617</v>
      </c>
      <c r="O52" s="4">
        <f>+O17</f>
        <v>3620</v>
      </c>
    </row>
    <row r="53" spans="2:15" x14ac:dyDescent="0.2">
      <c r="B53" t="s">
        <v>60</v>
      </c>
      <c r="N53" s="4">
        <v>10591</v>
      </c>
      <c r="O53" s="4">
        <v>2980</v>
      </c>
    </row>
    <row r="54" spans="2:15" x14ac:dyDescent="0.2">
      <c r="B54" t="s">
        <v>62</v>
      </c>
      <c r="N54" s="4">
        <v>1862</v>
      </c>
      <c r="O54" s="4">
        <v>533</v>
      </c>
    </row>
    <row r="55" spans="2:15" x14ac:dyDescent="0.2">
      <c r="B55" t="s">
        <v>63</v>
      </c>
      <c r="N55" s="4">
        <v>1761</v>
      </c>
      <c r="O55" s="4">
        <v>453</v>
      </c>
    </row>
    <row r="56" spans="2:15" x14ac:dyDescent="0.2">
      <c r="B56" t="s">
        <v>64</v>
      </c>
      <c r="N56" s="4">
        <v>-6</v>
      </c>
      <c r="O56" s="4">
        <v>1</v>
      </c>
    </row>
    <row r="57" spans="2:15" x14ac:dyDescent="0.2">
      <c r="B57" t="s">
        <v>47</v>
      </c>
      <c r="N57" s="4">
        <v>-384</v>
      </c>
      <c r="O57" s="4">
        <v>-98</v>
      </c>
    </row>
    <row r="58" spans="2:15" x14ac:dyDescent="0.2">
      <c r="B58" t="s">
        <v>65</v>
      </c>
      <c r="N58" s="4">
        <v>-354</v>
      </c>
      <c r="O58" s="4">
        <v>-211</v>
      </c>
    </row>
    <row r="59" spans="2:15" x14ac:dyDescent="0.2">
      <c r="B59" t="s">
        <v>41</v>
      </c>
      <c r="N59" s="4">
        <v>-107</v>
      </c>
      <c r="O59" s="4">
        <v>427</v>
      </c>
    </row>
    <row r="60" spans="2:15" x14ac:dyDescent="0.2">
      <c r="B60" t="s">
        <v>42</v>
      </c>
      <c r="N60" s="4">
        <v>-244</v>
      </c>
      <c r="O60" s="4">
        <v>-275</v>
      </c>
    </row>
    <row r="61" spans="2:15" x14ac:dyDescent="0.2">
      <c r="B61" t="s">
        <v>43</v>
      </c>
      <c r="N61" s="4">
        <v>1577</v>
      </c>
      <c r="O61" s="4">
        <v>672</v>
      </c>
    </row>
    <row r="62" spans="2:15" x14ac:dyDescent="0.2">
      <c r="B62" t="s">
        <v>48</v>
      </c>
      <c r="N62" s="4">
        <v>-797</v>
      </c>
      <c r="O62" s="4">
        <v>-170</v>
      </c>
    </row>
    <row r="63" spans="2:15" x14ac:dyDescent="0.2">
      <c r="B63" t="s">
        <v>50</v>
      </c>
      <c r="N63" s="4">
        <v>-53</v>
      </c>
      <c r="O63" s="4">
        <v>-93</v>
      </c>
    </row>
    <row r="64" spans="2:15" x14ac:dyDescent="0.2">
      <c r="B64" t="s">
        <v>66</v>
      </c>
      <c r="N64" s="4">
        <v>-549</v>
      </c>
      <c r="O64" s="4">
        <v>17</v>
      </c>
    </row>
    <row r="65" spans="2:15" x14ac:dyDescent="0.2">
      <c r="B65" t="s">
        <v>52</v>
      </c>
      <c r="N65" s="4">
        <v>643</v>
      </c>
      <c r="O65" s="4">
        <v>-585</v>
      </c>
    </row>
    <row r="66" spans="2:15" x14ac:dyDescent="0.2">
      <c r="B66" t="s">
        <v>53</v>
      </c>
      <c r="N66" s="4">
        <v>1560</v>
      </c>
      <c r="O66" s="4">
        <v>-95</v>
      </c>
    </row>
    <row r="67" spans="2:15" x14ac:dyDescent="0.2">
      <c r="B67" t="s">
        <v>67</v>
      </c>
      <c r="N67" s="4">
        <v>-46</v>
      </c>
      <c r="O67" s="4">
        <v>-129</v>
      </c>
    </row>
    <row r="68" spans="2:15" s="1" customFormat="1" ht="15" x14ac:dyDescent="0.25">
      <c r="B68" s="1" t="s">
        <v>68</v>
      </c>
      <c r="N68" s="6">
        <f>+SUM(N53:N67)</f>
        <v>15454</v>
      </c>
      <c r="O68" s="6">
        <f>+SUM(O53:O67)</f>
        <v>3427</v>
      </c>
    </row>
    <row r="70" spans="2:15" x14ac:dyDescent="0.2">
      <c r="B70" t="s">
        <v>69</v>
      </c>
      <c r="N70" s="4">
        <v>-9328</v>
      </c>
      <c r="O70" s="4">
        <v>-2951</v>
      </c>
    </row>
    <row r="71" spans="2:15" x14ac:dyDescent="0.2">
      <c r="B71" t="s">
        <v>70</v>
      </c>
      <c r="N71" s="4">
        <v>3373</v>
      </c>
      <c r="O71" s="4">
        <v>580</v>
      </c>
    </row>
    <row r="72" spans="2:15" x14ac:dyDescent="0.2">
      <c r="B72" t="s">
        <v>71</v>
      </c>
      <c r="N72" s="4">
        <v>8409</v>
      </c>
      <c r="O72" s="4">
        <v>1856</v>
      </c>
    </row>
    <row r="73" spans="2:15" x14ac:dyDescent="0.2">
      <c r="B73" t="s">
        <v>74</v>
      </c>
      <c r="N73" s="4">
        <v>-7038</v>
      </c>
      <c r="O73" s="4">
        <v>-336</v>
      </c>
    </row>
    <row r="74" spans="2:15" x14ac:dyDescent="0.2">
      <c r="B74" t="s">
        <v>72</v>
      </c>
      <c r="N74" s="4">
        <v>-175</v>
      </c>
      <c r="O74" s="4">
        <v>-101</v>
      </c>
    </row>
    <row r="75" spans="2:15" x14ac:dyDescent="0.2">
      <c r="B75" t="s">
        <v>73</v>
      </c>
      <c r="N75" s="4">
        <v>194</v>
      </c>
      <c r="O75" s="4">
        <v>53</v>
      </c>
    </row>
    <row r="76" spans="2:15" x14ac:dyDescent="0.2">
      <c r="B76" t="s">
        <v>75</v>
      </c>
      <c r="N76" s="4">
        <v>-692</v>
      </c>
      <c r="O76" s="4">
        <v>-122</v>
      </c>
    </row>
    <row r="77" spans="2:15" x14ac:dyDescent="0.2">
      <c r="B77" t="s">
        <v>76</v>
      </c>
      <c r="N77" s="4">
        <v>28</v>
      </c>
      <c r="O77" s="4">
        <v>1</v>
      </c>
    </row>
    <row r="78" spans="2:15" x14ac:dyDescent="0.2">
      <c r="B78" t="s">
        <v>83</v>
      </c>
      <c r="N78" s="4">
        <v>-56</v>
      </c>
      <c r="O78" s="4">
        <v>0</v>
      </c>
    </row>
    <row r="79" spans="2:15" s="1" customFormat="1" ht="15" x14ac:dyDescent="0.25">
      <c r="B79" s="1" t="s">
        <v>77</v>
      </c>
      <c r="N79" s="6">
        <f>+SUM(N70:N77)</f>
        <v>-5229</v>
      </c>
      <c r="O79" s="6">
        <f>+SUM(O70:O77)</f>
        <v>-1020</v>
      </c>
    </row>
    <row r="81" spans="2:15" x14ac:dyDescent="0.2">
      <c r="B81" t="s">
        <v>78</v>
      </c>
      <c r="N81" s="4">
        <v>643</v>
      </c>
      <c r="O81" s="4">
        <v>0</v>
      </c>
    </row>
    <row r="82" spans="2:15" x14ac:dyDescent="0.2">
      <c r="B82" t="s">
        <v>79</v>
      </c>
      <c r="N82" s="4">
        <v>-2877</v>
      </c>
      <c r="O82" s="4">
        <v>-273</v>
      </c>
    </row>
    <row r="83" spans="2:15" x14ac:dyDescent="0.2">
      <c r="B83" t="s">
        <v>80</v>
      </c>
      <c r="N83" s="4">
        <v>-636</v>
      </c>
      <c r="O83" s="4">
        <v>-133</v>
      </c>
    </row>
    <row r="84" spans="2:15" x14ac:dyDescent="0.2">
      <c r="B84" t="s">
        <v>87</v>
      </c>
      <c r="N84" s="4">
        <v>-5</v>
      </c>
      <c r="O84" s="4"/>
    </row>
    <row r="85" spans="2:15" x14ac:dyDescent="0.2">
      <c r="B85" t="s">
        <v>81</v>
      </c>
      <c r="N85" s="4">
        <v>-3000</v>
      </c>
      <c r="O85" s="4">
        <v>-2000</v>
      </c>
    </row>
    <row r="86" spans="2:15" x14ac:dyDescent="0.2">
      <c r="B86" t="s">
        <v>82</v>
      </c>
      <c r="N86" s="4">
        <v>-6163</v>
      </c>
      <c r="O86" s="4">
        <v>-1561</v>
      </c>
    </row>
    <row r="87" spans="2:15" x14ac:dyDescent="0.2">
      <c r="B87" t="s">
        <v>83</v>
      </c>
      <c r="N87" s="4">
        <v>-3</v>
      </c>
      <c r="O87" s="4">
        <v>-3</v>
      </c>
    </row>
    <row r="88" spans="2:15" s="1" customFormat="1" ht="15" x14ac:dyDescent="0.25">
      <c r="B88" s="1" t="s">
        <v>84</v>
      </c>
      <c r="N88" s="6">
        <f>+SUM(N81:N87)</f>
        <v>-12041</v>
      </c>
      <c r="O88" s="6">
        <f>+SUM(O81:O87)</f>
        <v>-3970</v>
      </c>
    </row>
    <row r="89" spans="2:15" s="1" customFormat="1" ht="15" x14ac:dyDescent="0.25">
      <c r="B89" s="1" t="s">
        <v>85</v>
      </c>
      <c r="N89" s="6">
        <f>+N68+N79+N88</f>
        <v>-1816</v>
      </c>
      <c r="O89" s="6">
        <f>+O68+O79+O88</f>
        <v>-1563</v>
      </c>
    </row>
  </sheetData>
  <hyperlinks>
    <hyperlink ref="A1" location="Main!A1" display="Main" xr:uid="{40947543-0D8F-4D48-BC9B-63E39A09AE1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2022-01-07T19:40:34Z</dcterms:created>
  <dcterms:modified xsi:type="dcterms:W3CDTF">2022-01-07T23:34:10Z</dcterms:modified>
</cp:coreProperties>
</file>