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FFE5A9F7-A021-4254-8EDF-3AEABD7DE991}" xr6:coauthVersionLast="47" xr6:coauthVersionMax="47" xr10:uidLastSave="{00000000-0000-0000-0000-000000000000}"/>
  <bookViews>
    <workbookView xWindow="-120" yWindow="-120" windowWidth="29040" windowHeight="15840" activeTab="1" xr2:uid="{2CC1DF69-9CFB-44AA-A630-658ED9DA790B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5" i="2" l="1"/>
  <c r="Y20" i="2"/>
  <c r="U23" i="2"/>
  <c r="U22" i="2"/>
  <c r="U21" i="2"/>
  <c r="U20" i="2"/>
  <c r="U13" i="2"/>
  <c r="U12" i="2"/>
  <c r="U11" i="2"/>
  <c r="U9" i="2"/>
  <c r="U5" i="2"/>
  <c r="Y23" i="2"/>
  <c r="Y22" i="2"/>
  <c r="Y21" i="2"/>
  <c r="V21" i="2"/>
  <c r="Y13" i="2"/>
  <c r="Y11" i="2"/>
  <c r="Y9" i="2"/>
  <c r="Y10" i="2" s="1"/>
  <c r="Y12" i="2" s="1"/>
  <c r="Y14" i="2" s="1"/>
  <c r="Y16" i="2" s="1"/>
  <c r="Y5" i="2"/>
  <c r="U10" i="2" l="1"/>
  <c r="U14" i="2" s="1"/>
  <c r="U16" i="2" s="1"/>
  <c r="L7" i="1" l="1"/>
  <c r="L6" i="1"/>
  <c r="R37" i="2"/>
  <c r="R39" i="2"/>
  <c r="R47" i="2" s="1"/>
  <c r="R48" i="2" s="1"/>
  <c r="R30" i="2"/>
  <c r="V39" i="2"/>
  <c r="V47" i="2" s="1"/>
  <c r="V48" i="2" s="1"/>
  <c r="V30" i="2"/>
  <c r="V37" i="2" s="1"/>
  <c r="V26" i="2"/>
  <c r="R13" i="2"/>
  <c r="R11" i="2"/>
  <c r="R9" i="2"/>
  <c r="R5" i="2"/>
  <c r="V13" i="2"/>
  <c r="V11" i="2"/>
  <c r="V9" i="2"/>
  <c r="V5" i="2"/>
  <c r="V20" i="2" s="1"/>
  <c r="AG2" i="2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R10" i="2" l="1"/>
  <c r="R21" i="2" s="1"/>
  <c r="V10" i="2"/>
  <c r="V12" i="2" s="1"/>
  <c r="V23" i="2" s="1"/>
  <c r="V29" i="2"/>
  <c r="R23" i="2"/>
  <c r="V25" i="2"/>
  <c r="R20" i="2"/>
  <c r="V14" i="2"/>
  <c r="R29" i="2"/>
  <c r="R12" i="2"/>
  <c r="R14" i="2" s="1"/>
  <c r="V22" i="2" l="1"/>
  <c r="V16" i="2"/>
  <c r="R16" i="2"/>
  <c r="R22" i="2"/>
  <c r="L3" i="1" l="1"/>
  <c r="L5" i="1" s="1"/>
  <c r="L8" i="1" s="1"/>
</calcChain>
</file>

<file path=xl/sharedStrings.xml><?xml version="1.0" encoding="utf-8"?>
<sst xmlns="http://schemas.openxmlformats.org/spreadsheetml/2006/main" count="73" uniqueCount="67">
  <si>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</si>
  <si>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</si>
  <si>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</si>
  <si>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</si>
  <si>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</si>
  <si>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</si>
  <si>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</si>
  <si>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</si>
  <si>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</si>
  <si>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</si>
  <si>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Q120</t>
  </si>
  <si>
    <t>Q220</t>
  </si>
  <si>
    <t>Q320</t>
  </si>
  <si>
    <t>Q420</t>
  </si>
  <si>
    <t>Q121</t>
  </si>
  <si>
    <t>Q221</t>
  </si>
  <si>
    <t>Q321</t>
  </si>
  <si>
    <t>Q421</t>
  </si>
  <si>
    <t>Net Sales</t>
  </si>
  <si>
    <t>Memebership Fee</t>
  </si>
  <si>
    <t>Revenue</t>
  </si>
  <si>
    <t>Merchandise cost</t>
  </si>
  <si>
    <t>sG&amp;A</t>
  </si>
  <si>
    <t>Preopening Expense</t>
  </si>
  <si>
    <t>Operating Expenses</t>
  </si>
  <si>
    <t>Operating Income</t>
  </si>
  <si>
    <t>Pretax Income</t>
  </si>
  <si>
    <t>Net Income</t>
  </si>
  <si>
    <t>S/O</t>
  </si>
  <si>
    <t>EPS</t>
  </si>
  <si>
    <t>Q415</t>
  </si>
  <si>
    <t>Price</t>
  </si>
  <si>
    <t>MC</t>
  </si>
  <si>
    <t>Cash</t>
  </si>
  <si>
    <t>Debt</t>
  </si>
  <si>
    <t>EV</t>
  </si>
  <si>
    <t>Opeation began in 1983 in Seattle, Washington.</t>
  </si>
  <si>
    <t>Tax + NCI</t>
  </si>
  <si>
    <t>Operation Margin %</t>
  </si>
  <si>
    <t>Income Margin %</t>
  </si>
  <si>
    <t>Gross Margin %</t>
  </si>
  <si>
    <t>Tax Rate</t>
  </si>
  <si>
    <t>Revenue Y/Y</t>
  </si>
  <si>
    <t>Gross Cost Y/Y</t>
  </si>
  <si>
    <t>A/R</t>
  </si>
  <si>
    <t>Inventory</t>
  </si>
  <si>
    <t>OA</t>
  </si>
  <si>
    <t>PP&amp;E</t>
  </si>
  <si>
    <t>Operating Lease</t>
  </si>
  <si>
    <t>OLTA</t>
  </si>
  <si>
    <t>Total Assets</t>
  </si>
  <si>
    <t>A/P</t>
  </si>
  <si>
    <t>Salaries</t>
  </si>
  <si>
    <t>Member Rewards</t>
  </si>
  <si>
    <t>OL</t>
  </si>
  <si>
    <t>OLTL</t>
  </si>
  <si>
    <t>Total Liabilties</t>
  </si>
  <si>
    <t>L + S/E</t>
  </si>
  <si>
    <t>Net Cash</t>
  </si>
  <si>
    <t>Deferred Fees</t>
  </si>
  <si>
    <t>Q322</t>
  </si>
  <si>
    <t>Shares</t>
  </si>
  <si>
    <t>Q122</t>
  </si>
  <si>
    <t>Q222</t>
  </si>
  <si>
    <t>Q422</t>
  </si>
  <si>
    <t>Q123</t>
  </si>
  <si>
    <t>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</si>
</sst>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verse/Sho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parison"/>
    </sheetNames>
    <sheetDataSet>
      <sheetData sheetId="0">
        <row r="5">
          <cell r="G5">
            <v>502.30500000000001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064D-FCF0-4ABB-BCAB-53D0031EA901}">
  <dimension ref="D3:N13"/>
  <sheetViews>
    <sheetView zoomScaleNormal="100" workbookViewId="0">
      <selection activeCell="H14" sqref="H14"/>
    </sheetView>
  </sheetViews>
  <sheetFormatPr defaultRowHeight="15" x14ac:dyDescent="0.2"/>
  <cols>
    <col min="1" max="11" width="9.140625" style="1"/>
    <col min="12" max="12" width="9.5703125" style="1" bestFit="1" customWidth="1"/>
    <col min="13" max="13" width="9.140625" style="9"/>
    <col min="14" max="16384" width="9.140625" style="1"/>
  </cols>
  <sheetData>
    <row r="3" spans="4:14" x14ac:dyDescent="0.2">
      <c r="K3" s="1" t="s">
        <v>31</v>
      </c>
      <c r="L3" s="8">
        <f>+[1]Main!$G$5</f>
        <v>502.30500000000001</v>
      </c>
      <c r="N3" s="1" t="s">
        <v>36</v>
      </c>
    </row>
    <row r="4" spans="4:14" x14ac:dyDescent="0.2">
      <c r="K4" s="1" t="s">
        <v>61</v>
      </c>
      <c r="L4" s="3">
        <v>442.96294899999998</v>
      </c>
      <c r="M4" s="9" t="s">
        <v>60</v>
      </c>
    </row>
    <row r="5" spans="4:14" x14ac:dyDescent="0.2">
      <c r="K5" s="1" t="s">
        <v>32</v>
      </c>
      <c r="L5" s="3">
        <f>+L3*L4</f>
        <v>222502.50409744499</v>
      </c>
    </row>
    <row r="6" spans="4:14" x14ac:dyDescent="0.2">
      <c r="K6" s="1" t="s">
        <v>33</v>
      </c>
      <c r="L6" s="3">
        <f>11193+638</f>
        <v>11831</v>
      </c>
      <c r="M6" s="9" t="s">
        <v>60</v>
      </c>
    </row>
    <row r="7" spans="4:14" x14ac:dyDescent="0.2">
      <c r="K7" s="1" t="s">
        <v>34</v>
      </c>
      <c r="L7" s="3">
        <f>77+6507</f>
        <v>6584</v>
      </c>
      <c r="M7" s="9" t="s">
        <v>60</v>
      </c>
    </row>
    <row r="8" spans="4:14" x14ac:dyDescent="0.2">
      <c r="K8" s="1" t="s">
        <v>35</v>
      </c>
      <c r="L8" s="3">
        <f>+L5-L6+L7</f>
        <v>217255.50409744499</v>
      </c>
    </row>
    <row r="13" spans="4:14" x14ac:dyDescent="0.2">
      <c r="D13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CDC1-16B4-493F-90E2-9DF3E94505CA}">
  <dimension ref="C1:AV49"/>
  <sheetViews>
    <sheetView tabSelected="1" topLeftCell="B1" zoomScaleNormal="100" workbookViewId="0">
      <pane xSplit="2" ySplit="2" topLeftCell="O3" activePane="bottomRight" state="frozen"/>
      <selection activeCell="B1" sqref="B1"/>
      <selection pane="topRight" activeCell="C1" sqref="C1"/>
      <selection pane="bottomLeft" activeCell="B3" sqref="B3"/>
      <selection pane="bottomRight" activeCell="V22" sqref="V22"/>
    </sheetView>
  </sheetViews>
  <sheetFormatPr defaultRowHeight="15" x14ac:dyDescent="0.2"/>
  <cols>
    <col min="1" max="2" width="9.140625" style="1"/>
    <col min="3" max="3" width="17.7109375" style="1" customWidth="1"/>
    <col min="4" max="17" width="9.140625" style="1"/>
    <col min="18" max="18" width="12.85546875" style="1" bestFit="1" customWidth="1"/>
    <col min="19" max="21" width="9.140625" style="1"/>
    <col min="22" max="22" width="12.85546875" style="1" bestFit="1" customWidth="1"/>
    <col min="23" max="30" width="12.85546875" style="1" customWidth="1"/>
    <col min="31" max="31" width="9.140625" style="1"/>
    <col min="32" max="32" width="9.28515625" style="1" bestFit="1" customWidth="1"/>
    <col min="33" max="33" width="13.7109375" style="1" bestFit="1" customWidth="1"/>
    <col min="34" max="48" width="9.28515625" style="1" bestFit="1" customWidth="1"/>
    <col min="49" max="16384" width="9.140625" style="1"/>
  </cols>
  <sheetData>
    <row r="1" spans="3:48" x14ac:dyDescent="0.2">
      <c r="R1" s="2">
        <v>44156</v>
      </c>
      <c r="V1" s="2">
        <v>44521</v>
      </c>
      <c r="W1" s="2"/>
      <c r="X1" s="2"/>
      <c r="Y1" s="2"/>
      <c r="Z1" s="2"/>
      <c r="AA1" s="2"/>
      <c r="AB1" s="2"/>
      <c r="AC1" s="2"/>
      <c r="AD1" s="2"/>
    </row>
    <row r="2" spans="3:48" x14ac:dyDescent="0.2">
      <c r="D2" s="1" t="s">
        <v>30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62</v>
      </c>
      <c r="X2" s="1" t="s">
        <v>63</v>
      </c>
      <c r="Y2" s="1" t="s">
        <v>60</v>
      </c>
      <c r="Z2" s="1" t="s">
        <v>64</v>
      </c>
      <c r="AA2" s="1" t="s">
        <v>65</v>
      </c>
      <c r="AF2" s="1">
        <v>2016</v>
      </c>
      <c r="AG2" s="1">
        <f>+AF2+1</f>
        <v>2017</v>
      </c>
      <c r="AH2" s="1">
        <f t="shared" ref="AH2:AV2" si="0">+AG2+1</f>
        <v>2018</v>
      </c>
      <c r="AI2" s="1">
        <f t="shared" si="0"/>
        <v>2019</v>
      </c>
      <c r="AJ2" s="1">
        <f t="shared" si="0"/>
        <v>2020</v>
      </c>
      <c r="AK2" s="1">
        <f t="shared" si="0"/>
        <v>2021</v>
      </c>
      <c r="AL2" s="1">
        <f t="shared" si="0"/>
        <v>2022</v>
      </c>
      <c r="AM2" s="1">
        <f t="shared" si="0"/>
        <v>2023</v>
      </c>
      <c r="AN2" s="1">
        <f t="shared" si="0"/>
        <v>2024</v>
      </c>
      <c r="AO2" s="1">
        <f t="shared" si="0"/>
        <v>2025</v>
      </c>
      <c r="AP2" s="1">
        <f t="shared" si="0"/>
        <v>2026</v>
      </c>
      <c r="AQ2" s="1">
        <f t="shared" si="0"/>
        <v>2027</v>
      </c>
      <c r="AR2" s="1">
        <f t="shared" si="0"/>
        <v>2028</v>
      </c>
      <c r="AS2" s="1">
        <f t="shared" si="0"/>
        <v>2029</v>
      </c>
      <c r="AT2" s="1">
        <f t="shared" si="0"/>
        <v>2030</v>
      </c>
      <c r="AU2" s="1">
        <f t="shared" si="0"/>
        <v>2031</v>
      </c>
      <c r="AV2" s="1">
        <f t="shared" si="0"/>
        <v>2032</v>
      </c>
    </row>
    <row r="3" spans="3:48" x14ac:dyDescent="0.2">
      <c r="C3" s="1" t="s">
        <v>18</v>
      </c>
      <c r="D3" s="3"/>
      <c r="E3" s="3"/>
      <c r="F3" s="3"/>
      <c r="G3" s="3"/>
      <c r="I3" s="3"/>
      <c r="J3" s="3"/>
      <c r="R3" s="3">
        <v>42347</v>
      </c>
      <c r="U3" s="3">
        <v>44376</v>
      </c>
      <c r="V3" s="3">
        <v>49417</v>
      </c>
      <c r="W3" s="3"/>
      <c r="X3" s="3"/>
      <c r="Y3" s="3">
        <v>51612</v>
      </c>
      <c r="Z3" s="3"/>
      <c r="AA3" s="3"/>
      <c r="AB3" s="3"/>
      <c r="AC3" s="3"/>
      <c r="AD3" s="3"/>
    </row>
    <row r="4" spans="3:48" x14ac:dyDescent="0.2">
      <c r="C4" s="1" t="s">
        <v>19</v>
      </c>
      <c r="D4" s="3"/>
      <c r="E4" s="3"/>
      <c r="F4" s="3"/>
      <c r="G4" s="3"/>
      <c r="I4" s="3"/>
      <c r="J4" s="3"/>
      <c r="R4" s="3">
        <v>861</v>
      </c>
      <c r="U4" s="3">
        <v>901</v>
      </c>
      <c r="V4" s="3">
        <v>946</v>
      </c>
      <c r="W4" s="3"/>
      <c r="X4" s="3"/>
      <c r="Y4" s="3">
        <v>984</v>
      </c>
      <c r="Z4" s="3"/>
      <c r="AA4" s="3"/>
      <c r="AB4" s="3"/>
      <c r="AC4" s="3"/>
      <c r="AD4" s="3"/>
    </row>
    <row r="5" spans="3:48" s="4" customFormat="1" ht="15.75" x14ac:dyDescent="0.25">
      <c r="C5" s="4" t="s">
        <v>20</v>
      </c>
      <c r="D5" s="5"/>
      <c r="E5" s="5"/>
      <c r="F5" s="5"/>
      <c r="G5" s="5"/>
      <c r="I5" s="5"/>
      <c r="J5" s="5"/>
      <c r="R5" s="5">
        <f>+R3+R4</f>
        <v>43208</v>
      </c>
      <c r="U5" s="5">
        <f>+U3+U4</f>
        <v>45277</v>
      </c>
      <c r="V5" s="5">
        <f>+V3+V4</f>
        <v>50363</v>
      </c>
      <c r="W5" s="5"/>
      <c r="X5" s="5"/>
      <c r="Y5" s="5">
        <f>+Y3+Y4</f>
        <v>52596</v>
      </c>
      <c r="Z5" s="5"/>
      <c r="AA5" s="5"/>
      <c r="AB5" s="5"/>
      <c r="AC5" s="5"/>
      <c r="AD5" s="5"/>
    </row>
    <row r="6" spans="3:48" x14ac:dyDescent="0.2">
      <c r="C6" s="1" t="s">
        <v>21</v>
      </c>
      <c r="D6" s="3"/>
      <c r="E6" s="3"/>
      <c r="F6" s="3"/>
      <c r="G6" s="3"/>
      <c r="I6" s="3"/>
      <c r="J6" s="3"/>
      <c r="R6" s="3">
        <v>37458</v>
      </c>
      <c r="U6" s="3">
        <v>39415</v>
      </c>
      <c r="V6" s="3">
        <v>43952</v>
      </c>
      <c r="W6" s="3"/>
      <c r="X6" s="3"/>
      <c r="Y6" s="3">
        <v>46355</v>
      </c>
      <c r="Z6" s="3"/>
      <c r="AA6" s="3"/>
      <c r="AB6" s="3"/>
      <c r="AC6" s="3"/>
      <c r="AD6" s="3"/>
    </row>
    <row r="7" spans="3:48" x14ac:dyDescent="0.2">
      <c r="C7" s="1" t="s">
        <v>22</v>
      </c>
      <c r="D7" s="3"/>
      <c r="E7" s="3"/>
      <c r="F7" s="3"/>
      <c r="G7" s="3"/>
      <c r="I7" s="3"/>
      <c r="J7" s="3"/>
      <c r="R7" s="3">
        <v>4298</v>
      </c>
      <c r="U7" s="3">
        <v>4199</v>
      </c>
      <c r="V7" s="3">
        <v>4690</v>
      </c>
      <c r="W7" s="3"/>
      <c r="X7" s="3"/>
      <c r="Y7" s="3">
        <v>4450</v>
      </c>
      <c r="Z7" s="3"/>
      <c r="AA7" s="3"/>
      <c r="AB7" s="3"/>
      <c r="AC7" s="3"/>
      <c r="AD7" s="3"/>
    </row>
    <row r="8" spans="3:48" x14ac:dyDescent="0.2">
      <c r="C8" s="1" t="s">
        <v>23</v>
      </c>
      <c r="D8" s="3"/>
      <c r="E8" s="3"/>
      <c r="F8" s="3"/>
      <c r="G8" s="3"/>
      <c r="I8" s="3"/>
      <c r="J8" s="3"/>
      <c r="R8" s="3">
        <v>22</v>
      </c>
      <c r="U8" s="3"/>
      <c r="V8" s="3">
        <v>28</v>
      </c>
      <c r="W8" s="3"/>
      <c r="X8" s="3"/>
      <c r="Y8" s="3"/>
      <c r="Z8" s="3"/>
      <c r="AA8" s="3"/>
      <c r="AB8" s="3"/>
      <c r="AC8" s="3"/>
      <c r="AD8" s="3"/>
      <c r="AG8" s="6"/>
      <c r="AH8" s="6"/>
    </row>
    <row r="9" spans="3:48" x14ac:dyDescent="0.2">
      <c r="C9" s="1" t="s">
        <v>24</v>
      </c>
      <c r="D9" s="3"/>
      <c r="E9" s="3"/>
      <c r="F9" s="3"/>
      <c r="G9" s="3"/>
      <c r="I9" s="3"/>
      <c r="J9" s="3"/>
      <c r="R9" s="3">
        <f>+SUM(R6:R8)</f>
        <v>41778</v>
      </c>
      <c r="U9" s="3">
        <f>+SUM(U6:U8)</f>
        <v>43614</v>
      </c>
      <c r="V9" s="3">
        <f>+SUM(V6:V8)</f>
        <v>48670</v>
      </c>
      <c r="W9" s="3"/>
      <c r="X9" s="3"/>
      <c r="Y9" s="3">
        <f>+SUM(Y6:Y8)</f>
        <v>50805</v>
      </c>
      <c r="Z9" s="3"/>
      <c r="AA9" s="3"/>
      <c r="AB9" s="3"/>
      <c r="AC9" s="3"/>
      <c r="AD9" s="3"/>
    </row>
    <row r="10" spans="3:48" x14ac:dyDescent="0.2">
      <c r="C10" s="1" t="s">
        <v>25</v>
      </c>
      <c r="D10" s="3"/>
      <c r="E10" s="3"/>
      <c r="F10" s="3"/>
      <c r="G10" s="3"/>
      <c r="I10" s="3"/>
      <c r="J10" s="3"/>
      <c r="R10" s="3">
        <f>+R5-R9</f>
        <v>1430</v>
      </c>
      <c r="U10" s="3">
        <f>+U5-U9</f>
        <v>1663</v>
      </c>
      <c r="V10" s="3">
        <f>+V5-V9</f>
        <v>1693</v>
      </c>
      <c r="W10" s="3"/>
      <c r="X10" s="3"/>
      <c r="Y10" s="3">
        <f>+Y5-Y9</f>
        <v>1791</v>
      </c>
      <c r="Z10" s="3"/>
      <c r="AA10" s="3"/>
      <c r="AB10" s="3"/>
      <c r="AC10" s="3"/>
      <c r="AD10" s="3"/>
    </row>
    <row r="11" spans="3:48" x14ac:dyDescent="0.2">
      <c r="C11" s="1" t="s">
        <v>66</v>
      </c>
      <c r="D11" s="3"/>
      <c r="E11" s="3"/>
      <c r="F11" s="3"/>
      <c r="G11" s="3"/>
      <c r="I11" s="3"/>
      <c r="J11" s="3"/>
      <c r="R11" s="3">
        <f>+-39+29</f>
        <v>-10</v>
      </c>
      <c r="U11" s="3">
        <f>+-40+27</f>
        <v>-13</v>
      </c>
      <c r="V11" s="3">
        <f>+-39+42</f>
        <v>3</v>
      </c>
      <c r="W11" s="3"/>
      <c r="X11" s="3"/>
      <c r="Y11" s="3">
        <f>+-35+71</f>
        <v>36</v>
      </c>
      <c r="Z11" s="3"/>
      <c r="AA11" s="3"/>
      <c r="AB11" s="3"/>
      <c r="AC11" s="3"/>
      <c r="AD11" s="3"/>
    </row>
    <row r="12" spans="3:48" x14ac:dyDescent="0.2">
      <c r="C12" s="1" t="s">
        <v>26</v>
      </c>
      <c r="D12" s="3"/>
      <c r="E12" s="3"/>
      <c r="F12" s="3"/>
      <c r="G12" s="3"/>
      <c r="I12" s="3"/>
      <c r="J12" s="3"/>
      <c r="R12" s="3">
        <f>+R10+R11</f>
        <v>1420</v>
      </c>
      <c r="U12" s="3">
        <f>+U10+U11</f>
        <v>1650</v>
      </c>
      <c r="V12" s="3">
        <f>+V10+V11</f>
        <v>1696</v>
      </c>
      <c r="W12" s="3"/>
      <c r="X12" s="3"/>
      <c r="Y12" s="3">
        <f>+Y10+Y11</f>
        <v>1827</v>
      </c>
      <c r="Z12" s="3"/>
      <c r="AA12" s="3"/>
      <c r="AB12" s="3"/>
      <c r="AC12" s="3"/>
      <c r="AD12" s="3"/>
      <c r="AG12" s="6"/>
    </row>
    <row r="13" spans="3:48" x14ac:dyDescent="0.2">
      <c r="C13" s="1" t="s">
        <v>37</v>
      </c>
      <c r="D13" s="3"/>
      <c r="E13" s="3"/>
      <c r="F13" s="3"/>
      <c r="G13" s="3"/>
      <c r="I13" s="3"/>
      <c r="J13" s="3"/>
      <c r="R13" s="3">
        <f>239+15</f>
        <v>254</v>
      </c>
      <c r="U13" s="3">
        <f>417+-13</f>
        <v>404</v>
      </c>
      <c r="V13" s="3">
        <f>351+21</f>
        <v>372</v>
      </c>
      <c r="W13" s="3"/>
      <c r="X13" s="3"/>
      <c r="Y13" s="3">
        <f>455+-19</f>
        <v>436</v>
      </c>
      <c r="Z13" s="3"/>
      <c r="AA13" s="3"/>
      <c r="AB13" s="3"/>
      <c r="AC13" s="3"/>
      <c r="AD13" s="3"/>
    </row>
    <row r="14" spans="3:48" s="4" customFormat="1" ht="15.75" x14ac:dyDescent="0.25">
      <c r="C14" s="4" t="s">
        <v>27</v>
      </c>
      <c r="R14" s="5">
        <f>+R12-R13</f>
        <v>1166</v>
      </c>
      <c r="U14" s="5">
        <f>+U12-U13</f>
        <v>1246</v>
      </c>
      <c r="V14" s="5">
        <f>+V12-V13</f>
        <v>1324</v>
      </c>
      <c r="W14" s="5"/>
      <c r="X14" s="5"/>
      <c r="Y14" s="5">
        <f>+Y12-Y13</f>
        <v>1391</v>
      </c>
      <c r="Z14" s="5"/>
      <c r="AA14" s="5"/>
      <c r="AB14" s="5"/>
      <c r="AC14" s="5"/>
      <c r="AD14" s="5"/>
    </row>
    <row r="15" spans="3:48" x14ac:dyDescent="0.2">
      <c r="C15" s="1" t="s">
        <v>28</v>
      </c>
      <c r="D15" s="3"/>
      <c r="E15" s="3"/>
      <c r="F15" s="3"/>
      <c r="G15" s="3"/>
      <c r="I15" s="3"/>
      <c r="J15" s="3"/>
      <c r="R15" s="3">
        <v>444</v>
      </c>
      <c r="U15" s="3">
        <v>444.12700000000001</v>
      </c>
      <c r="V15" s="3">
        <v>444</v>
      </c>
      <c r="W15" s="3"/>
      <c r="X15" s="3"/>
      <c r="Y15" s="3">
        <v>444.88600000000002</v>
      </c>
      <c r="Z15" s="3"/>
      <c r="AA15" s="3"/>
      <c r="AB15" s="3"/>
      <c r="AC15" s="3"/>
      <c r="AD15" s="3"/>
    </row>
    <row r="16" spans="3:48" x14ac:dyDescent="0.2">
      <c r="C16" s="1" t="s">
        <v>29</v>
      </c>
      <c r="D16" s="3"/>
      <c r="E16" s="3"/>
      <c r="F16" s="3"/>
      <c r="G16" s="3"/>
      <c r="I16" s="3"/>
      <c r="J16" s="3"/>
      <c r="R16" s="7">
        <f>+R14/R15</f>
        <v>2.6261261261261262</v>
      </c>
      <c r="U16" s="7">
        <f>+U14/U15</f>
        <v>2.8055038311113711</v>
      </c>
      <c r="V16" s="7">
        <f>+V14/V15</f>
        <v>2.9819819819819822</v>
      </c>
      <c r="W16" s="7"/>
      <c r="X16" s="7"/>
      <c r="Y16" s="7">
        <f>+Y14/Y15</f>
        <v>3.1266436795044124</v>
      </c>
      <c r="Z16" s="7"/>
      <c r="AA16" s="7"/>
      <c r="AB16" s="7"/>
      <c r="AC16" s="7"/>
      <c r="AD16" s="7"/>
    </row>
    <row r="17" spans="3:35" ht="15.75" x14ac:dyDescent="0.25">
      <c r="D17" s="5"/>
      <c r="E17" s="5"/>
      <c r="F17" s="5"/>
      <c r="G17" s="5"/>
      <c r="I17" s="5"/>
      <c r="J17" s="5"/>
    </row>
    <row r="19" spans="3:35" x14ac:dyDescent="0.2">
      <c r="D19" s="7"/>
      <c r="E19" s="7"/>
      <c r="F19" s="7"/>
      <c r="G19" s="7"/>
      <c r="I19" s="7"/>
      <c r="J19" s="7"/>
    </row>
    <row r="20" spans="3:35" x14ac:dyDescent="0.2">
      <c r="C20" s="1" t="s">
        <v>40</v>
      </c>
      <c r="R20" s="6">
        <f>(R5-R6)/R5</f>
        <v>0.13307720792445843</v>
      </c>
      <c r="U20" s="6">
        <f>(U5-U6)/U5</f>
        <v>0.12946970868211233</v>
      </c>
      <c r="V20" s="6">
        <f>(V5-V6)/V5</f>
        <v>0.1272958322578083</v>
      </c>
      <c r="W20" s="6"/>
      <c r="X20" s="6"/>
      <c r="Y20" s="6">
        <f>(Y5-Y6)/Y5</f>
        <v>0.11865921362841281</v>
      </c>
      <c r="Z20" s="6"/>
      <c r="AA20" s="6"/>
      <c r="AB20" s="6"/>
      <c r="AC20" s="6"/>
      <c r="AD20" s="6"/>
    </row>
    <row r="21" spans="3:35" x14ac:dyDescent="0.2">
      <c r="C21" s="1" t="s">
        <v>38</v>
      </c>
      <c r="R21" s="6">
        <f>+R10/R5</f>
        <v>3.3095723014256617E-2</v>
      </c>
      <c r="U21" s="6">
        <f>+U10/U5</f>
        <v>3.6729465291428322E-2</v>
      </c>
      <c r="V21" s="6">
        <f>+V10/V5</f>
        <v>3.3615948215952186E-2</v>
      </c>
      <c r="W21" s="6"/>
      <c r="X21" s="6"/>
      <c r="Y21" s="6">
        <f>+Y10/Y5</f>
        <v>3.405201916495551E-2</v>
      </c>
      <c r="Z21" s="6"/>
      <c r="AA21" s="6"/>
      <c r="AB21" s="6"/>
      <c r="AC21" s="6"/>
      <c r="AD21" s="6"/>
    </row>
    <row r="22" spans="3:35" s="6" customFormat="1" x14ac:dyDescent="0.2">
      <c r="C22" s="6" t="s">
        <v>39</v>
      </c>
      <c r="R22" s="6">
        <f>+R14/R5</f>
        <v>2.6985743380855399E-2</v>
      </c>
      <c r="U22" s="6">
        <f>+U14/U5</f>
        <v>2.751949113236301E-2</v>
      </c>
      <c r="V22" s="6">
        <f>+V14/V5</f>
        <v>2.6289140837519608E-2</v>
      </c>
      <c r="Y22" s="6">
        <f>+Y14/Y5</f>
        <v>2.6446878089588562E-2</v>
      </c>
    </row>
    <row r="23" spans="3:35" x14ac:dyDescent="0.2">
      <c r="C23" s="1" t="s">
        <v>41</v>
      </c>
      <c r="R23" s="6">
        <f>+R13/R12</f>
        <v>0.17887323943661973</v>
      </c>
      <c r="U23" s="6">
        <f>+U13/U12</f>
        <v>0.24484848484848484</v>
      </c>
      <c r="V23" s="6">
        <f>+V13/V12</f>
        <v>0.21933962264150944</v>
      </c>
      <c r="W23" s="6"/>
      <c r="X23" s="6"/>
      <c r="Y23" s="6">
        <f>+Y13/Y12</f>
        <v>0.23864258347016967</v>
      </c>
      <c r="Z23" s="6"/>
      <c r="AA23" s="6"/>
      <c r="AB23" s="6"/>
      <c r="AC23" s="6"/>
      <c r="AD23" s="6"/>
    </row>
    <row r="25" spans="3:35" x14ac:dyDescent="0.2">
      <c r="C25" s="1" t="s">
        <v>42</v>
      </c>
      <c r="V25" s="6">
        <f>+V5/R5-1</f>
        <v>0.16559433438252169</v>
      </c>
      <c r="W25" s="6"/>
      <c r="X25" s="6"/>
      <c r="Y25" s="6">
        <f>+Y5/U5-1</f>
        <v>0.16164940256642435</v>
      </c>
      <c r="Z25" s="6"/>
      <c r="AA25" s="6"/>
      <c r="AB25" s="6"/>
      <c r="AC25" s="6"/>
      <c r="AD25" s="6"/>
    </row>
    <row r="26" spans="3:35" x14ac:dyDescent="0.2">
      <c r="C26" s="1" t="s">
        <v>43</v>
      </c>
      <c r="V26" s="6">
        <f>+V6/R6-1</f>
        <v>0.17336750493886477</v>
      </c>
      <c r="W26" s="6"/>
      <c r="X26" s="6"/>
      <c r="Y26" s="6"/>
      <c r="Z26" s="6"/>
      <c r="AA26" s="6"/>
      <c r="AB26" s="6"/>
      <c r="AC26" s="6"/>
      <c r="AD26" s="6"/>
    </row>
    <row r="29" spans="3:35" s="4" customFormat="1" ht="15.75" x14ac:dyDescent="0.25">
      <c r="C29" s="4" t="s">
        <v>58</v>
      </c>
      <c r="R29" s="5">
        <f>+R30-R39</f>
        <v>4684</v>
      </c>
      <c r="V29" s="5">
        <f>+V30-V39</f>
        <v>6010</v>
      </c>
      <c r="W29" s="5"/>
      <c r="X29" s="5"/>
      <c r="Y29" s="5"/>
      <c r="Z29" s="5"/>
      <c r="AA29" s="5"/>
      <c r="AB29" s="5"/>
      <c r="AC29" s="5"/>
      <c r="AD29" s="5"/>
    </row>
    <row r="30" spans="3:35" x14ac:dyDescent="0.2">
      <c r="C30" s="1" t="s">
        <v>33</v>
      </c>
      <c r="M30" s="3"/>
      <c r="N30" s="3"/>
      <c r="O30" s="3"/>
      <c r="P30" s="3"/>
      <c r="Q30" s="3"/>
      <c r="R30" s="3">
        <f>11258+917</f>
        <v>12175</v>
      </c>
      <c r="S30" s="3"/>
      <c r="T30" s="3"/>
      <c r="U30" s="3"/>
      <c r="V30" s="3">
        <f>12751+725</f>
        <v>13476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3:35" x14ac:dyDescent="0.2">
      <c r="C31" s="1" t="s">
        <v>44</v>
      </c>
      <c r="M31" s="3"/>
      <c r="N31" s="3"/>
      <c r="O31" s="3"/>
      <c r="P31" s="3"/>
      <c r="Q31" s="3"/>
      <c r="R31" s="3">
        <v>1803</v>
      </c>
      <c r="S31" s="3"/>
      <c r="T31" s="3"/>
      <c r="U31" s="3"/>
      <c r="V31" s="3">
        <v>1932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3:35" x14ac:dyDescent="0.2">
      <c r="C32" s="1" t="s">
        <v>45</v>
      </c>
      <c r="M32" s="3"/>
      <c r="N32" s="3"/>
      <c r="O32" s="3"/>
      <c r="P32" s="3"/>
      <c r="Q32" s="3"/>
      <c r="R32" s="3">
        <v>14215</v>
      </c>
      <c r="S32" s="3"/>
      <c r="T32" s="3"/>
      <c r="U32" s="3"/>
      <c r="V32" s="3">
        <v>16942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3:35" x14ac:dyDescent="0.2">
      <c r="C33" s="1" t="s">
        <v>46</v>
      </c>
      <c r="M33" s="3"/>
      <c r="N33" s="3"/>
      <c r="O33" s="3"/>
      <c r="P33" s="3"/>
      <c r="Q33" s="3"/>
      <c r="R33" s="3">
        <v>1312</v>
      </c>
      <c r="S33" s="3"/>
      <c r="T33" s="3"/>
      <c r="U33" s="3"/>
      <c r="V33" s="3">
        <v>1500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2">
      <c r="C34" s="1" t="s">
        <v>47</v>
      </c>
      <c r="M34" s="3"/>
      <c r="N34" s="3"/>
      <c r="O34" s="3"/>
      <c r="P34" s="3"/>
      <c r="Q34" s="3"/>
      <c r="R34" s="3">
        <v>23492</v>
      </c>
      <c r="S34" s="3"/>
      <c r="T34" s="3"/>
      <c r="U34" s="3"/>
      <c r="V34" s="3">
        <v>23887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2">
      <c r="C35" s="1" t="s">
        <v>48</v>
      </c>
      <c r="M35" s="3"/>
      <c r="N35" s="3"/>
      <c r="O35" s="3"/>
      <c r="P35" s="3"/>
      <c r="Q35" s="3"/>
      <c r="R35" s="3">
        <v>2890</v>
      </c>
      <c r="S35" s="3"/>
      <c r="T35" s="3"/>
      <c r="U35" s="3"/>
      <c r="V35" s="3">
        <v>2903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2">
      <c r="C36" s="1" t="s">
        <v>49</v>
      </c>
      <c r="M36" s="3"/>
      <c r="N36" s="3"/>
      <c r="O36" s="3"/>
      <c r="P36" s="3"/>
      <c r="Q36" s="3"/>
      <c r="R36" s="3">
        <v>3381</v>
      </c>
      <c r="S36" s="3"/>
      <c r="T36" s="3"/>
      <c r="U36" s="3"/>
      <c r="V36" s="3">
        <v>3509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2">
      <c r="C37" s="1" t="s">
        <v>50</v>
      </c>
      <c r="M37" s="3"/>
      <c r="N37" s="3"/>
      <c r="O37" s="3"/>
      <c r="P37" s="3"/>
      <c r="Q37" s="3"/>
      <c r="R37" s="3">
        <f>+SUM(R30:R36)</f>
        <v>59268</v>
      </c>
      <c r="S37" s="3"/>
      <c r="T37" s="3"/>
      <c r="U37" s="3"/>
      <c r="V37" s="3">
        <f>+SUM(V30:V36)</f>
        <v>64149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2"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2">
      <c r="C39" s="1" t="s">
        <v>34</v>
      </c>
      <c r="M39" s="3"/>
      <c r="N39" s="3"/>
      <c r="O39" s="3"/>
      <c r="P39" s="3"/>
      <c r="Q39" s="3"/>
      <c r="R39" s="3">
        <f>799+6692</f>
        <v>7491</v>
      </c>
      <c r="S39" s="3"/>
      <c r="T39" s="3"/>
      <c r="U39" s="3"/>
      <c r="V39" s="3">
        <f>799+6667</f>
        <v>7466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2">
      <c r="C40" s="1" t="s">
        <v>51</v>
      </c>
      <c r="M40" s="3"/>
      <c r="N40" s="3"/>
      <c r="O40" s="3"/>
      <c r="P40" s="3"/>
      <c r="Q40" s="3"/>
      <c r="R40" s="3">
        <v>16278</v>
      </c>
      <c r="S40" s="3"/>
      <c r="T40" s="3"/>
      <c r="U40" s="3"/>
      <c r="V40" s="3">
        <v>19561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2">
      <c r="C41" s="1" t="s">
        <v>52</v>
      </c>
      <c r="M41" s="3"/>
      <c r="N41" s="3"/>
      <c r="O41" s="3"/>
      <c r="P41" s="3"/>
      <c r="Q41" s="3"/>
      <c r="R41" s="3">
        <v>4090</v>
      </c>
      <c r="S41" s="3"/>
      <c r="T41" s="3"/>
      <c r="U41" s="3"/>
      <c r="V41" s="3">
        <v>3985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2">
      <c r="C42" s="1" t="s">
        <v>53</v>
      </c>
      <c r="M42" s="3"/>
      <c r="N42" s="3"/>
      <c r="O42" s="3"/>
      <c r="P42" s="3"/>
      <c r="Q42" s="3"/>
      <c r="R42" s="3">
        <v>1671</v>
      </c>
      <c r="S42" s="3"/>
      <c r="T42" s="3"/>
      <c r="U42" s="3"/>
      <c r="V42" s="3">
        <v>1726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2">
      <c r="C43" s="1" t="s">
        <v>59</v>
      </c>
      <c r="M43" s="3"/>
      <c r="N43" s="3"/>
      <c r="O43" s="3"/>
      <c r="P43" s="3"/>
      <c r="Q43" s="3"/>
      <c r="R43" s="3">
        <v>2042</v>
      </c>
      <c r="S43" s="3"/>
      <c r="T43" s="3"/>
      <c r="U43" s="3"/>
      <c r="V43" s="3">
        <v>2192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2">
      <c r="C44" s="1" t="s">
        <v>54</v>
      </c>
      <c r="M44" s="3"/>
      <c r="N44" s="3"/>
      <c r="O44" s="3"/>
      <c r="P44" s="3"/>
      <c r="Q44" s="3"/>
      <c r="R44" s="3">
        <v>4561</v>
      </c>
      <c r="S44" s="3"/>
      <c r="T44" s="3"/>
      <c r="U44" s="3"/>
      <c r="V44" s="3">
        <v>5079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2">
      <c r="C45" s="1" t="s">
        <v>48</v>
      </c>
      <c r="M45" s="3"/>
      <c r="N45" s="3"/>
      <c r="O45" s="3"/>
      <c r="P45" s="3"/>
      <c r="Q45" s="3"/>
      <c r="R45" s="3">
        <v>2642</v>
      </c>
      <c r="S45" s="3"/>
      <c r="T45" s="3"/>
      <c r="U45" s="3"/>
      <c r="V45" s="3">
        <v>2649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2">
      <c r="C46" s="1" t="s">
        <v>55</v>
      </c>
      <c r="M46" s="3"/>
      <c r="N46" s="3"/>
      <c r="O46" s="3"/>
      <c r="P46" s="3"/>
      <c r="Q46" s="3"/>
      <c r="R46" s="3">
        <v>2415</v>
      </c>
      <c r="S46" s="3"/>
      <c r="T46" s="3"/>
      <c r="U46" s="3"/>
      <c r="V46" s="3">
        <v>2491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2">
      <c r="C47" s="1" t="s">
        <v>56</v>
      </c>
      <c r="M47" s="3"/>
      <c r="N47" s="3"/>
      <c r="O47" s="3"/>
      <c r="P47" s="3"/>
      <c r="Q47" s="3"/>
      <c r="R47" s="3">
        <f>+SUM(R39:R46)</f>
        <v>41190</v>
      </c>
      <c r="S47" s="3"/>
      <c r="T47" s="3"/>
      <c r="U47" s="3"/>
      <c r="V47" s="3">
        <f>+SUM(V39:V46)</f>
        <v>45149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2">
      <c r="C48" s="1" t="s">
        <v>57</v>
      </c>
      <c r="M48" s="3"/>
      <c r="N48" s="3"/>
      <c r="O48" s="3"/>
      <c r="P48" s="3"/>
      <c r="Q48" s="3"/>
      <c r="R48" s="3">
        <f>+R47+18078</f>
        <v>59268</v>
      </c>
      <c r="S48" s="3"/>
      <c r="T48" s="3"/>
      <c r="U48" s="3"/>
      <c r="V48" s="3">
        <f>+V47+19000</f>
        <v>64149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3:35" x14ac:dyDescent="0.2"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2021-11-21T15:40:40Z</dcterms:created>
  <dcterms:modified xsi:type="dcterms:W3CDTF">2022-09-21T16:00:05Z</dcterms:modified>
</cp:coreProperties>
</file>