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C4ABBF7A-4587-4CDA-A54B-2A61D6491F63}" xr6:coauthVersionLast="47" xr6:coauthVersionMax="47" xr10:uidLastSave="{00000000-0000-0000-0000-000000000000}"/>
  <bookViews>
    <workbookView xWindow="1665" yWindow="780" windowWidth="12570" windowHeight="14280" activeTab="1" xr2:uid="{53C3FED8-1C46-475E-A01E-518CAA4117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2" l="1"/>
  <c r="V19" i="2"/>
  <c r="M19" i="2"/>
  <c r="W3" i="2"/>
  <c r="X3" i="2" s="1"/>
  <c r="W5" i="2"/>
  <c r="W15" i="2" s="1"/>
  <c r="W8" i="2"/>
  <c r="W6" i="2"/>
  <c r="X6" i="2" s="1"/>
  <c r="Y6" i="2" s="1"/>
  <c r="Z6" i="2" s="1"/>
  <c r="AA6" i="2" s="1"/>
  <c r="AB6" i="2" s="1"/>
  <c r="AC6" i="2" s="1"/>
  <c r="AD6" i="2" s="1"/>
  <c r="AE6" i="2" s="1"/>
  <c r="AF6" i="2" s="1"/>
  <c r="AG6" i="2" s="1"/>
  <c r="T8" i="2"/>
  <c r="T5" i="2"/>
  <c r="T7" i="2" s="1"/>
  <c r="T16" i="2" s="1"/>
  <c r="U8" i="2"/>
  <c r="U5" i="2"/>
  <c r="U7" i="2" s="1"/>
  <c r="U16" i="2" s="1"/>
  <c r="V8" i="2"/>
  <c r="V5" i="2"/>
  <c r="V7" i="2" s="1"/>
  <c r="V16" i="2" s="1"/>
  <c r="Y3" i="2" l="1"/>
  <c r="Z3" i="2" s="1"/>
  <c r="AA3" i="2" s="1"/>
  <c r="AB3" i="2" s="1"/>
  <c r="AC3" i="2" s="1"/>
  <c r="AD3" i="2" s="1"/>
  <c r="AE3" i="2" s="1"/>
  <c r="AF3" i="2" s="1"/>
  <c r="AG3" i="2" s="1"/>
  <c r="V15" i="2"/>
  <c r="W19" i="2"/>
  <c r="W4" i="2"/>
  <c r="X5" i="2"/>
  <c r="X19" i="2"/>
  <c r="W7" i="2"/>
  <c r="T15" i="2"/>
  <c r="U15" i="2"/>
  <c r="U9" i="2"/>
  <c r="T9" i="2"/>
  <c r="V9" i="2"/>
  <c r="V11" i="2" l="1"/>
  <c r="V12" i="2" s="1"/>
  <c r="V17" i="2"/>
  <c r="T11" i="2"/>
  <c r="T12" i="2" s="1"/>
  <c r="T17" i="2"/>
  <c r="U11" i="2"/>
  <c r="U12" i="2" s="1"/>
  <c r="U17" i="2"/>
  <c r="X4" i="2"/>
  <c r="X15" i="2"/>
  <c r="W9" i="2"/>
  <c r="W16" i="2"/>
  <c r="X7" i="2"/>
  <c r="Y19" i="2"/>
  <c r="Y5" i="2"/>
  <c r="Y15" i="2" s="1"/>
  <c r="W10" i="2" l="1"/>
  <c r="W17" i="2" s="1"/>
  <c r="Y7" i="2"/>
  <c r="Y4" i="2"/>
  <c r="Z5" i="2"/>
  <c r="Z15" i="2" s="1"/>
  <c r="Z19" i="2"/>
  <c r="X16" i="2"/>
  <c r="W11" i="2" l="1"/>
  <c r="W12" i="2" s="1"/>
  <c r="Z7" i="2"/>
  <c r="Z4" i="2"/>
  <c r="AA5" i="2"/>
  <c r="AA15" i="2" s="1"/>
  <c r="AA19" i="2"/>
  <c r="Y16" i="2"/>
  <c r="W23" i="2" l="1"/>
  <c r="X8" i="2" s="1"/>
  <c r="X9" i="2" s="1"/>
  <c r="X10" i="2" s="1"/>
  <c r="X17" i="2" s="1"/>
  <c r="AB19" i="2"/>
  <c r="AB5" i="2"/>
  <c r="AB15" i="2" s="1"/>
  <c r="AA7" i="2"/>
  <c r="AA4" i="2"/>
  <c r="Z16" i="2"/>
  <c r="J63" i="2"/>
  <c r="J66" i="2" s="1"/>
  <c r="J60" i="2"/>
  <c r="J55" i="2"/>
  <c r="J75" i="2"/>
  <c r="J45" i="2"/>
  <c r="J31" i="2"/>
  <c r="J24" i="2"/>
  <c r="J35" i="2"/>
  <c r="J23" i="2"/>
  <c r="J19" i="2"/>
  <c r="F8" i="2"/>
  <c r="F5" i="2"/>
  <c r="F7" i="2" s="1"/>
  <c r="J8" i="2"/>
  <c r="J5" i="2"/>
  <c r="J7" i="2" s="1"/>
  <c r="J16" i="2" s="1"/>
  <c r="K75" i="2"/>
  <c r="K66" i="2"/>
  <c r="K61" i="2"/>
  <c r="K31" i="2"/>
  <c r="K24" i="2"/>
  <c r="K23" i="2" s="1"/>
  <c r="K45" i="2"/>
  <c r="K19" i="2"/>
  <c r="G8" i="2"/>
  <c r="G5" i="2"/>
  <c r="G7" i="2" s="1"/>
  <c r="G16" i="2" s="1"/>
  <c r="K8" i="2"/>
  <c r="K5" i="2"/>
  <c r="K7" i="2" s="1"/>
  <c r="K16" i="2" s="1"/>
  <c r="H61" i="2"/>
  <c r="H75" i="2"/>
  <c r="H66" i="2"/>
  <c r="L75" i="2"/>
  <c r="L66" i="2"/>
  <c r="L61" i="2"/>
  <c r="L31" i="2"/>
  <c r="L24" i="2"/>
  <c r="L23" i="2" s="1"/>
  <c r="L45" i="2"/>
  <c r="L19" i="2"/>
  <c r="H8" i="2"/>
  <c r="I8" i="2"/>
  <c r="H5" i="2"/>
  <c r="H7" i="2" s="1"/>
  <c r="H16" i="2" s="1"/>
  <c r="L8" i="2"/>
  <c r="L5" i="2"/>
  <c r="L7" i="2" s="1"/>
  <c r="L16" i="2" s="1"/>
  <c r="I75" i="2"/>
  <c r="I66" i="2"/>
  <c r="I61" i="2"/>
  <c r="M75" i="2"/>
  <c r="M66" i="2"/>
  <c r="M61" i="2"/>
  <c r="M76" i="2" s="1"/>
  <c r="M45" i="2"/>
  <c r="M31" i="2"/>
  <c r="M24" i="2"/>
  <c r="M23" i="2" s="1"/>
  <c r="I5" i="2"/>
  <c r="I7" i="2" s="1"/>
  <c r="I16" i="2" s="1"/>
  <c r="M8" i="2"/>
  <c r="M5" i="2"/>
  <c r="M7" i="2" s="1"/>
  <c r="M16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K6" i="1"/>
  <c r="K9" i="1"/>
  <c r="K7" i="1"/>
  <c r="X11" i="2" l="1"/>
  <c r="H15" i="2"/>
  <c r="X12" i="2"/>
  <c r="X23" i="2"/>
  <c r="I76" i="2"/>
  <c r="J15" i="2"/>
  <c r="AB7" i="2"/>
  <c r="AA16" i="2"/>
  <c r="F9" i="2"/>
  <c r="F16" i="2"/>
  <c r="L15" i="2"/>
  <c r="AB4" i="2"/>
  <c r="M35" i="2"/>
  <c r="L35" i="2"/>
  <c r="K15" i="2"/>
  <c r="F15" i="2"/>
  <c r="AC19" i="2"/>
  <c r="AC5" i="2"/>
  <c r="J61" i="2"/>
  <c r="J76" i="2" s="1"/>
  <c r="J9" i="2"/>
  <c r="L76" i="2"/>
  <c r="K35" i="2"/>
  <c r="M15" i="2"/>
  <c r="G15" i="2"/>
  <c r="I15" i="2"/>
  <c r="K9" i="2"/>
  <c r="K76" i="2"/>
  <c r="G9" i="2"/>
  <c r="H76" i="2"/>
  <c r="H9" i="2"/>
  <c r="L9" i="2"/>
  <c r="M9" i="2"/>
  <c r="I9" i="2"/>
  <c r="G11" i="2" l="1"/>
  <c r="G12" i="2" s="1"/>
  <c r="G17" i="2"/>
  <c r="J11" i="2"/>
  <c r="J17" i="2"/>
  <c r="M11" i="2"/>
  <c r="M47" i="2" s="1"/>
  <c r="M17" i="2"/>
  <c r="I11" i="2"/>
  <c r="I47" i="2" s="1"/>
  <c r="I17" i="2"/>
  <c r="F11" i="2"/>
  <c r="F12" i="2" s="1"/>
  <c r="F17" i="2"/>
  <c r="L11" i="2"/>
  <c r="L12" i="2" s="1"/>
  <c r="L17" i="2"/>
  <c r="H11" i="2"/>
  <c r="H47" i="2" s="1"/>
  <c r="H17" i="2"/>
  <c r="K11" i="2"/>
  <c r="K12" i="2" s="1"/>
  <c r="K17" i="2"/>
  <c r="AC4" i="2"/>
  <c r="AC15" i="2"/>
  <c r="Y8" i="2"/>
  <c r="Y9" i="2" s="1"/>
  <c r="J12" i="2"/>
  <c r="J47" i="2"/>
  <c r="AB16" i="2"/>
  <c r="AC7" i="2"/>
  <c r="AD19" i="2"/>
  <c r="AD5" i="2"/>
  <c r="L47" i="2"/>
  <c r="H12" i="2"/>
  <c r="I12" i="2" l="1"/>
  <c r="M12" i="2"/>
  <c r="K47" i="2"/>
  <c r="AD4" i="2"/>
  <c r="AD15" i="2"/>
  <c r="Y10" i="2"/>
  <c r="Y17" i="2" s="1"/>
  <c r="Y11" i="2"/>
  <c r="AE19" i="2"/>
  <c r="AE5" i="2"/>
  <c r="AE15" i="2" s="1"/>
  <c r="AD7" i="2"/>
  <c r="AC16" i="2"/>
  <c r="Y12" i="2" l="1"/>
  <c r="Y23" i="2"/>
  <c r="AE7" i="2"/>
  <c r="AE4" i="2"/>
  <c r="AD16" i="2"/>
  <c r="AF5" i="2"/>
  <c r="AF15" i="2" s="1"/>
  <c r="AF19" i="2"/>
  <c r="Z8" i="2" l="1"/>
  <c r="Z9" i="2" s="1"/>
  <c r="AF7" i="2"/>
  <c r="AG5" i="2"/>
  <c r="AG15" i="2" s="1"/>
  <c r="AG19" i="2"/>
  <c r="AE16" i="2"/>
  <c r="AF4" i="2"/>
  <c r="Z10" i="2" l="1"/>
  <c r="Z17" i="2" s="1"/>
  <c r="AG4" i="2"/>
  <c r="AG7" i="2"/>
  <c r="AF16" i="2"/>
  <c r="Z11" i="2" l="1"/>
  <c r="Z12" i="2" s="1"/>
  <c r="AG16" i="2"/>
  <c r="Z23" i="2" l="1"/>
  <c r="AA8" i="2" s="1"/>
  <c r="AA9" i="2" s="1"/>
  <c r="AA10" i="2" l="1"/>
  <c r="AA17" i="2" s="1"/>
  <c r="AA11" i="2" l="1"/>
  <c r="AA12" i="2"/>
  <c r="AA23" i="2"/>
  <c r="AB8" i="2" l="1"/>
  <c r="AB9" i="2" s="1"/>
  <c r="AB10" i="2" l="1"/>
  <c r="AB17" i="2" s="1"/>
  <c r="AB11" i="2" l="1"/>
  <c r="AB12" i="2" s="1"/>
  <c r="AB23" i="2" l="1"/>
  <c r="AC8" i="2" s="1"/>
  <c r="AC9" i="2" s="1"/>
  <c r="AC10" i="2" l="1"/>
  <c r="AC17" i="2" s="1"/>
  <c r="AC11" i="2" l="1"/>
  <c r="AC23" i="2" s="1"/>
  <c r="AC12" i="2"/>
  <c r="AD8" i="2" l="1"/>
  <c r="AD9" i="2" s="1"/>
  <c r="AD10" i="2" l="1"/>
  <c r="AD17" i="2" s="1"/>
  <c r="AD11" i="2" l="1"/>
  <c r="AD12" i="2" s="1"/>
  <c r="AD23" i="2" l="1"/>
  <c r="AE8" i="2" s="1"/>
  <c r="AE9" i="2" s="1"/>
  <c r="AE10" i="2" l="1"/>
  <c r="AE17" i="2" s="1"/>
  <c r="AE11" i="2" l="1"/>
  <c r="AE12" i="2" s="1"/>
  <c r="AE23" i="2" l="1"/>
  <c r="AF8" i="2"/>
  <c r="AF9" i="2" s="1"/>
  <c r="AF10" i="2" l="1"/>
  <c r="AF17" i="2" s="1"/>
  <c r="AF11" i="2" l="1"/>
  <c r="AF12" i="2" s="1"/>
  <c r="AF23" i="2" l="1"/>
  <c r="AG8" i="2" s="1"/>
  <c r="AG9" i="2" s="1"/>
  <c r="AG10" i="2" l="1"/>
  <c r="AG17" i="2" s="1"/>
  <c r="AG11" i="2" l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T32" i="2" s="1"/>
  <c r="T33" i="2" s="1"/>
  <c r="T34" i="2" s="1"/>
  <c r="T36" i="2" s="1"/>
  <c r="AG23" i="2" l="1"/>
  <c r="AG12" i="2"/>
</calcChain>
</file>

<file path=xl/sharedStrings.xml><?xml version="1.0" encoding="utf-8"?>
<sst xmlns="http://schemas.openxmlformats.org/spreadsheetml/2006/main" count="99" uniqueCount="84">
  <si>
    <t>Price</t>
  </si>
  <si>
    <t>Shares</t>
  </si>
  <si>
    <t>MC</t>
  </si>
  <si>
    <t>Cash</t>
  </si>
  <si>
    <t>Debt</t>
  </si>
  <si>
    <t>EV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</si>
  <si>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</si>
  <si>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</si>
  <si>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</si>
  <si>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</si>
  <si>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</si>
  <si>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</si>
  <si>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</si>
  <si>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</si>
  <si>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</si>
  <si>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</si>
  <si>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</si>
  <si>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</si>
  <si>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</si>
  <si>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</si>
  <si>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</si>
  <si>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</si>
  <si>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</si>
  <si>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</si>
  <si>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</si>
  <si>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</si>
  <si>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</si>
  <si>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</si>
  <si>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</si>
  <si>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</si>
  <si>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</si>
  <si>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</si>
  <si>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EPS</t>
  </si>
  <si>
    <t>Gross Margin %</t>
  </si>
  <si>
    <t>Revenue Growth Y/Y</t>
  </si>
  <si>
    <t>A/R</t>
  </si>
  <si>
    <t>Inventory</t>
  </si>
  <si>
    <t>Tax receivables</t>
  </si>
  <si>
    <t>O/R</t>
  </si>
  <si>
    <t>Prepaids</t>
  </si>
  <si>
    <t>PP&amp;E</t>
  </si>
  <si>
    <t>Intangibles</t>
  </si>
  <si>
    <t>D/T</t>
  </si>
  <si>
    <t>ROU Assets</t>
  </si>
  <si>
    <t>OA</t>
  </si>
  <si>
    <t>Total Assets</t>
  </si>
  <si>
    <t>A/P</t>
  </si>
  <si>
    <t>Accured Expenses</t>
  </si>
  <si>
    <t>Tax Payable</t>
  </si>
  <si>
    <t>Operating Lease</t>
  </si>
  <si>
    <t>LT Tax payables</t>
  </si>
  <si>
    <t>LT Operating Lease</t>
  </si>
  <si>
    <t>OL</t>
  </si>
  <si>
    <t>Total Liabities</t>
  </si>
  <si>
    <t>Model NI</t>
  </si>
  <si>
    <t>Reported NI</t>
  </si>
  <si>
    <t>D/A</t>
  </si>
  <si>
    <t>Doubtful Accs</t>
  </si>
  <si>
    <t>SBC</t>
  </si>
  <si>
    <t>ONCI</t>
  </si>
  <si>
    <t>Donations</t>
  </si>
  <si>
    <t>CFFO</t>
  </si>
  <si>
    <t>CapEx</t>
  </si>
  <si>
    <t>Disposal PP&amp;E</t>
  </si>
  <si>
    <t>Other</t>
  </si>
  <si>
    <t>CFFI</t>
  </si>
  <si>
    <t>Notes Issued</t>
  </si>
  <si>
    <t>Bank Borrowings</t>
  </si>
  <si>
    <t>Repayments of Bank Borrow</t>
  </si>
  <si>
    <t>Deferred Debt</t>
  </si>
  <si>
    <t>Repurchase of Common Stock</t>
  </si>
  <si>
    <t>Tax withholding</t>
  </si>
  <si>
    <t>CFFF</t>
  </si>
  <si>
    <t>CF</t>
  </si>
  <si>
    <t>Net Cash</t>
  </si>
  <si>
    <t>Operating Margins %</t>
  </si>
  <si>
    <t>ROIC</t>
  </si>
  <si>
    <t>Maturity</t>
  </si>
  <si>
    <t>Discount</t>
  </si>
  <si>
    <t>NPV</t>
  </si>
  <si>
    <t>per Share</t>
  </si>
  <si>
    <t>curr Share</t>
  </si>
  <si>
    <t>yield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</si>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</sst>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19050</xdr:rowOff>
    </xdr:from>
    <xdr:to>
      <xdr:col>13</xdr:col>
      <xdr:colOff>57150</xdr:colOff>
      <xdr:row>47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7E8958-FDCE-4FE3-93FA-BE90EEB49EF6}"/>
            </a:ext>
          </a:extLst>
        </xdr:cNvPr>
        <xdr:cNvCxnSpPr/>
      </xdr:nvCxnSpPr>
      <xdr:spPr>
        <a:xfrm>
          <a:off x="9982200" y="19050"/>
          <a:ext cx="0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38100</xdr:rowOff>
    </xdr:from>
    <xdr:to>
      <xdr:col>22</xdr:col>
      <xdr:colOff>19050</xdr:colOff>
      <xdr:row>47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C36CE5-3ED1-4C03-A308-A88444707B69}"/>
            </a:ext>
          </a:extLst>
        </xdr:cNvPr>
        <xdr:cNvCxnSpPr/>
      </xdr:nvCxnSpPr>
      <xdr:spPr>
        <a:xfrm>
          <a:off x="16116300" y="38100"/>
          <a:ext cx="0" cy="809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246E-A9E7-43E1-8CB5-CC3EC2845C86}">
  <dimension ref="J4:L9"/>
  <sheetViews>
    <sheetView topLeftCell="C1" zoomScaleNormal="100" workbookViewId="0">
      <selection activeCell="I14" sqref="I14"/>
    </sheetView>
  </sheetViews>
  <sheetFormatPr defaultRowHeight="14.25" x14ac:dyDescent="0.2"/>
  <cols>
    <col min="12" max="12" width="9" style="2"/>
  </cols>
  <sheetData>
    <row r="4" spans="10:12" x14ac:dyDescent="0.2">
      <c r="J4" t="s">
        <v>0</v>
      </c>
      <c r="K4">
        <v>128.68</v>
      </c>
    </row>
    <row r="5" spans="10:12" x14ac:dyDescent="0.2">
      <c r="J5" t="s">
        <v>1</v>
      </c>
      <c r="K5" s="1">
        <v>58.847000000000001</v>
      </c>
      <c r="L5" s="2" t="s">
        <v>6</v>
      </c>
    </row>
    <row r="6" spans="10:12" x14ac:dyDescent="0.2">
      <c r="J6" t="s">
        <v>2</v>
      </c>
      <c r="K6" s="1">
        <f>+K4*K5</f>
        <v>7572.4319600000008</v>
      </c>
    </row>
    <row r="7" spans="10:12" x14ac:dyDescent="0.2">
      <c r="J7" t="s">
        <v>3</v>
      </c>
      <c r="K7" s="1">
        <f>436.601+1.412+3.731</f>
        <v>441.74399999999997</v>
      </c>
      <c r="L7" s="2" t="s">
        <v>6</v>
      </c>
    </row>
    <row r="8" spans="10:12" x14ac:dyDescent="0.2">
      <c r="J8" t="s">
        <v>4</v>
      </c>
      <c r="K8" s="1">
        <v>685.95500000000004</v>
      </c>
      <c r="L8" s="2" t="s">
        <v>6</v>
      </c>
    </row>
    <row r="9" spans="10:12" x14ac:dyDescent="0.2">
      <c r="J9" t="s">
        <v>5</v>
      </c>
      <c r="K9" s="1">
        <f>+K6-K7+K8</f>
        <v>7816.642960000001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EE11-771D-4CB1-80B1-9AD30B104309}">
  <dimension ref="A1:CM76"/>
  <sheetViews>
    <sheetView tabSelected="1" zoomScaleNormal="1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N3" sqref="N3"/>
    </sheetView>
  </sheetViews>
  <sheetFormatPr defaultRowHeight="14.25" x14ac:dyDescent="0.2"/>
  <cols>
    <col min="1" max="1" width="4.625" bestFit="1" customWidth="1"/>
    <col min="2" max="2" width="26.625" bestFit="1" customWidth="1"/>
    <col min="20" max="20" width="10.75" customWidth="1"/>
  </cols>
  <sheetData>
    <row r="1" spans="1:91" x14ac:dyDescent="0.2">
      <c r="A1" s="3" t="s">
        <v>7</v>
      </c>
    </row>
    <row r="2" spans="1:91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6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T2">
        <v>2018</v>
      </c>
      <c r="U2">
        <v>2019</v>
      </c>
      <c r="V2">
        <f>+U2+1</f>
        <v>2020</v>
      </c>
      <c r="W2">
        <f t="shared" ref="W2:AG2" si="0">+V2+1</f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</row>
    <row r="3" spans="1:91" s="6" customFormat="1" ht="15" x14ac:dyDescent="0.25">
      <c r="B3" s="6" t="s">
        <v>23</v>
      </c>
      <c r="F3" s="7">
        <v>262.97899999999998</v>
      </c>
      <c r="G3" s="7">
        <v>281.16000000000003</v>
      </c>
      <c r="H3" s="7">
        <v>331.54899999999998</v>
      </c>
      <c r="I3" s="7">
        <v>361.73599999999999</v>
      </c>
      <c r="J3" s="7">
        <v>411.50599999999997</v>
      </c>
      <c r="K3" s="7">
        <v>460.09800000000001</v>
      </c>
      <c r="L3" s="7">
        <v>640.77300000000002</v>
      </c>
      <c r="M3" s="7">
        <v>625.91899999999998</v>
      </c>
      <c r="N3" s="7"/>
      <c r="O3" s="7"/>
      <c r="P3" s="7"/>
      <c r="T3" s="7">
        <v>1088.2049999999999</v>
      </c>
      <c r="U3" s="7">
        <v>1230.5930000000001</v>
      </c>
      <c r="V3" s="7">
        <v>1385.951</v>
      </c>
      <c r="W3" s="7">
        <f>+V3*1.62</f>
        <v>2245.24062</v>
      </c>
      <c r="X3" s="7">
        <f>+W3*1.19</f>
        <v>2671.8363377999999</v>
      </c>
      <c r="Y3" s="7">
        <f t="shared" ref="Y3:AG3" si="1">+X3*1.19</f>
        <v>3179.4852419819999</v>
      </c>
      <c r="Z3" s="7">
        <f t="shared" si="1"/>
        <v>3783.5874379585798</v>
      </c>
      <c r="AA3" s="7">
        <f t="shared" si="1"/>
        <v>4502.4690511707095</v>
      </c>
      <c r="AB3" s="7">
        <f t="shared" si="1"/>
        <v>5357.9381708931442</v>
      </c>
      <c r="AC3" s="7">
        <f t="shared" si="1"/>
        <v>6375.9464233628414</v>
      </c>
      <c r="AD3" s="7">
        <f t="shared" si="1"/>
        <v>7587.3762438017811</v>
      </c>
      <c r="AE3" s="7">
        <f t="shared" si="1"/>
        <v>9028.9777301241193</v>
      </c>
      <c r="AF3" s="7">
        <f t="shared" si="1"/>
        <v>10744.483498847701</v>
      </c>
      <c r="AG3" s="7">
        <f t="shared" si="1"/>
        <v>12785.935363628763</v>
      </c>
    </row>
    <row r="4" spans="1:91" x14ac:dyDescent="0.2">
      <c r="B4" t="s">
        <v>24</v>
      </c>
      <c r="F4" s="1">
        <v>136.74100000000001</v>
      </c>
      <c r="G4" s="1">
        <v>146.99799999999999</v>
      </c>
      <c r="H4" s="1">
        <v>151.61600000000001</v>
      </c>
      <c r="I4" s="1">
        <v>154.96700000000001</v>
      </c>
      <c r="J4" s="1">
        <v>182.422</v>
      </c>
      <c r="K4" s="1">
        <v>206.87899999999999</v>
      </c>
      <c r="L4" s="1">
        <v>245.59200000000001</v>
      </c>
      <c r="M4" s="1">
        <v>226.12299999999999</v>
      </c>
      <c r="T4" s="1">
        <v>528.05100000000004</v>
      </c>
      <c r="U4" s="1">
        <v>613.53700000000003</v>
      </c>
      <c r="V4" s="1">
        <v>636.00300000000004</v>
      </c>
      <c r="W4" s="1">
        <f>+W3-W5</f>
        <v>987.9058728</v>
      </c>
      <c r="X4" s="1">
        <f t="shared" ref="X4:AG4" si="2">+X3-X5</f>
        <v>1175.6079886319999</v>
      </c>
      <c r="Y4" s="1">
        <f t="shared" si="2"/>
        <v>1398.9735064720799</v>
      </c>
      <c r="Z4" s="1">
        <f t="shared" si="2"/>
        <v>1664.7784727017747</v>
      </c>
      <c r="AA4" s="1">
        <f t="shared" si="2"/>
        <v>1981.0863825151118</v>
      </c>
      <c r="AB4" s="1">
        <f t="shared" si="2"/>
        <v>2357.4927951929831</v>
      </c>
      <c r="AC4" s="1">
        <f t="shared" si="2"/>
        <v>2805.4164262796498</v>
      </c>
      <c r="AD4" s="1">
        <f t="shared" si="2"/>
        <v>3338.4455472727832</v>
      </c>
      <c r="AE4" s="1">
        <f t="shared" si="2"/>
        <v>3972.750201254612</v>
      </c>
      <c r="AF4" s="1">
        <f t="shared" si="2"/>
        <v>4727.5727394929881</v>
      </c>
      <c r="AG4" s="1">
        <f t="shared" si="2"/>
        <v>5625.811559996655</v>
      </c>
    </row>
    <row r="5" spans="1:91" x14ac:dyDescent="0.2">
      <c r="B5" t="s">
        <v>25</v>
      </c>
      <c r="F5" s="1">
        <f t="shared" ref="F5:M5" si="3">+F3-F4</f>
        <v>126.23799999999997</v>
      </c>
      <c r="G5" s="1">
        <f t="shared" si="3"/>
        <v>134.16200000000003</v>
      </c>
      <c r="H5" s="1">
        <f t="shared" si="3"/>
        <v>179.93299999999996</v>
      </c>
      <c r="I5" s="1">
        <f t="shared" si="3"/>
        <v>206.76899999999998</v>
      </c>
      <c r="J5" s="1">
        <f t="shared" si="3"/>
        <v>229.08399999999997</v>
      </c>
      <c r="K5" s="1">
        <f t="shared" si="3"/>
        <v>253.21900000000002</v>
      </c>
      <c r="L5" s="1">
        <f t="shared" si="3"/>
        <v>395.18100000000004</v>
      </c>
      <c r="M5" s="1">
        <f t="shared" si="3"/>
        <v>399.79599999999999</v>
      </c>
      <c r="T5" s="1">
        <f>+T3-T4</f>
        <v>560.15399999999988</v>
      </c>
      <c r="U5" s="1">
        <f>+U3-U4</f>
        <v>617.05600000000004</v>
      </c>
      <c r="V5" s="1">
        <f>+V3-V4</f>
        <v>749.94799999999998</v>
      </c>
      <c r="W5">
        <f>+W3*0.56</f>
        <v>1257.3347472</v>
      </c>
      <c r="X5">
        <f t="shared" ref="X5:AG5" si="4">+X3*0.56</f>
        <v>1496.228349168</v>
      </c>
      <c r="Y5">
        <f t="shared" si="4"/>
        <v>1780.5117355099201</v>
      </c>
      <c r="Z5">
        <f t="shared" si="4"/>
        <v>2118.8089652568051</v>
      </c>
      <c r="AA5">
        <f t="shared" si="4"/>
        <v>2521.3826686555976</v>
      </c>
      <c r="AB5">
        <f t="shared" si="4"/>
        <v>3000.4453757001611</v>
      </c>
      <c r="AC5">
        <f t="shared" si="4"/>
        <v>3570.5299970831916</v>
      </c>
      <c r="AD5">
        <f t="shared" si="4"/>
        <v>4248.9306965289979</v>
      </c>
      <c r="AE5">
        <f t="shared" si="4"/>
        <v>5056.2275288695073</v>
      </c>
      <c r="AF5">
        <f t="shared" si="4"/>
        <v>6016.9107593547133</v>
      </c>
      <c r="AG5">
        <f t="shared" si="4"/>
        <v>7160.1238036321083</v>
      </c>
    </row>
    <row r="6" spans="1:91" x14ac:dyDescent="0.2">
      <c r="B6" t="s">
        <v>26</v>
      </c>
      <c r="F6" s="1">
        <v>117.88200000000001</v>
      </c>
      <c r="G6" s="1">
        <v>113.35</v>
      </c>
      <c r="H6" s="1">
        <v>123.33799999999999</v>
      </c>
      <c r="I6" s="1">
        <v>134.68299999999999</v>
      </c>
      <c r="J6" s="1">
        <v>164.453</v>
      </c>
      <c r="K6" s="1">
        <v>128.53299999999999</v>
      </c>
      <c r="L6" s="1">
        <v>199.85900000000001</v>
      </c>
      <c r="M6" s="1">
        <v>196.72800000000001</v>
      </c>
      <c r="T6" s="1">
        <v>495.02800000000002</v>
      </c>
      <c r="U6" s="1">
        <v>488.40699999999998</v>
      </c>
      <c r="V6" s="1">
        <v>514.75300000000004</v>
      </c>
      <c r="W6">
        <f>+V6*1.02</f>
        <v>525.04806000000008</v>
      </c>
      <c r="X6">
        <f t="shared" ref="X6:AG6" si="5">+W6*1.02</f>
        <v>535.54902120000008</v>
      </c>
      <c r="Y6">
        <f t="shared" si="5"/>
        <v>546.2600016240001</v>
      </c>
      <c r="Z6">
        <f t="shared" si="5"/>
        <v>557.1852016564801</v>
      </c>
      <c r="AA6">
        <f t="shared" si="5"/>
        <v>568.32890568960977</v>
      </c>
      <c r="AB6">
        <f t="shared" si="5"/>
        <v>579.695483803402</v>
      </c>
      <c r="AC6">
        <f t="shared" si="5"/>
        <v>591.28939347947005</v>
      </c>
      <c r="AD6">
        <f t="shared" si="5"/>
        <v>603.11518134905941</v>
      </c>
      <c r="AE6">
        <f t="shared" si="5"/>
        <v>615.17748497604066</v>
      </c>
      <c r="AF6">
        <f t="shared" si="5"/>
        <v>627.48103467556143</v>
      </c>
      <c r="AG6">
        <f t="shared" si="5"/>
        <v>640.03065536907263</v>
      </c>
    </row>
    <row r="7" spans="1:91" x14ac:dyDescent="0.2">
      <c r="B7" t="s">
        <v>27</v>
      </c>
      <c r="F7" s="1">
        <f t="shared" ref="F7:M7" si="6">+F5-F6</f>
        <v>8.3559999999999661</v>
      </c>
      <c r="G7" s="1">
        <f t="shared" si="6"/>
        <v>20.81200000000004</v>
      </c>
      <c r="H7" s="1">
        <f t="shared" si="6"/>
        <v>56.59499999999997</v>
      </c>
      <c r="I7" s="1">
        <f t="shared" si="6"/>
        <v>72.085999999999984</v>
      </c>
      <c r="J7" s="1">
        <f t="shared" si="6"/>
        <v>64.630999999999972</v>
      </c>
      <c r="K7" s="1">
        <f t="shared" si="6"/>
        <v>124.68600000000004</v>
      </c>
      <c r="L7" s="1">
        <f t="shared" si="6"/>
        <v>195.32200000000003</v>
      </c>
      <c r="M7" s="1">
        <f t="shared" si="6"/>
        <v>203.06799999999998</v>
      </c>
      <c r="T7" s="1">
        <f>+T5-T6</f>
        <v>65.125999999999863</v>
      </c>
      <c r="U7" s="1">
        <f>+U5-U6</f>
        <v>128.64900000000006</v>
      </c>
      <c r="V7" s="1">
        <f>+V5-V6</f>
        <v>235.19499999999994</v>
      </c>
      <c r="W7" s="1">
        <f t="shared" ref="W7:AG7" si="7">+W5-W6</f>
        <v>732.28668719999996</v>
      </c>
      <c r="X7" s="1">
        <f t="shared" si="7"/>
        <v>960.67932796799994</v>
      </c>
      <c r="Y7" s="1">
        <f t="shared" si="7"/>
        <v>1234.25173388592</v>
      </c>
      <c r="Z7" s="1">
        <f t="shared" si="7"/>
        <v>1561.623763600325</v>
      </c>
      <c r="AA7" s="1">
        <f t="shared" si="7"/>
        <v>1953.053762965988</v>
      </c>
      <c r="AB7" s="1">
        <f t="shared" si="7"/>
        <v>2420.749891896759</v>
      </c>
      <c r="AC7" s="1">
        <f t="shared" si="7"/>
        <v>2979.2406036037214</v>
      </c>
      <c r="AD7" s="1">
        <f t="shared" si="7"/>
        <v>3645.8155151799383</v>
      </c>
      <c r="AE7" s="1">
        <f t="shared" si="7"/>
        <v>4441.0500438934669</v>
      </c>
      <c r="AF7" s="1">
        <f t="shared" si="7"/>
        <v>5389.4297246791521</v>
      </c>
      <c r="AG7" s="1">
        <f t="shared" si="7"/>
        <v>6520.0931482630358</v>
      </c>
    </row>
    <row r="8" spans="1:91" x14ac:dyDescent="0.2">
      <c r="B8" t="s">
        <v>28</v>
      </c>
      <c r="F8" s="1">
        <f>+-0.43+0.108+-1.893+0.079</f>
        <v>-2.1359999999999997</v>
      </c>
      <c r="G8" s="1">
        <f>+-0.231+0.097+-1.921+0.021</f>
        <v>-2.0340000000000003</v>
      </c>
      <c r="H8" s="1">
        <f>+-0.687+0.49+-2.17+0.907</f>
        <v>-1.46</v>
      </c>
      <c r="I8" s="1">
        <f>+-0.516+-0.043+-1.502+-0.027</f>
        <v>-2.0880000000000001</v>
      </c>
      <c r="J8" s="1">
        <f>0.306+0.026+-1.149+-0.391</f>
        <v>-1.208</v>
      </c>
      <c r="K8" s="1">
        <f>+-0.504+0.027+-1.632+0.011</f>
        <v>-2.0979999999999999</v>
      </c>
      <c r="L8" s="1">
        <f>+-0.117+0.071+-4.712+0.002</f>
        <v>-4.7560000000000002</v>
      </c>
      <c r="M8" s="1">
        <f>0.537+0.615+-6.486+0.002</f>
        <v>-5.3319999999999999</v>
      </c>
      <c r="T8" s="1">
        <f>1.318+1.281+-0.955+0.569</f>
        <v>2.2130000000000001</v>
      </c>
      <c r="U8" s="1">
        <f>1.323+0.601+-8.636+0.031</f>
        <v>-6.681</v>
      </c>
      <c r="V8" s="1">
        <f>+-1.128+0.215+-6.742+0.51</f>
        <v>-7.1450000000000005</v>
      </c>
      <c r="W8" s="1">
        <f>+V23*$T$29</f>
        <v>-0.69700000000000006</v>
      </c>
      <c r="X8" s="1">
        <f t="shared" ref="X8:AG8" si="8">+W23*$T$29</f>
        <v>11.242543695104001</v>
      </c>
      <c r="Y8" s="1">
        <f t="shared" si="8"/>
        <v>27.104308640645858</v>
      </c>
      <c r="Z8" s="1">
        <f t="shared" si="8"/>
        <v>47.68963925467942</v>
      </c>
      <c r="AA8" s="1">
        <f t="shared" si="8"/>
        <v>73.953633989273101</v>
      </c>
      <c r="AB8" s="1">
        <f t="shared" si="8"/>
        <v>107.03439470758296</v>
      </c>
      <c r="AC8" s="1">
        <f t="shared" si="8"/>
        <v>148.28783426496582</v>
      </c>
      <c r="AD8" s="1">
        <f t="shared" si="8"/>
        <v>199.32909837098282</v>
      </c>
      <c r="AE8" s="1">
        <f t="shared" si="8"/>
        <v>262.08185846413386</v>
      </c>
      <c r="AF8" s="1">
        <f t="shared" si="8"/>
        <v>338.83697111060991</v>
      </c>
      <c r="AG8" s="1">
        <f t="shared" si="8"/>
        <v>432.32228358589884</v>
      </c>
    </row>
    <row r="9" spans="1:91" x14ac:dyDescent="0.2">
      <c r="B9" t="s">
        <v>29</v>
      </c>
      <c r="F9" s="1">
        <f t="shared" ref="F9:M9" si="9">+F7+F8</f>
        <v>6.2199999999999669</v>
      </c>
      <c r="G9" s="1">
        <f t="shared" si="9"/>
        <v>18.778000000000041</v>
      </c>
      <c r="H9" s="1">
        <f t="shared" si="9"/>
        <v>55.13499999999997</v>
      </c>
      <c r="I9" s="1">
        <f t="shared" si="9"/>
        <v>69.99799999999999</v>
      </c>
      <c r="J9" s="1">
        <f t="shared" si="9"/>
        <v>63.422999999999973</v>
      </c>
      <c r="K9" s="1">
        <f t="shared" si="9"/>
        <v>122.58800000000004</v>
      </c>
      <c r="L9" s="1">
        <f t="shared" si="9"/>
        <v>190.56600000000003</v>
      </c>
      <c r="M9" s="1">
        <f t="shared" si="9"/>
        <v>197.73599999999999</v>
      </c>
      <c r="T9" s="1">
        <f>+T7+T8</f>
        <v>67.338999999999857</v>
      </c>
      <c r="U9" s="1">
        <f>+U7+U8</f>
        <v>121.96800000000006</v>
      </c>
      <c r="V9" s="1">
        <f>+V7+V8</f>
        <v>228.04999999999993</v>
      </c>
      <c r="W9" s="1">
        <f t="shared" ref="W9:AG9" si="10">+W7+W8</f>
        <v>731.58968719999996</v>
      </c>
      <c r="X9" s="1">
        <f t="shared" si="10"/>
        <v>971.92187166310396</v>
      </c>
      <c r="Y9" s="1">
        <f t="shared" si="10"/>
        <v>1261.3560425265659</v>
      </c>
      <c r="Z9" s="1">
        <f t="shared" si="10"/>
        <v>1609.3134028550044</v>
      </c>
      <c r="AA9" s="1">
        <f t="shared" si="10"/>
        <v>2027.0073969552611</v>
      </c>
      <c r="AB9" s="1">
        <f t="shared" si="10"/>
        <v>2527.784286604342</v>
      </c>
      <c r="AC9" s="1">
        <f t="shared" si="10"/>
        <v>3127.5284378686874</v>
      </c>
      <c r="AD9" s="1">
        <f t="shared" si="10"/>
        <v>3845.1446135509213</v>
      </c>
      <c r="AE9" s="1">
        <f t="shared" si="10"/>
        <v>4703.1319023576007</v>
      </c>
      <c r="AF9" s="1">
        <f t="shared" si="10"/>
        <v>5728.2666957897618</v>
      </c>
      <c r="AG9" s="1">
        <f t="shared" si="10"/>
        <v>6952.4154318489345</v>
      </c>
    </row>
    <row r="10" spans="1:91" x14ac:dyDescent="0.2">
      <c r="B10" t="s">
        <v>30</v>
      </c>
      <c r="F10" s="1">
        <v>-13.693</v>
      </c>
      <c r="G10" s="1">
        <v>7.6870000000000003</v>
      </c>
      <c r="H10" s="1">
        <v>-1.857</v>
      </c>
      <c r="I10" s="1">
        <v>8.1950000000000003</v>
      </c>
      <c r="J10" s="1">
        <v>-119.907</v>
      </c>
      <c r="K10" s="1">
        <v>24.19</v>
      </c>
      <c r="L10" s="1">
        <v>-128.38800000000001</v>
      </c>
      <c r="M10" s="1">
        <v>44.247</v>
      </c>
      <c r="T10" s="1">
        <v>14.72</v>
      </c>
      <c r="U10" s="1">
        <v>-0.17499999999999999</v>
      </c>
      <c r="V10" s="1">
        <v>-105.88200000000001</v>
      </c>
      <c r="W10">
        <f>+W9*0.04</f>
        <v>29.263587487999999</v>
      </c>
      <c r="X10">
        <f t="shared" ref="X10:AG10" si="11">+X9*0.04</f>
        <v>38.876874866524162</v>
      </c>
      <c r="Y10">
        <f t="shared" si="11"/>
        <v>50.454241701062642</v>
      </c>
      <c r="Z10">
        <f t="shared" si="11"/>
        <v>64.372536114200173</v>
      </c>
      <c r="AA10">
        <f t="shared" si="11"/>
        <v>81.08029587821045</v>
      </c>
      <c r="AB10">
        <f t="shared" si="11"/>
        <v>101.11137146417369</v>
      </c>
      <c r="AC10">
        <f t="shared" si="11"/>
        <v>125.10113751474751</v>
      </c>
      <c r="AD10">
        <f t="shared" si="11"/>
        <v>153.80578454203686</v>
      </c>
      <c r="AE10">
        <f t="shared" si="11"/>
        <v>188.12527609430404</v>
      </c>
      <c r="AF10">
        <f t="shared" si="11"/>
        <v>229.13066783159047</v>
      </c>
      <c r="AG10">
        <f t="shared" si="11"/>
        <v>278.09661727395741</v>
      </c>
    </row>
    <row r="11" spans="1:91" s="6" customFormat="1" ht="15" x14ac:dyDescent="0.25">
      <c r="B11" s="6" t="s">
        <v>31</v>
      </c>
      <c r="F11" s="7">
        <f t="shared" ref="F11:M11" si="12">+F9-F10</f>
        <v>19.912999999999968</v>
      </c>
      <c r="G11" s="7">
        <f t="shared" si="12"/>
        <v>11.09100000000004</v>
      </c>
      <c r="H11" s="7">
        <f t="shared" si="12"/>
        <v>56.991999999999969</v>
      </c>
      <c r="I11" s="7">
        <f t="shared" si="12"/>
        <v>61.80299999999999</v>
      </c>
      <c r="J11" s="7">
        <f t="shared" si="12"/>
        <v>183.32999999999998</v>
      </c>
      <c r="K11" s="7">
        <f t="shared" si="12"/>
        <v>98.398000000000039</v>
      </c>
      <c r="L11" s="7">
        <f t="shared" si="12"/>
        <v>318.95400000000006</v>
      </c>
      <c r="M11" s="7">
        <f t="shared" si="12"/>
        <v>153.48899999999998</v>
      </c>
      <c r="T11" s="7">
        <f>+T9-T10</f>
        <v>52.618999999999858</v>
      </c>
      <c r="U11" s="7">
        <f>+U9-U10</f>
        <v>122.14300000000006</v>
      </c>
      <c r="V11" s="7">
        <f>+V9-V10</f>
        <v>333.9319999999999</v>
      </c>
      <c r="W11" s="7">
        <f t="shared" ref="W11:AG11" si="13">+W9-W10</f>
        <v>702.32609971199997</v>
      </c>
      <c r="X11" s="7">
        <f t="shared" si="13"/>
        <v>933.04499679657977</v>
      </c>
      <c r="Y11" s="7">
        <f t="shared" si="13"/>
        <v>1210.9018008255034</v>
      </c>
      <c r="Z11" s="7">
        <f t="shared" si="13"/>
        <v>1544.9408667408043</v>
      </c>
      <c r="AA11" s="7">
        <f t="shared" si="13"/>
        <v>1945.9271010770508</v>
      </c>
      <c r="AB11" s="7">
        <f t="shared" si="13"/>
        <v>2426.6729151401682</v>
      </c>
      <c r="AC11" s="7">
        <f t="shared" si="13"/>
        <v>3002.4273003539402</v>
      </c>
      <c r="AD11" s="7">
        <f t="shared" si="13"/>
        <v>3691.3388290088847</v>
      </c>
      <c r="AE11" s="7">
        <f t="shared" si="13"/>
        <v>4515.0066262632963</v>
      </c>
      <c r="AF11" s="7">
        <f t="shared" si="13"/>
        <v>5499.1360279581713</v>
      </c>
      <c r="AG11" s="7">
        <f t="shared" si="13"/>
        <v>6674.3188145749773</v>
      </c>
      <c r="AH11" s="6">
        <f>+AG11*(1+$T$30)</f>
        <v>6474.0892501377275</v>
      </c>
      <c r="AI11" s="6">
        <f t="shared" ref="AI11:CM11" si="14">+AH11*(1+$T$30)</f>
        <v>6279.8665726335958</v>
      </c>
      <c r="AJ11" s="6">
        <f t="shared" si="14"/>
        <v>6091.4705754545876</v>
      </c>
      <c r="AK11" s="6">
        <f t="shared" si="14"/>
        <v>5908.7264581909494</v>
      </c>
      <c r="AL11" s="6">
        <f t="shared" si="14"/>
        <v>5731.4646644452205</v>
      </c>
      <c r="AM11" s="6">
        <f t="shared" si="14"/>
        <v>5559.5207245118636</v>
      </c>
      <c r="AN11" s="6">
        <f t="shared" si="14"/>
        <v>5392.7351027765071</v>
      </c>
      <c r="AO11" s="6">
        <f t="shared" si="14"/>
        <v>5230.9530496932121</v>
      </c>
      <c r="AP11" s="6">
        <f t="shared" si="14"/>
        <v>5074.0244582024152</v>
      </c>
      <c r="AQ11" s="6">
        <f t="shared" si="14"/>
        <v>4921.8037244563429</v>
      </c>
      <c r="AR11" s="6">
        <f t="shared" si="14"/>
        <v>4774.1496127226528</v>
      </c>
      <c r="AS11" s="6">
        <f t="shared" si="14"/>
        <v>4630.9251243409735</v>
      </c>
      <c r="AT11" s="6">
        <f t="shared" si="14"/>
        <v>4491.9973706107439</v>
      </c>
      <c r="AU11" s="6">
        <f t="shared" si="14"/>
        <v>4357.2374494924215</v>
      </c>
      <c r="AV11" s="6">
        <f t="shared" si="14"/>
        <v>4226.5203260076487</v>
      </c>
      <c r="AW11" s="6">
        <f t="shared" si="14"/>
        <v>4099.7247162274189</v>
      </c>
      <c r="AX11" s="6">
        <f t="shared" si="14"/>
        <v>3976.7329747405961</v>
      </c>
      <c r="AY11" s="6">
        <f t="shared" si="14"/>
        <v>3857.430985498378</v>
      </c>
      <c r="AZ11" s="6">
        <f t="shared" si="14"/>
        <v>3741.7080559334267</v>
      </c>
      <c r="BA11" s="6">
        <f t="shared" si="14"/>
        <v>3629.456814255424</v>
      </c>
      <c r="BB11" s="6">
        <f t="shared" si="14"/>
        <v>3520.5731098277611</v>
      </c>
      <c r="BC11" s="6">
        <f t="shared" si="14"/>
        <v>3414.9559165329283</v>
      </c>
      <c r="BD11" s="6">
        <f t="shared" si="14"/>
        <v>3312.5072390369405</v>
      </c>
      <c r="BE11" s="6">
        <f t="shared" si="14"/>
        <v>3213.132021865832</v>
      </c>
      <c r="BF11" s="6">
        <f t="shared" si="14"/>
        <v>3116.7380612098568</v>
      </c>
      <c r="BG11" s="6">
        <f t="shared" si="14"/>
        <v>3023.235919373561</v>
      </c>
      <c r="BH11" s="6">
        <f t="shared" si="14"/>
        <v>2932.5388417923541</v>
      </c>
      <c r="BI11" s="6">
        <f t="shared" si="14"/>
        <v>2844.5626765385832</v>
      </c>
      <c r="BJ11" s="6">
        <f t="shared" si="14"/>
        <v>2759.2257962424255</v>
      </c>
      <c r="BK11" s="6">
        <f t="shared" si="14"/>
        <v>2676.4490223551525</v>
      </c>
      <c r="BL11" s="6">
        <f t="shared" si="14"/>
        <v>2596.1555516844978</v>
      </c>
      <c r="BM11" s="6">
        <f t="shared" si="14"/>
        <v>2518.270885133963</v>
      </c>
      <c r="BN11" s="6">
        <f t="shared" si="14"/>
        <v>2442.7227585799442</v>
      </c>
      <c r="BO11" s="6">
        <f t="shared" si="14"/>
        <v>2369.4410758225458</v>
      </c>
      <c r="BP11" s="6">
        <f t="shared" si="14"/>
        <v>2298.3578435478694</v>
      </c>
      <c r="BQ11" s="6">
        <f t="shared" si="14"/>
        <v>2229.4071082414334</v>
      </c>
      <c r="BR11" s="6">
        <f t="shared" si="14"/>
        <v>2162.5248949941902</v>
      </c>
      <c r="BS11" s="6">
        <f t="shared" si="14"/>
        <v>2097.6491481443645</v>
      </c>
      <c r="BT11" s="6">
        <f t="shared" si="14"/>
        <v>2034.7196737000336</v>
      </c>
      <c r="BU11" s="6">
        <f t="shared" si="14"/>
        <v>1973.6780834890326</v>
      </c>
      <c r="BV11" s="6">
        <f t="shared" si="14"/>
        <v>1914.4677409843616</v>
      </c>
      <c r="BW11" s="6">
        <f t="shared" si="14"/>
        <v>1857.0337087548307</v>
      </c>
      <c r="BX11" s="6">
        <f t="shared" si="14"/>
        <v>1801.3226974921859</v>
      </c>
      <c r="BY11" s="6">
        <f t="shared" si="14"/>
        <v>1747.2830165674202</v>
      </c>
      <c r="BZ11" s="6">
        <f t="shared" si="14"/>
        <v>1694.8645260703975</v>
      </c>
      <c r="CA11" s="6">
        <f t="shared" si="14"/>
        <v>1644.0185902882854</v>
      </c>
      <c r="CB11" s="6">
        <f t="shared" si="14"/>
        <v>1594.6980325796369</v>
      </c>
      <c r="CC11" s="6">
        <f t="shared" si="14"/>
        <v>1546.8570916022477</v>
      </c>
      <c r="CD11" s="6">
        <f t="shared" si="14"/>
        <v>1500.4513788541801</v>
      </c>
      <c r="CE11" s="6">
        <f t="shared" si="14"/>
        <v>1455.4378374885546</v>
      </c>
      <c r="CF11" s="6">
        <f t="shared" si="14"/>
        <v>1411.7747023638979</v>
      </c>
      <c r="CG11" s="6">
        <f t="shared" si="14"/>
        <v>1369.4214612929809</v>
      </c>
      <c r="CH11" s="6">
        <f t="shared" si="14"/>
        <v>1328.3388174541915</v>
      </c>
      <c r="CI11" s="6">
        <f t="shared" si="14"/>
        <v>1288.4886529305656</v>
      </c>
      <c r="CJ11" s="6">
        <f t="shared" si="14"/>
        <v>1249.8339933426487</v>
      </c>
      <c r="CK11" s="6">
        <f t="shared" si="14"/>
        <v>1212.3389735423691</v>
      </c>
      <c r="CL11" s="6">
        <f t="shared" si="14"/>
        <v>1175.9688043360979</v>
      </c>
      <c r="CM11" s="6">
        <f t="shared" si="14"/>
        <v>1140.6897402060149</v>
      </c>
    </row>
    <row r="12" spans="1:91" x14ac:dyDescent="0.2">
      <c r="B12" t="s">
        <v>32</v>
      </c>
      <c r="F12" s="4">
        <f t="shared" ref="F12:M12" si="15">+F11/F13</f>
        <v>0.28470325836752741</v>
      </c>
      <c r="G12" s="4">
        <f t="shared" si="15"/>
        <v>0.160232887399232</v>
      </c>
      <c r="H12" s="4">
        <f t="shared" si="15"/>
        <v>0.83764954878156284</v>
      </c>
      <c r="I12" s="4">
        <f t="shared" si="15"/>
        <v>0.90375082254880434</v>
      </c>
      <c r="J12" s="4">
        <f t="shared" si="15"/>
        <v>2.6938901460604812</v>
      </c>
      <c r="K12" s="4">
        <f t="shared" si="15"/>
        <v>1.471966251795118</v>
      </c>
      <c r="L12" s="4">
        <f t="shared" si="15"/>
        <v>4.9343131188118825</v>
      </c>
      <c r="M12" s="4">
        <f t="shared" si="15"/>
        <v>2.4238677278756868</v>
      </c>
      <c r="T12" s="4">
        <f>+T11/T13</f>
        <v>0.76904751465193222</v>
      </c>
      <c r="U12" s="4">
        <f>+U11/U13</f>
        <v>1.7018433629181711</v>
      </c>
      <c r="V12" s="4">
        <f>+V11/V13</f>
        <v>4.864693199696986</v>
      </c>
      <c r="W12" s="4">
        <f t="shared" ref="W12:AG12" si="16">+W11/W13</f>
        <v>10.231427360177145</v>
      </c>
      <c r="X12" s="4">
        <f t="shared" si="16"/>
        <v>13.592520785452184</v>
      </c>
      <c r="Y12" s="4">
        <f t="shared" si="16"/>
        <v>17.640315261719937</v>
      </c>
      <c r="Z12" s="4">
        <f t="shared" si="16"/>
        <v>22.506568188637086</v>
      </c>
      <c r="AA12" s="4">
        <f t="shared" si="16"/>
        <v>28.348101816284753</v>
      </c>
      <c r="AB12" s="4">
        <f t="shared" si="16"/>
        <v>35.351566271490121</v>
      </c>
      <c r="AC12" s="4">
        <f t="shared" si="16"/>
        <v>43.739107574645125</v>
      </c>
      <c r="AD12" s="4">
        <f t="shared" si="16"/>
        <v>53.775112595549274</v>
      </c>
      <c r="AE12" s="4">
        <f t="shared" si="16"/>
        <v>65.774235567031297</v>
      </c>
      <c r="AF12" s="4">
        <f t="shared" si="16"/>
        <v>80.11094965267425</v>
      </c>
      <c r="AG12" s="4">
        <f t="shared" si="16"/>
        <v>97.230913329278252</v>
      </c>
    </row>
    <row r="13" spans="1:91" x14ac:dyDescent="0.2">
      <c r="B13" t="s">
        <v>1</v>
      </c>
      <c r="F13" s="1">
        <v>69.942999999999998</v>
      </c>
      <c r="G13" s="1">
        <v>69.218000000000004</v>
      </c>
      <c r="H13" s="1">
        <v>68.037999999999997</v>
      </c>
      <c r="I13" s="1">
        <v>68.385000000000005</v>
      </c>
      <c r="J13" s="1">
        <v>68.054000000000002</v>
      </c>
      <c r="K13" s="1">
        <v>66.847999999999999</v>
      </c>
      <c r="L13" s="1">
        <v>64.64</v>
      </c>
      <c r="M13" s="1">
        <v>63.323999999999998</v>
      </c>
      <c r="T13" s="1">
        <v>68.421000000000006</v>
      </c>
      <c r="U13" s="1">
        <v>71.771000000000001</v>
      </c>
      <c r="V13" s="1">
        <v>68.644000000000005</v>
      </c>
      <c r="W13" s="1">
        <v>68.644000000000005</v>
      </c>
      <c r="X13" s="1">
        <v>68.644000000000005</v>
      </c>
      <c r="Y13" s="1">
        <v>68.644000000000005</v>
      </c>
      <c r="Z13" s="1">
        <v>68.644000000000005</v>
      </c>
      <c r="AA13" s="1">
        <v>68.644000000000005</v>
      </c>
      <c r="AB13" s="1">
        <v>68.644000000000005</v>
      </c>
      <c r="AC13" s="1">
        <v>68.644000000000005</v>
      </c>
      <c r="AD13" s="1">
        <v>68.644000000000005</v>
      </c>
      <c r="AE13" s="1">
        <v>68.644000000000005</v>
      </c>
      <c r="AF13" s="1">
        <v>68.644000000000005</v>
      </c>
      <c r="AG13" s="1">
        <v>68.644000000000005</v>
      </c>
    </row>
    <row r="15" spans="1:91" x14ac:dyDescent="0.2">
      <c r="B15" t="s">
        <v>33</v>
      </c>
      <c r="F15" s="5">
        <f t="shared" ref="F15:H15" si="17">+F5/F3</f>
        <v>0.48003072488677795</v>
      </c>
      <c r="G15" s="5">
        <f t="shared" si="17"/>
        <v>0.47717313984919629</v>
      </c>
      <c r="H15" s="5">
        <f t="shared" si="17"/>
        <v>0.54270409502064543</v>
      </c>
      <c r="I15" s="5">
        <f>+I5/I3</f>
        <v>0.57160194174757273</v>
      </c>
      <c r="J15" s="5">
        <f>+J5/J3</f>
        <v>0.55669662167744816</v>
      </c>
      <c r="K15" s="5">
        <f>+K5/K3</f>
        <v>0.55035883659568186</v>
      </c>
      <c r="L15" s="5">
        <f>+L5/L3</f>
        <v>0.61672542382403761</v>
      </c>
      <c r="M15" s="5">
        <f>+M5/M3</f>
        <v>0.63873440493098943</v>
      </c>
      <c r="T15" s="5">
        <f t="shared" ref="T15:U15" si="18">+T5/T3</f>
        <v>0.5147504376473182</v>
      </c>
      <c r="U15" s="5">
        <f t="shared" si="18"/>
        <v>0.50142979847926972</v>
      </c>
      <c r="V15" s="5">
        <f>+V5/$V$3</f>
        <v>0.54110715313889157</v>
      </c>
      <c r="W15" s="5">
        <f>+W5/W3</f>
        <v>0.56000000000000005</v>
      </c>
      <c r="X15" s="5">
        <f t="shared" ref="X15:AG15" si="19">+X5/X3</f>
        <v>0.56000000000000005</v>
      </c>
      <c r="Y15" s="5">
        <f t="shared" si="19"/>
        <v>0.56000000000000005</v>
      </c>
      <c r="Z15" s="5">
        <f t="shared" si="19"/>
        <v>0.56000000000000005</v>
      </c>
      <c r="AA15" s="5">
        <f t="shared" si="19"/>
        <v>0.56000000000000005</v>
      </c>
      <c r="AB15" s="5">
        <f t="shared" si="19"/>
        <v>0.56000000000000005</v>
      </c>
      <c r="AC15" s="5">
        <f t="shared" si="19"/>
        <v>0.56000000000000005</v>
      </c>
      <c r="AD15" s="5">
        <f t="shared" si="19"/>
        <v>0.56000000000000005</v>
      </c>
      <c r="AE15" s="5">
        <f t="shared" si="19"/>
        <v>0.56000000000000005</v>
      </c>
      <c r="AF15" s="5">
        <f t="shared" si="19"/>
        <v>0.56000000000000005</v>
      </c>
      <c r="AG15" s="5">
        <f t="shared" si="19"/>
        <v>0.56000000000000005</v>
      </c>
    </row>
    <row r="16" spans="1:91" x14ac:dyDescent="0.2">
      <c r="B16" t="s">
        <v>75</v>
      </c>
      <c r="F16" s="5">
        <f t="shared" ref="F16:M16" si="20">+F7/F3</f>
        <v>3.1774400237281175E-2</v>
      </c>
      <c r="G16" s="5">
        <f t="shared" si="20"/>
        <v>7.4021909233176975E-2</v>
      </c>
      <c r="H16" s="5">
        <f t="shared" si="20"/>
        <v>0.17069875041094973</v>
      </c>
      <c r="I16" s="5">
        <f t="shared" si="20"/>
        <v>0.19927792644359418</v>
      </c>
      <c r="J16" s="5">
        <f t="shared" si="20"/>
        <v>0.15705967835219894</v>
      </c>
      <c r="K16" s="5">
        <f t="shared" si="20"/>
        <v>0.27099878721489778</v>
      </c>
      <c r="L16" s="5">
        <f t="shared" si="20"/>
        <v>0.30482245662660573</v>
      </c>
      <c r="M16" s="5">
        <f t="shared" si="20"/>
        <v>0.32443175554664422</v>
      </c>
      <c r="T16" s="5">
        <f t="shared" ref="T16" si="21">+T7/T3</f>
        <v>5.984717952959219E-2</v>
      </c>
      <c r="U16" s="5">
        <f>+U7/U3</f>
        <v>0.10454228164795351</v>
      </c>
      <c r="V16" s="5">
        <f>+V7/V3</f>
        <v>0.16969936166574426</v>
      </c>
      <c r="W16" s="5">
        <f t="shared" ref="W16:AG16" si="22">+W7/W3</f>
        <v>0.32615064981320352</v>
      </c>
      <c r="X16" s="5">
        <f t="shared" si="22"/>
        <v>0.35955769983988872</v>
      </c>
      <c r="Y16" s="5">
        <f t="shared" si="22"/>
        <v>0.38819231414847605</v>
      </c>
      <c r="Z16" s="5">
        <f t="shared" si="22"/>
        <v>0.41273626927012241</v>
      </c>
      <c r="AA16" s="5">
        <f t="shared" si="22"/>
        <v>0.43377394508867634</v>
      </c>
      <c r="AB16" s="5">
        <f t="shared" si="22"/>
        <v>0.4518062386474368</v>
      </c>
      <c r="AC16" s="5">
        <f t="shared" si="22"/>
        <v>0.46726249026923156</v>
      </c>
      <c r="AD16" s="5">
        <f t="shared" si="22"/>
        <v>0.48051070594505563</v>
      </c>
      <c r="AE16" s="5">
        <f t="shared" si="22"/>
        <v>0.49186631938147629</v>
      </c>
      <c r="AF16" s="5">
        <f t="shared" si="22"/>
        <v>0.5015997023269797</v>
      </c>
      <c r="AG16" s="5">
        <f t="shared" si="22"/>
        <v>0.50994260199455399</v>
      </c>
    </row>
    <row r="17" spans="2:33" x14ac:dyDescent="0.2">
      <c r="B17" t="s">
        <v>83</v>
      </c>
      <c r="F17" s="5">
        <f t="shared" ref="F17:L17" si="23">+F10/F9</f>
        <v>-2.2014469453376324</v>
      </c>
      <c r="G17" s="5">
        <f t="shared" si="23"/>
        <v>0.4093620193843851</v>
      </c>
      <c r="H17" s="5">
        <f t="shared" si="23"/>
        <v>-3.3680964904325761E-2</v>
      </c>
      <c r="I17" s="5">
        <f t="shared" si="23"/>
        <v>0.11707477356495902</v>
      </c>
      <c r="J17" s="5">
        <f t="shared" si="23"/>
        <v>-1.8905917411664546</v>
      </c>
      <c r="K17" s="5">
        <f t="shared" si="23"/>
        <v>0.1973276340261689</v>
      </c>
      <c r="L17" s="5">
        <f t="shared" si="23"/>
        <v>-0.67371934133056255</v>
      </c>
      <c r="M17" s="5">
        <f>+M10/M9</f>
        <v>0.22376805437553102</v>
      </c>
      <c r="T17" s="5">
        <f t="shared" ref="T17:AG17" si="24">+T10/T9</f>
        <v>0.21859546473811658</v>
      </c>
      <c r="U17" s="5">
        <f t="shared" si="24"/>
        <v>-1.4348025711662068E-3</v>
      </c>
      <c r="V17" s="5">
        <f t="shared" si="24"/>
        <v>-0.46429291821968882</v>
      </c>
      <c r="W17" s="5">
        <f t="shared" si="24"/>
        <v>0.04</v>
      </c>
      <c r="X17" s="5">
        <f t="shared" si="24"/>
        <v>0.04</v>
      </c>
      <c r="Y17" s="5">
        <f t="shared" si="24"/>
        <v>0.04</v>
      </c>
      <c r="Z17" s="5">
        <f t="shared" si="24"/>
        <v>0.04</v>
      </c>
      <c r="AA17" s="5">
        <f t="shared" si="24"/>
        <v>0.04</v>
      </c>
      <c r="AB17" s="5">
        <f t="shared" si="24"/>
        <v>0.04</v>
      </c>
      <c r="AC17" s="5">
        <f t="shared" si="24"/>
        <v>0.04</v>
      </c>
      <c r="AD17" s="5">
        <f t="shared" si="24"/>
        <v>0.04</v>
      </c>
      <c r="AE17" s="5">
        <f t="shared" si="24"/>
        <v>0.04</v>
      </c>
      <c r="AF17" s="5">
        <f t="shared" si="24"/>
        <v>0.04</v>
      </c>
      <c r="AG17" s="5">
        <f t="shared" si="24"/>
        <v>0.04</v>
      </c>
    </row>
    <row r="19" spans="2:33" x14ac:dyDescent="0.2">
      <c r="B19" t="s">
        <v>34</v>
      </c>
      <c r="J19" s="5">
        <f>+J3/F3-1</f>
        <v>0.5647865418911775</v>
      </c>
      <c r="K19" s="5">
        <f>+K3/G3-1</f>
        <v>0.63642765685019187</v>
      </c>
      <c r="L19" s="5">
        <f>+L3/H3-1</f>
        <v>0.9326645533541047</v>
      </c>
      <c r="M19" s="5">
        <f>+M3/I3-1</f>
        <v>0.73031990180684248</v>
      </c>
      <c r="U19" s="5">
        <f>+U3/T3-1</f>
        <v>0.1308466695153947</v>
      </c>
      <c r="V19" s="5">
        <f>+V3/U3-1</f>
        <v>0.12624645191383332</v>
      </c>
      <c r="W19" s="5">
        <f t="shared" ref="W19:AG19" si="25">+W3/V3-1</f>
        <v>0.62000000000000011</v>
      </c>
      <c r="X19" s="5">
        <f t="shared" si="25"/>
        <v>0.18999999999999995</v>
      </c>
      <c r="Y19" s="5">
        <f t="shared" si="25"/>
        <v>0.18999999999999995</v>
      </c>
      <c r="Z19" s="5">
        <f t="shared" si="25"/>
        <v>0.18999999999999995</v>
      </c>
      <c r="AA19" s="5">
        <f t="shared" si="25"/>
        <v>0.18999999999999995</v>
      </c>
      <c r="AB19" s="5">
        <f t="shared" si="25"/>
        <v>0.18999999999999995</v>
      </c>
      <c r="AC19" s="5">
        <f t="shared" si="25"/>
        <v>0.18999999999999995</v>
      </c>
      <c r="AD19" s="5">
        <f t="shared" si="25"/>
        <v>0.18999999999999995</v>
      </c>
      <c r="AE19" s="5">
        <f t="shared" si="25"/>
        <v>0.18999999999999995</v>
      </c>
      <c r="AF19" s="5">
        <f t="shared" si="25"/>
        <v>0.18999999999999995</v>
      </c>
      <c r="AG19" s="5">
        <f t="shared" si="25"/>
        <v>0.18999999999999995</v>
      </c>
    </row>
    <row r="20" spans="2:33" x14ac:dyDescent="0.2">
      <c r="J20" s="5"/>
      <c r="K20" s="5"/>
      <c r="L20" s="5"/>
      <c r="M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x14ac:dyDescent="0.2">
      <c r="J21" s="5"/>
      <c r="K21" s="5"/>
      <c r="L21" s="5"/>
      <c r="M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x14ac:dyDescent="0.2">
      <c r="F22" s="5"/>
      <c r="G22" s="5"/>
      <c r="H22" s="5"/>
      <c r="I22" s="5"/>
      <c r="J22" s="5"/>
      <c r="K22" s="5"/>
      <c r="L22" s="5"/>
      <c r="M22" s="5"/>
      <c r="N22" s="5"/>
    </row>
    <row r="23" spans="2:33" s="6" customFormat="1" ht="15" x14ac:dyDescent="0.25">
      <c r="B23" s="6" t="s">
        <v>74</v>
      </c>
      <c r="J23" s="7">
        <f>+J24-J42</f>
        <v>-40.727000000000004</v>
      </c>
      <c r="K23" s="7">
        <f>+K24-K42</f>
        <v>-79.857000000000028</v>
      </c>
      <c r="L23" s="7">
        <f>+L24-L42</f>
        <v>-183.20399999999998</v>
      </c>
      <c r="M23" s="7">
        <f>+M24-M42</f>
        <v>-244.21100000000007</v>
      </c>
      <c r="V23" s="6">
        <v>-41</v>
      </c>
      <c r="W23" s="7">
        <f>+V23+W11</f>
        <v>661.32609971199997</v>
      </c>
      <c r="X23" s="7">
        <f t="shared" ref="X23:AG23" si="26">+W23+X11</f>
        <v>1594.3710965085797</v>
      </c>
      <c r="Y23" s="7">
        <f t="shared" si="26"/>
        <v>2805.2728973340832</v>
      </c>
      <c r="Z23" s="7">
        <f t="shared" si="26"/>
        <v>4350.2137640748879</v>
      </c>
      <c r="AA23" s="7">
        <f t="shared" si="26"/>
        <v>6296.1408651519387</v>
      </c>
      <c r="AB23" s="7">
        <f t="shared" si="26"/>
        <v>8722.8137802921065</v>
      </c>
      <c r="AC23" s="7">
        <f t="shared" si="26"/>
        <v>11725.241080646047</v>
      </c>
      <c r="AD23" s="7">
        <f t="shared" si="26"/>
        <v>15416.579909654931</v>
      </c>
      <c r="AE23" s="7">
        <f t="shared" si="26"/>
        <v>19931.586535918228</v>
      </c>
      <c r="AF23" s="7">
        <f t="shared" si="26"/>
        <v>25430.722563876399</v>
      </c>
      <c r="AG23" s="7">
        <f t="shared" si="26"/>
        <v>32105.041378451377</v>
      </c>
    </row>
    <row r="24" spans="2:33" x14ac:dyDescent="0.2">
      <c r="B24" t="s">
        <v>3</v>
      </c>
      <c r="J24" s="1">
        <f>135.802+1.542+1.929</f>
        <v>139.273</v>
      </c>
      <c r="K24" s="1">
        <f>255.869+1.473+3.904</f>
        <v>261.24599999999998</v>
      </c>
      <c r="L24" s="1">
        <f>197.853+1.469+3.857</f>
        <v>203.179</v>
      </c>
      <c r="M24" s="1">
        <f>436.601+1.412+3.731</f>
        <v>441.74399999999997</v>
      </c>
    </row>
    <row r="25" spans="2:33" x14ac:dyDescent="0.2">
      <c r="B25" t="s">
        <v>35</v>
      </c>
      <c r="J25" s="1">
        <v>149.84700000000001</v>
      </c>
      <c r="K25" s="1">
        <v>228.71700000000001</v>
      </c>
      <c r="L25" s="1">
        <v>233.262</v>
      </c>
      <c r="M25" s="1">
        <v>229.298</v>
      </c>
    </row>
    <row r="26" spans="2:33" x14ac:dyDescent="0.2">
      <c r="B26" t="s">
        <v>36</v>
      </c>
      <c r="J26" s="1">
        <v>175.12100000000001</v>
      </c>
      <c r="K26" s="1">
        <v>196.477</v>
      </c>
      <c r="L26" s="1">
        <v>209.089</v>
      </c>
      <c r="M26" s="1">
        <v>212.49600000000001</v>
      </c>
    </row>
    <row r="27" spans="2:33" x14ac:dyDescent="0.2">
      <c r="B27" t="s">
        <v>37</v>
      </c>
      <c r="J27" s="1">
        <v>1.857</v>
      </c>
      <c r="K27" s="1">
        <v>3.83</v>
      </c>
      <c r="L27" s="1">
        <v>1.3520000000000001</v>
      </c>
      <c r="M27" s="1">
        <v>1.2549999999999999</v>
      </c>
    </row>
    <row r="28" spans="2:33" x14ac:dyDescent="0.2">
      <c r="B28" t="s">
        <v>38</v>
      </c>
      <c r="J28" s="1">
        <v>10.816000000000001</v>
      </c>
      <c r="K28" s="1">
        <v>19.911999999999999</v>
      </c>
      <c r="L28" s="1">
        <v>14.438000000000001</v>
      </c>
      <c r="M28" s="1">
        <v>16.989999999999998</v>
      </c>
    </row>
    <row r="29" spans="2:33" x14ac:dyDescent="0.2">
      <c r="B29" t="s">
        <v>39</v>
      </c>
      <c r="J29" s="1">
        <v>17.856000000000002</v>
      </c>
      <c r="K29" s="1">
        <v>20.904</v>
      </c>
      <c r="L29" s="1">
        <v>21.052</v>
      </c>
      <c r="M29" s="1">
        <v>22</v>
      </c>
      <c r="S29" t="s">
        <v>76</v>
      </c>
      <c r="T29" s="8">
        <v>1.7000000000000001E-2</v>
      </c>
    </row>
    <row r="30" spans="2:33" x14ac:dyDescent="0.2">
      <c r="B30" t="s">
        <v>40</v>
      </c>
      <c r="J30" s="1">
        <v>57.466999999999999</v>
      </c>
      <c r="K30" s="1">
        <v>70.150000000000006</v>
      </c>
      <c r="L30" s="1">
        <v>76.948999999999998</v>
      </c>
      <c r="M30" s="1">
        <v>91.317999999999998</v>
      </c>
      <c r="S30" t="s">
        <v>77</v>
      </c>
      <c r="T30" s="5">
        <v>-0.03</v>
      </c>
    </row>
    <row r="31" spans="2:33" x14ac:dyDescent="0.2">
      <c r="B31" t="s">
        <v>41</v>
      </c>
      <c r="J31" s="1">
        <f>37.636+1.719</f>
        <v>39.355000000000004</v>
      </c>
      <c r="K31" s="1">
        <f>34.762+1.651</f>
        <v>36.413000000000004</v>
      </c>
      <c r="L31" s="1">
        <f>33.731+1.669</f>
        <v>35.4</v>
      </c>
      <c r="M31" s="1">
        <f>31.634+1.63</f>
        <v>33.264000000000003</v>
      </c>
      <c r="S31" t="s">
        <v>78</v>
      </c>
      <c r="T31" s="8">
        <v>7.0000000000000007E-2</v>
      </c>
    </row>
    <row r="32" spans="2:33" x14ac:dyDescent="0.2">
      <c r="B32" t="s">
        <v>42</v>
      </c>
      <c r="J32" s="1">
        <v>350.78399999999999</v>
      </c>
      <c r="K32" s="1">
        <v>336.59</v>
      </c>
      <c r="L32" s="1">
        <v>515.66700000000003</v>
      </c>
      <c r="M32" s="1">
        <v>517.92899999999997</v>
      </c>
      <c r="S32" t="s">
        <v>79</v>
      </c>
      <c r="T32" s="1">
        <f>+NPV(T31,W11:CM11) +V11</f>
        <v>50071.257462856855</v>
      </c>
    </row>
    <row r="33" spans="2:20" x14ac:dyDescent="0.2">
      <c r="B33" t="s">
        <v>43</v>
      </c>
      <c r="J33" s="1">
        <v>167.42099999999999</v>
      </c>
      <c r="K33" s="1">
        <v>179.785</v>
      </c>
      <c r="L33" s="1">
        <v>175.37799999999999</v>
      </c>
      <c r="M33" s="1">
        <v>170.95699999999999</v>
      </c>
      <c r="S33" t="s">
        <v>74</v>
      </c>
      <c r="T33" s="1">
        <f>+T32+M23</f>
        <v>49827.046462856852</v>
      </c>
    </row>
    <row r="34" spans="2:20" x14ac:dyDescent="0.2">
      <c r="B34" t="s">
        <v>44</v>
      </c>
      <c r="J34" s="1">
        <v>8.9260000000000002</v>
      </c>
      <c r="K34" s="1">
        <v>8.2989999999999995</v>
      </c>
      <c r="L34" s="1">
        <v>8.0359999999999996</v>
      </c>
      <c r="M34" s="1">
        <v>7.8140000000000001</v>
      </c>
      <c r="S34" t="s">
        <v>80</v>
      </c>
      <c r="T34">
        <f>+T33/Model!K5</f>
        <v>196.77451716836748</v>
      </c>
    </row>
    <row r="35" spans="2:20" x14ac:dyDescent="0.2">
      <c r="B35" t="s">
        <v>45</v>
      </c>
      <c r="J35" s="1">
        <f>+SUM(J24:J34)</f>
        <v>1118.723</v>
      </c>
      <c r="K35" s="1">
        <f>+SUM(K24:K34)</f>
        <v>1362.3230000000001</v>
      </c>
      <c r="L35" s="1">
        <f>+SUM(L24:L34)</f>
        <v>1493.8019999999999</v>
      </c>
      <c r="M35" s="1">
        <f>+SUM(M24:M34)</f>
        <v>1745.0649999999998</v>
      </c>
      <c r="S35" t="s">
        <v>81</v>
      </c>
      <c r="T35">
        <v>99.74</v>
      </c>
    </row>
    <row r="36" spans="2:20" x14ac:dyDescent="0.2">
      <c r="S36" t="s">
        <v>82</v>
      </c>
      <c r="T36" s="5">
        <f>+T34/T35-1</f>
        <v>0.97287464576265781</v>
      </c>
    </row>
    <row r="37" spans="2:20" x14ac:dyDescent="0.2">
      <c r="B37" t="s">
        <v>46</v>
      </c>
      <c r="J37" s="1">
        <v>112.77800000000001</v>
      </c>
      <c r="K37" s="1">
        <v>141.94200000000001</v>
      </c>
      <c r="L37" s="1">
        <v>166.81700000000001</v>
      </c>
      <c r="M37" s="1">
        <v>133.446</v>
      </c>
    </row>
    <row r="38" spans="2:20" x14ac:dyDescent="0.2">
      <c r="B38" t="s">
        <v>47</v>
      </c>
      <c r="J38" s="1">
        <v>126.70399999999999</v>
      </c>
      <c r="K38" s="1">
        <v>111.15900000000001</v>
      </c>
      <c r="L38" s="1">
        <v>156.565</v>
      </c>
      <c r="M38" s="1">
        <v>149.20599999999999</v>
      </c>
    </row>
    <row r="39" spans="2:20" x14ac:dyDescent="0.2">
      <c r="B39" t="s">
        <v>48</v>
      </c>
      <c r="J39" s="1">
        <v>5.0380000000000003</v>
      </c>
      <c r="K39" s="1">
        <v>24.317</v>
      </c>
      <c r="L39" s="1">
        <v>11.814</v>
      </c>
      <c r="M39" s="1">
        <v>22.315000000000001</v>
      </c>
    </row>
    <row r="40" spans="2:20" x14ac:dyDescent="0.2">
      <c r="B40" t="s">
        <v>49</v>
      </c>
      <c r="J40" s="1">
        <v>47.064</v>
      </c>
      <c r="K40" s="1">
        <v>48.33</v>
      </c>
      <c r="L40" s="1">
        <v>45.725999999999999</v>
      </c>
      <c r="M40" s="1">
        <v>45.247999999999998</v>
      </c>
    </row>
    <row r="41" spans="2:20" x14ac:dyDescent="0.2">
      <c r="B41" t="s">
        <v>50</v>
      </c>
      <c r="J41" s="1">
        <v>205.97399999999999</v>
      </c>
      <c r="K41" s="1">
        <v>198.76900000000001</v>
      </c>
      <c r="L41" s="1">
        <v>200.96899999999999</v>
      </c>
      <c r="M41" s="1">
        <v>193.99</v>
      </c>
    </row>
    <row r="42" spans="2:20" x14ac:dyDescent="0.2">
      <c r="B42" t="s">
        <v>4</v>
      </c>
      <c r="J42" s="1">
        <v>180</v>
      </c>
      <c r="K42" s="1">
        <v>341.10300000000001</v>
      </c>
      <c r="L42" s="1">
        <v>386.38299999999998</v>
      </c>
      <c r="M42" s="1">
        <v>685.95500000000004</v>
      </c>
    </row>
    <row r="43" spans="2:20" x14ac:dyDescent="0.2">
      <c r="B43" t="s">
        <v>51</v>
      </c>
      <c r="J43" s="1">
        <v>146.40100000000001</v>
      </c>
      <c r="K43" s="1">
        <v>165.81800000000001</v>
      </c>
      <c r="L43" s="1">
        <v>162.55199999999999</v>
      </c>
      <c r="M43" s="1">
        <v>157.874</v>
      </c>
    </row>
    <row r="44" spans="2:20" x14ac:dyDescent="0.2">
      <c r="B44" t="s">
        <v>52</v>
      </c>
      <c r="J44" s="1">
        <v>4.1310000000000002</v>
      </c>
      <c r="K44" s="1">
        <v>4.6539999999999999</v>
      </c>
      <c r="L44" s="1">
        <v>4.2119999999999997</v>
      </c>
      <c r="M44" s="1">
        <v>4.2</v>
      </c>
    </row>
    <row r="45" spans="2:20" x14ac:dyDescent="0.2">
      <c r="B45" t="s">
        <v>53</v>
      </c>
      <c r="J45" s="1">
        <f>+SUM(J37:J44)</f>
        <v>828.09</v>
      </c>
      <c r="K45" s="1">
        <f>+SUM(K37:K44)</f>
        <v>1036.0920000000001</v>
      </c>
      <c r="L45" s="1">
        <f>+SUM(L37:L44)</f>
        <v>1135.038</v>
      </c>
      <c r="M45" s="1">
        <f>+SUM(M37:M44)</f>
        <v>1392.2339999999999</v>
      </c>
    </row>
    <row r="47" spans="2:20" x14ac:dyDescent="0.2">
      <c r="B47" t="s">
        <v>54</v>
      </c>
      <c r="H47" s="1">
        <f t="shared" ref="H47:M47" si="27">+H11</f>
        <v>56.991999999999969</v>
      </c>
      <c r="I47" s="1">
        <f t="shared" si="27"/>
        <v>61.80299999999999</v>
      </c>
      <c r="J47" s="1">
        <f t="shared" si="27"/>
        <v>183.32999999999998</v>
      </c>
      <c r="K47" s="1">
        <f t="shared" si="27"/>
        <v>98.398000000000039</v>
      </c>
      <c r="L47" s="1">
        <f t="shared" si="27"/>
        <v>318.95400000000006</v>
      </c>
      <c r="M47" s="1">
        <f t="shared" si="27"/>
        <v>153.48899999999998</v>
      </c>
    </row>
    <row r="48" spans="2:20" x14ac:dyDescent="0.2">
      <c r="B48" t="s">
        <v>55</v>
      </c>
      <c r="H48" s="1">
        <v>67.641999999999996</v>
      </c>
      <c r="I48" s="1">
        <v>129.53100000000001</v>
      </c>
      <c r="J48" s="1">
        <v>312.86099999999999</v>
      </c>
      <c r="K48" s="1">
        <v>98.397999999999996</v>
      </c>
      <c r="L48" s="1">
        <v>417.35199999999998</v>
      </c>
      <c r="M48" s="1">
        <v>570.84100000000001</v>
      </c>
    </row>
    <row r="49" spans="2:13" x14ac:dyDescent="0.2">
      <c r="B49" t="s">
        <v>56</v>
      </c>
      <c r="H49" s="1">
        <v>13.499000000000001</v>
      </c>
      <c r="I49" s="1">
        <v>20.251000000000001</v>
      </c>
      <c r="J49" s="1">
        <v>27.619</v>
      </c>
      <c r="K49" s="1">
        <v>8.0540000000000003</v>
      </c>
      <c r="L49" s="1">
        <v>15.749000000000001</v>
      </c>
      <c r="M49" s="1">
        <v>23.832000000000001</v>
      </c>
    </row>
    <row r="50" spans="2:13" x14ac:dyDescent="0.2">
      <c r="B50" t="s">
        <v>49</v>
      </c>
      <c r="H50" s="1">
        <v>30.213000000000001</v>
      </c>
      <c r="I50" s="1">
        <v>45.817999999999998</v>
      </c>
      <c r="J50" s="1">
        <v>61.582999999999998</v>
      </c>
      <c r="K50" s="1">
        <v>14.832000000000001</v>
      </c>
      <c r="L50" s="1">
        <v>29.757999999999999</v>
      </c>
      <c r="M50" s="1">
        <v>44.067</v>
      </c>
    </row>
    <row r="51" spans="2:13" x14ac:dyDescent="0.2">
      <c r="B51" t="s">
        <v>60</v>
      </c>
      <c r="H51" s="1">
        <v>8.8209999999999997</v>
      </c>
      <c r="I51" s="1">
        <v>8.8729999999999993</v>
      </c>
      <c r="J51" s="1">
        <v>8.9939999999999998</v>
      </c>
      <c r="K51" s="1">
        <v>0</v>
      </c>
      <c r="L51" s="1">
        <v>0.64100000000000001</v>
      </c>
      <c r="M51" s="1">
        <v>1.153</v>
      </c>
    </row>
    <row r="52" spans="2:13" x14ac:dyDescent="0.2">
      <c r="B52" t="s">
        <v>57</v>
      </c>
      <c r="H52" s="1">
        <v>6.5069999999999997</v>
      </c>
      <c r="I52" s="1">
        <v>5.72</v>
      </c>
      <c r="J52" s="1">
        <v>5.7789999999999999</v>
      </c>
      <c r="K52" s="1">
        <v>0</v>
      </c>
      <c r="L52" s="1">
        <v>-2.556</v>
      </c>
      <c r="M52" s="1">
        <v>-2.4409999999999998</v>
      </c>
    </row>
    <row r="53" spans="2:13" x14ac:dyDescent="0.2">
      <c r="B53" t="s">
        <v>58</v>
      </c>
      <c r="H53" s="1">
        <v>5.9420000000000002</v>
      </c>
      <c r="I53" s="1">
        <v>10.808999999999999</v>
      </c>
      <c r="J53" s="1">
        <v>16.361000000000001</v>
      </c>
      <c r="K53" s="1">
        <v>8.0540000000000003</v>
      </c>
      <c r="L53" s="1">
        <v>19.347999999999999</v>
      </c>
      <c r="M53" s="1">
        <v>29.939</v>
      </c>
    </row>
    <row r="54" spans="2:13" x14ac:dyDescent="0.2">
      <c r="B54" t="s">
        <v>42</v>
      </c>
      <c r="H54" s="1">
        <v>0</v>
      </c>
      <c r="I54" s="1">
        <v>0</v>
      </c>
      <c r="J54" s="1">
        <v>-325.06099999999998</v>
      </c>
      <c r="K54" s="1">
        <v>0</v>
      </c>
      <c r="L54" s="1">
        <v>-176.86199999999999</v>
      </c>
      <c r="M54" s="1">
        <v>-176.87299999999999</v>
      </c>
    </row>
    <row r="55" spans="2:13" x14ac:dyDescent="0.2">
      <c r="B55" t="s">
        <v>59</v>
      </c>
      <c r="H55" s="1">
        <v>2.0289999999999999</v>
      </c>
      <c r="I55" s="1">
        <v>3.6320000000000001</v>
      </c>
      <c r="J55" s="1">
        <f>4.841+0.126+0.34</f>
        <v>5.3070000000000004</v>
      </c>
      <c r="K55" s="1">
        <v>-1.8440000000000001</v>
      </c>
      <c r="L55" s="1">
        <v>0.83599999999999997</v>
      </c>
      <c r="M55" s="1">
        <v>-1.3839999999999999</v>
      </c>
    </row>
    <row r="56" spans="2:13" x14ac:dyDescent="0.2">
      <c r="B56" t="s">
        <v>35</v>
      </c>
      <c r="H56" s="1">
        <v>-62.146000000000001</v>
      </c>
      <c r="I56" s="1">
        <v>-38.936999999999998</v>
      </c>
      <c r="J56" s="1">
        <v>-47.045000000000002</v>
      </c>
      <c r="K56" s="1">
        <v>-81.186000000000007</v>
      </c>
      <c r="L56" s="1">
        <v>-82.620999999999995</v>
      </c>
      <c r="M56" s="1">
        <v>-80.980999999999995</v>
      </c>
    </row>
    <row r="57" spans="2:13" x14ac:dyDescent="0.2">
      <c r="B57" t="s">
        <v>36</v>
      </c>
      <c r="H57" s="1">
        <v>11.24</v>
      </c>
      <c r="I57" s="1">
        <v>-14.872999999999999</v>
      </c>
      <c r="J57" s="1">
        <v>-13.462</v>
      </c>
      <c r="K57" s="1">
        <v>-23.795000000000002</v>
      </c>
      <c r="L57" s="1">
        <v>-36.098999999999997</v>
      </c>
      <c r="M57" s="1">
        <v>-41.192999999999998</v>
      </c>
    </row>
    <row r="58" spans="2:13" x14ac:dyDescent="0.2">
      <c r="B58" t="s">
        <v>39</v>
      </c>
      <c r="H58" s="1">
        <v>1.002</v>
      </c>
      <c r="I58" s="1">
        <v>7.7060000000000004</v>
      </c>
      <c r="J58" s="1">
        <v>5.0069999999999997</v>
      </c>
      <c r="K58" s="1">
        <v>16.599</v>
      </c>
      <c r="L58" s="1">
        <v>4.0590000000000002</v>
      </c>
      <c r="M58" s="1">
        <v>-5.069</v>
      </c>
    </row>
    <row r="59" spans="2:13" x14ac:dyDescent="0.2">
      <c r="B59" t="s">
        <v>46</v>
      </c>
      <c r="H59" s="1">
        <v>-15.316000000000001</v>
      </c>
      <c r="I59" s="1">
        <v>25.242999999999999</v>
      </c>
      <c r="J59" s="1">
        <v>23.228999999999999</v>
      </c>
      <c r="K59" s="1">
        <v>6.3319999999999999</v>
      </c>
      <c r="L59" s="1">
        <v>75.52</v>
      </c>
      <c r="M59" s="1">
        <v>30.997</v>
      </c>
    </row>
    <row r="60" spans="2:13" x14ac:dyDescent="0.2">
      <c r="B60" t="s">
        <v>43</v>
      </c>
      <c r="H60" s="1">
        <v>-29.166</v>
      </c>
      <c r="I60" s="1">
        <v>-45.133000000000003</v>
      </c>
      <c r="J60" s="1">
        <f>22.358+-61.178+203.479</f>
        <v>164.65900000000002</v>
      </c>
      <c r="K60" s="1">
        <v>-15.294</v>
      </c>
      <c r="L60" s="1">
        <v>-22.759</v>
      </c>
      <c r="M60" s="1">
        <v>-37.722999999999999</v>
      </c>
    </row>
    <row r="61" spans="2:13" s="6" customFormat="1" ht="15" x14ac:dyDescent="0.25">
      <c r="B61" s="6" t="s">
        <v>61</v>
      </c>
      <c r="H61" s="7">
        <f t="shared" ref="H61:M61" si="28">+SUM(H48:H60)</f>
        <v>40.266999999999982</v>
      </c>
      <c r="I61" s="7">
        <f t="shared" si="28"/>
        <v>158.63999999999999</v>
      </c>
      <c r="J61" s="7">
        <f t="shared" si="28"/>
        <v>245.83100000000005</v>
      </c>
      <c r="K61" s="7">
        <f t="shared" si="28"/>
        <v>30.149999999999995</v>
      </c>
      <c r="L61" s="7">
        <f t="shared" si="28"/>
        <v>242.3660000000001</v>
      </c>
      <c r="M61" s="7">
        <f t="shared" si="28"/>
        <v>355.16499999999996</v>
      </c>
    </row>
    <row r="62" spans="2:13" x14ac:dyDescent="0.2">
      <c r="I62" s="1"/>
    </row>
    <row r="63" spans="2:13" x14ac:dyDescent="0.2">
      <c r="B63" t="s">
        <v>62</v>
      </c>
      <c r="H63" s="1">
        <v>-24.327999999999999</v>
      </c>
      <c r="I63" s="1">
        <v>-33.192999999999998</v>
      </c>
      <c r="J63" s="1">
        <f>+-42.033</f>
        <v>-42.033000000000001</v>
      </c>
      <c r="K63" s="1">
        <v>-7.9829999999999997</v>
      </c>
      <c r="L63" s="1">
        <v>-21.329000000000001</v>
      </c>
      <c r="M63" s="1">
        <v>-35.758000000000003</v>
      </c>
    </row>
    <row r="64" spans="2:13" x14ac:dyDescent="0.2">
      <c r="B64" t="s">
        <v>63</v>
      </c>
      <c r="H64" s="1">
        <v>0.434</v>
      </c>
      <c r="I64" s="1">
        <v>0.434</v>
      </c>
      <c r="J64" s="1">
        <v>0.46300000000000002</v>
      </c>
      <c r="K64" s="1">
        <v>0</v>
      </c>
      <c r="L64" s="1">
        <v>6.0000000000000001E-3</v>
      </c>
      <c r="M64" s="1">
        <v>6.0000000000000001E-3</v>
      </c>
    </row>
    <row r="65" spans="2:13" x14ac:dyDescent="0.2">
      <c r="B65" t="s">
        <v>64</v>
      </c>
      <c r="H65" s="1">
        <v>-0.11600000000000001</v>
      </c>
      <c r="I65" s="1">
        <v>-0.16800000000000001</v>
      </c>
      <c r="J65" s="1">
        <v>-0.192</v>
      </c>
      <c r="K65" s="1">
        <v>0</v>
      </c>
      <c r="L65" s="1">
        <v>0</v>
      </c>
      <c r="M65" s="1">
        <v>1.4999999999999999E-2</v>
      </c>
    </row>
    <row r="66" spans="2:13" s="6" customFormat="1" ht="15" x14ac:dyDescent="0.25">
      <c r="B66" s="6" t="s">
        <v>65</v>
      </c>
      <c r="H66" s="7">
        <f t="shared" ref="H66:M66" si="29">+SUM(H63:H65)</f>
        <v>-24.009999999999998</v>
      </c>
      <c r="I66" s="7">
        <f t="shared" si="29"/>
        <v>-32.927</v>
      </c>
      <c r="J66" s="7">
        <f t="shared" si="29"/>
        <v>-41.762</v>
      </c>
      <c r="K66" s="7">
        <f t="shared" si="29"/>
        <v>-7.9829999999999997</v>
      </c>
      <c r="L66" s="7">
        <f t="shared" si="29"/>
        <v>-21.323</v>
      </c>
      <c r="M66" s="7">
        <f t="shared" si="29"/>
        <v>-35.737000000000002</v>
      </c>
    </row>
    <row r="67" spans="2:13" x14ac:dyDescent="0.2">
      <c r="I67" s="1"/>
    </row>
    <row r="68" spans="2:13" x14ac:dyDescent="0.2">
      <c r="B68" t="s">
        <v>66</v>
      </c>
      <c r="H68" s="1">
        <v>0</v>
      </c>
      <c r="I68" s="1">
        <v>0</v>
      </c>
      <c r="J68" s="1">
        <v>210</v>
      </c>
      <c r="K68" s="1">
        <v>350</v>
      </c>
      <c r="L68" s="1">
        <v>350</v>
      </c>
      <c r="M68" s="1">
        <v>700</v>
      </c>
    </row>
    <row r="69" spans="2:13" x14ac:dyDescent="0.2">
      <c r="B69" t="s">
        <v>67</v>
      </c>
      <c r="H69" s="1">
        <v>150</v>
      </c>
      <c r="I69" s="1">
        <v>150</v>
      </c>
      <c r="J69" s="1">
        <v>-235</v>
      </c>
      <c r="K69" s="1">
        <v>40</v>
      </c>
      <c r="L69" s="1">
        <v>170</v>
      </c>
      <c r="M69" s="1">
        <v>170</v>
      </c>
    </row>
    <row r="70" spans="2:13" x14ac:dyDescent="0.2">
      <c r="B70" t="s">
        <v>68</v>
      </c>
      <c r="H70" s="1">
        <v>-80</v>
      </c>
      <c r="I70" s="1">
        <v>-220</v>
      </c>
      <c r="J70" s="1">
        <v>0</v>
      </c>
      <c r="K70" s="1">
        <v>-220</v>
      </c>
      <c r="L70" s="1">
        <v>-305</v>
      </c>
      <c r="M70" s="1">
        <v>-350</v>
      </c>
    </row>
    <row r="71" spans="2:13" x14ac:dyDescent="0.2">
      <c r="B71" t="s">
        <v>69</v>
      </c>
      <c r="H71" s="1">
        <v>0</v>
      </c>
      <c r="I71" s="1">
        <v>-0.52</v>
      </c>
      <c r="J71" s="1">
        <v>-170.83199999999999</v>
      </c>
      <c r="K71" s="1">
        <v>-7.5309999999999997</v>
      </c>
      <c r="L71" s="1">
        <v>0</v>
      </c>
      <c r="M71" s="1">
        <v>-14.491</v>
      </c>
    </row>
    <row r="72" spans="2:13" x14ac:dyDescent="0.2">
      <c r="B72" t="s">
        <v>70</v>
      </c>
      <c r="H72" s="1">
        <v>-39.158999999999999</v>
      </c>
      <c r="I72" s="1">
        <v>-39.158999999999999</v>
      </c>
      <c r="J72" s="1">
        <v>2.206</v>
      </c>
      <c r="K72" s="1">
        <v>-50</v>
      </c>
      <c r="L72" s="1">
        <v>-350</v>
      </c>
      <c r="M72" s="1">
        <v>-500</v>
      </c>
    </row>
    <row r="73" spans="2:13" x14ac:dyDescent="0.2">
      <c r="B73" t="s">
        <v>71</v>
      </c>
      <c r="H73" s="1">
        <v>-2.573</v>
      </c>
      <c r="I73" s="1">
        <v>-2.6160000000000001</v>
      </c>
      <c r="J73" s="1">
        <v>0</v>
      </c>
      <c r="K73" s="1">
        <v>-10.462</v>
      </c>
      <c r="L73" s="1">
        <v>-11.619</v>
      </c>
      <c r="M73" s="1">
        <v>-18.765999999999998</v>
      </c>
    </row>
    <row r="74" spans="2:13" x14ac:dyDescent="0.2">
      <c r="B74" t="s">
        <v>64</v>
      </c>
      <c r="H74" s="1">
        <v>0.60899999999999999</v>
      </c>
      <c r="I74" s="1">
        <v>1.3440000000000001</v>
      </c>
      <c r="J74" s="1">
        <v>0</v>
      </c>
      <c r="K74" s="1">
        <v>0.23599999999999999</v>
      </c>
      <c r="L74" s="1">
        <v>-8.7249999999999996</v>
      </c>
      <c r="M74" s="1">
        <v>0.23699999999999999</v>
      </c>
    </row>
    <row r="75" spans="2:13" s="6" customFormat="1" ht="15" x14ac:dyDescent="0.25">
      <c r="B75" s="6" t="s">
        <v>72</v>
      </c>
      <c r="H75" s="7">
        <f t="shared" ref="H75:M75" si="30">+SUM(H68:H74)</f>
        <v>28.877000000000002</v>
      </c>
      <c r="I75" s="7">
        <f t="shared" si="30"/>
        <v>-110.95100000000001</v>
      </c>
      <c r="J75" s="7">
        <f t="shared" si="30"/>
        <v>-193.626</v>
      </c>
      <c r="K75" s="7">
        <f t="shared" si="30"/>
        <v>102.24299999999999</v>
      </c>
      <c r="L75" s="7">
        <f t="shared" si="30"/>
        <v>-155.34399999999999</v>
      </c>
      <c r="M75" s="7">
        <f t="shared" si="30"/>
        <v>-13.019999999999984</v>
      </c>
    </row>
    <row r="76" spans="2:13" s="6" customFormat="1" ht="15" x14ac:dyDescent="0.25">
      <c r="B76" s="6" t="s">
        <v>73</v>
      </c>
      <c r="H76" s="7">
        <f t="shared" ref="H76:M76" si="31">+H61+H66+H75</f>
        <v>45.133999999999986</v>
      </c>
      <c r="I76" s="7">
        <f t="shared" si="31"/>
        <v>14.761999999999986</v>
      </c>
      <c r="J76" s="7">
        <f t="shared" si="31"/>
        <v>10.44300000000004</v>
      </c>
      <c r="K76" s="7">
        <f t="shared" si="31"/>
        <v>124.41</v>
      </c>
      <c r="L76" s="7">
        <f t="shared" si="31"/>
        <v>65.699000000000098</v>
      </c>
      <c r="M76" s="7">
        <f t="shared" si="31"/>
        <v>306.40799999999996</v>
      </c>
    </row>
  </sheetData>
  <hyperlinks>
    <hyperlink ref="A1" location="Main!A1" display="Main" xr:uid="{021D95B8-0742-4F2F-8176-36181E04943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2022-01-07T04:14:02Z</dcterms:created>
  <dcterms:modified xsi:type="dcterms:W3CDTF">2022-10-24T19:36:46Z</dcterms:modified>
</cp:coreProperties>
</file>