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55DA2B93-6D3B-4CCB-9925-8FF8AA714FE1}" xr6:coauthVersionLast="47" xr6:coauthVersionMax="47" xr10:uidLastSave="{00000000-0000-0000-0000-000000000000}"/>
  <bookViews>
    <workbookView xWindow="-120" yWindow="-120" windowWidth="29040" windowHeight="15840" activeTab="1" xr2:uid="{66010F37-D7A8-4D13-8591-A53C3B26D0C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3" i="2" l="1"/>
  <c r="L113" i="2"/>
  <c r="H112" i="2"/>
  <c r="L112" i="2"/>
  <c r="H99" i="2"/>
  <c r="L99" i="2"/>
  <c r="H85" i="2"/>
  <c r="H86" i="2" s="1"/>
  <c r="L85" i="2"/>
  <c r="L86" i="2" s="1"/>
  <c r="J51" i="2" l="1"/>
  <c r="J50" i="2"/>
  <c r="J62" i="2" s="1"/>
  <c r="J64" i="2" s="1"/>
  <c r="L51" i="2"/>
  <c r="L50" i="2"/>
  <c r="L62" i="2" s="1"/>
  <c r="L64" i="2" s="1"/>
  <c r="J43" i="2"/>
  <c r="J38" i="2"/>
  <c r="L43" i="2"/>
  <c r="L38" i="2"/>
  <c r="H12" i="2"/>
  <c r="L12" i="2"/>
  <c r="L14" i="2" s="1"/>
  <c r="L28" i="2" s="1"/>
  <c r="H19" i="2"/>
  <c r="H17" i="2"/>
  <c r="L19" i="2"/>
  <c r="L17" i="2"/>
  <c r="H16" i="1"/>
  <c r="H15" i="1"/>
  <c r="J61" i="2" l="1"/>
  <c r="L47" i="2"/>
  <c r="L67" i="2"/>
  <c r="L68" i="2"/>
  <c r="L48" i="2"/>
  <c r="J68" i="2"/>
  <c r="J67" i="2"/>
  <c r="L36" i="2"/>
  <c r="J48" i="2"/>
  <c r="J66" i="2"/>
  <c r="L61" i="2"/>
  <c r="L66" i="2" s="1"/>
  <c r="J36" i="2"/>
  <c r="J47" i="2"/>
  <c r="L33" i="2"/>
  <c r="H14" i="2"/>
  <c r="H28" i="2" s="1"/>
  <c r="L18" i="2"/>
  <c r="H18" i="2" l="1"/>
  <c r="H20" i="2" s="1"/>
  <c r="H23" i="2" s="1"/>
  <c r="L20" i="2"/>
  <c r="L29" i="2"/>
  <c r="H25" i="2" l="1"/>
  <c r="H70" i="2"/>
  <c r="L23" i="2"/>
  <c r="L30" i="2"/>
  <c r="L25" i="2" l="1"/>
  <c r="L70" i="2"/>
  <c r="H14" i="1" l="1"/>
  <c r="H17" i="1" s="1"/>
</calcChain>
</file>

<file path=xl/sharedStrings.xml><?xml version="1.0" encoding="utf-8"?>
<sst xmlns="http://schemas.openxmlformats.org/spreadsheetml/2006/main" count="136" uniqueCount="123">
  <si>
    <t>Price</t>
  </si>
  <si>
    <t>Shares</t>
  </si>
  <si>
    <t>MC</t>
  </si>
  <si>
    <t>Cash</t>
  </si>
  <si>
    <t>Debt</t>
  </si>
  <si>
    <t>EV</t>
  </si>
  <si>
    <t>Q222</t>
  </si>
  <si>
    <t>Business</t>
  </si>
  <si>
    <t>Description</t>
  </si>
  <si>
    <t>% of Revenue</t>
  </si>
  <si>
    <t>Competitors</t>
  </si>
  <si>
    <t>Industrial Intermediates</t>
  </si>
  <si>
    <t>Infrastructure</t>
  </si>
  <si>
    <t>Performance Materials</t>
  </si>
  <si>
    <t>Coatings</t>
  </si>
  <si>
    <t>Packaging &amp; Speciality Plastics</t>
  </si>
  <si>
    <t>Creation of plastic. Caps, pipes, food, etc</t>
  </si>
  <si>
    <t>Industrial Goods &amp; Services. From friction/heat minmization to reduced energy usage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</si>
  <si>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</si>
  <si>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</si>
  <si>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</si>
  <si>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</si>
  <si>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</si>
  <si>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</si>
  <si>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</si>
  <si>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</si>
  <si>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</si>
  <si>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</si>
  <si>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</si>
  <si>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Q123</t>
  </si>
  <si>
    <t>Q223</t>
  </si>
  <si>
    <t>Q323</t>
  </si>
  <si>
    <t>Q423</t>
  </si>
  <si>
    <t>Main</t>
  </si>
  <si>
    <t>Revenue</t>
  </si>
  <si>
    <t>COGS</t>
  </si>
  <si>
    <t>Gross Profit</t>
  </si>
  <si>
    <t>Gross Margin %</t>
  </si>
  <si>
    <t>Revenue Growth Y/Y</t>
  </si>
  <si>
    <t>R&amp;D</t>
  </si>
  <si>
    <t>sG&amp;A</t>
  </si>
  <si>
    <t>Operating Expense</t>
  </si>
  <si>
    <t>Operating Income</t>
  </si>
  <si>
    <t>Other Income</t>
  </si>
  <si>
    <t>Pretax Income</t>
  </si>
  <si>
    <t>Taxes</t>
  </si>
  <si>
    <t>NI</t>
  </si>
  <si>
    <t>Net Income</t>
  </si>
  <si>
    <t>EPS</t>
  </si>
  <si>
    <t>Operating Margin %</t>
  </si>
  <si>
    <t>Tax Rate %</t>
  </si>
  <si>
    <t>Hydrocarbons &amp; Energy</t>
  </si>
  <si>
    <t>Packaging &amp; Plastics</t>
  </si>
  <si>
    <t>Industrial Solutions</t>
  </si>
  <si>
    <t>Polyurethanes &amp; Consturction Chemicals</t>
  </si>
  <si>
    <t>Other</t>
  </si>
  <si>
    <t>Coating &amp; Monomers</t>
  </si>
  <si>
    <t>Consumer Solutions</t>
  </si>
  <si>
    <t>Corporate</t>
  </si>
  <si>
    <t>A/R</t>
  </si>
  <si>
    <t>Inventory</t>
  </si>
  <si>
    <t>OCA</t>
  </si>
  <si>
    <t>PP&amp;E</t>
  </si>
  <si>
    <t>LT Investments</t>
  </si>
  <si>
    <t>Intangibles</t>
  </si>
  <si>
    <t>Operating Lease</t>
  </si>
  <si>
    <t>D/T</t>
  </si>
  <si>
    <t>D/Charges</t>
  </si>
  <si>
    <t>Total Assets</t>
  </si>
  <si>
    <t>Net Cash</t>
  </si>
  <si>
    <t>Current Assets</t>
  </si>
  <si>
    <t>A/P</t>
  </si>
  <si>
    <t>Tax Payable</t>
  </si>
  <si>
    <t>A/Liabilties</t>
  </si>
  <si>
    <t>LT Debt</t>
  </si>
  <si>
    <t>Pension</t>
  </si>
  <si>
    <t>Asbestos Liabilties</t>
  </si>
  <si>
    <t>LT Operating Lease</t>
  </si>
  <si>
    <t>ONCL</t>
  </si>
  <si>
    <t>Total Liabilties</t>
  </si>
  <si>
    <t>Current Liabilties</t>
  </si>
  <si>
    <t>Equity</t>
  </si>
  <si>
    <t>S/E + L</t>
  </si>
  <si>
    <t>Debt-to-Equity</t>
  </si>
  <si>
    <t>Total Debt</t>
  </si>
  <si>
    <t>Quick</t>
  </si>
  <si>
    <t>Model NI</t>
  </si>
  <si>
    <t>Reported NI</t>
  </si>
  <si>
    <t>D/A</t>
  </si>
  <si>
    <t>Affiliate Earnings</t>
  </si>
  <si>
    <t>Pension Cost</t>
  </si>
  <si>
    <t>Pension contributions</t>
  </si>
  <si>
    <t>Sale of Asset</t>
  </si>
  <si>
    <t>Restructing</t>
  </si>
  <si>
    <t>Account + Note/R</t>
  </si>
  <si>
    <t>OA + OL</t>
  </si>
  <si>
    <t>CFFO</t>
  </si>
  <si>
    <t>Discontinued Operations</t>
  </si>
  <si>
    <t>Capex</t>
  </si>
  <si>
    <t>Free Cashflow</t>
  </si>
  <si>
    <t>Gas Field Investments</t>
  </si>
  <si>
    <t>Leased Asset Purchase</t>
  </si>
  <si>
    <t>Divestation</t>
  </si>
  <si>
    <t>Acquisitions</t>
  </si>
  <si>
    <t>Affiliate Investing</t>
  </si>
  <si>
    <t>Affiliate Loan Repayment</t>
  </si>
  <si>
    <t>Affiliate Sale of Ownership</t>
  </si>
  <si>
    <t>Investment Purchases</t>
  </si>
  <si>
    <t>Sale &amp; Maturity of Investments</t>
  </si>
  <si>
    <t>CFFI</t>
  </si>
  <si>
    <t>ST Note Change</t>
  </si>
  <si>
    <t>Corperate Note Issuance</t>
  </si>
  <si>
    <t>Treasury Stock Purchase</t>
  </si>
  <si>
    <t>Issuance of Stock Proceeds</t>
  </si>
  <si>
    <t>Issuance Transcation costs</t>
  </si>
  <si>
    <t>Employee Stock Award</t>
  </si>
  <si>
    <t>NI Distriubtions</t>
  </si>
  <si>
    <t>Dividends</t>
  </si>
  <si>
    <t>CFFF</t>
  </si>
  <si>
    <t>CF</t>
  </si>
  <si>
    <t>Corperate Note Proceeds</t>
  </si>
  <si>
    <t>LT Debt Payment</t>
  </si>
  <si>
    <t>LT Debt Proceeds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</si>
</sst>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3" fontId="0" fillId="0" borderId="0" xfId="0" applyNumberFormat="1" applyAlignment="1">
      <alignment horizontal="right"/>
    </xf>
    <xf numFmtId="0" fontId="1" fillId="0" borderId="0" xfId="0" applyFont="1"/>
    <xf numFmtId="9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0" fontId="3" fillId="0" borderId="0" xfId="0" applyFont="1"/>
    <xf numFmtId="9" fontId="3" fillId="0" borderId="0" xfId="0" applyNumberFormat="1" applyFont="1"/>
    <xf numFmtId="3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0</xdr:row>
      <xdr:rowOff>66675</xdr:rowOff>
    </xdr:from>
    <xdr:to>
      <xdr:col>12</xdr:col>
      <xdr:colOff>28575</xdr:colOff>
      <xdr:row>62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F09389-B215-968F-520D-946894720CE9}"/>
            </a:ext>
          </a:extLst>
        </xdr:cNvPr>
        <xdr:cNvCxnSpPr/>
      </xdr:nvCxnSpPr>
      <xdr:spPr>
        <a:xfrm>
          <a:off x="8610600" y="66675"/>
          <a:ext cx="0" cy="10839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B6DE-36E6-40ED-B46B-8A77C8B7443D}">
  <dimension ref="B5:I17"/>
  <sheetViews>
    <sheetView workbookViewId="0">
      <selection activeCell="C7" sqref="C7"/>
    </sheetView>
  </sheetViews>
  <sheetFormatPr defaultRowHeight="14.25" x14ac:dyDescent="0.2"/>
  <cols>
    <col min="2" max="2" width="26.875" bestFit="1" customWidth="1"/>
    <col min="3" max="3" width="35" bestFit="1" customWidth="1"/>
    <col min="4" max="4" width="12.25" bestFit="1" customWidth="1"/>
    <col min="5" max="5" width="15.75" customWidth="1"/>
    <col min="6" max="6" width="9" style="1"/>
  </cols>
  <sheetData>
    <row r="5" spans="2:9" x14ac:dyDescent="0.2">
      <c r="B5" t="s">
        <v>7</v>
      </c>
      <c r="C5" t="s">
        <v>8</v>
      </c>
      <c r="D5" t="s">
        <v>9</v>
      </c>
      <c r="E5" t="s">
        <v>10</v>
      </c>
    </row>
    <row r="6" spans="2:9" x14ac:dyDescent="0.2">
      <c r="B6" t="s">
        <v>15</v>
      </c>
      <c r="C6" t="s">
        <v>16</v>
      </c>
    </row>
    <row r="7" spans="2:9" x14ac:dyDescent="0.2">
      <c r="B7" t="s">
        <v>11</v>
      </c>
      <c r="C7" t="s">
        <v>17</v>
      </c>
    </row>
    <row r="8" spans="2:9" x14ac:dyDescent="0.2">
      <c r="B8" t="s">
        <v>12</v>
      </c>
    </row>
    <row r="9" spans="2:9" x14ac:dyDescent="0.2">
      <c r="B9" t="s">
        <v>13</v>
      </c>
    </row>
    <row r="10" spans="2:9" x14ac:dyDescent="0.2">
      <c r="B10" t="s">
        <v>14</v>
      </c>
    </row>
    <row r="12" spans="2:9" x14ac:dyDescent="0.2">
      <c r="G12" t="s">
        <v>0</v>
      </c>
      <c r="H12">
        <v>46.36</v>
      </c>
      <c r="I12" s="1"/>
    </row>
    <row r="13" spans="2:9" x14ac:dyDescent="0.2">
      <c r="G13" t="s">
        <v>1</v>
      </c>
      <c r="H13" s="2">
        <v>703.75926900000002</v>
      </c>
      <c r="I13" s="1" t="s">
        <v>27</v>
      </c>
    </row>
    <row r="14" spans="2:9" x14ac:dyDescent="0.2">
      <c r="G14" t="s">
        <v>2</v>
      </c>
      <c r="H14" s="2">
        <f>+H12*H13</f>
        <v>32626.279710840001</v>
      </c>
      <c r="I14" s="1"/>
    </row>
    <row r="15" spans="2:9" x14ac:dyDescent="0.2">
      <c r="F15" s="4"/>
      <c r="G15" t="s">
        <v>3</v>
      </c>
      <c r="H15" s="2">
        <f>2216+5016</f>
        <v>7232</v>
      </c>
      <c r="I15" s="1" t="s">
        <v>27</v>
      </c>
    </row>
    <row r="16" spans="2:9" x14ac:dyDescent="0.2">
      <c r="G16" t="s">
        <v>4</v>
      </c>
      <c r="H16" s="2">
        <f>12921+364+185</f>
        <v>13470</v>
      </c>
      <c r="I16" s="1" t="s">
        <v>27</v>
      </c>
    </row>
    <row r="17" spans="7:9" x14ac:dyDescent="0.2">
      <c r="G17" t="s">
        <v>5</v>
      </c>
      <c r="H17" s="2">
        <f>+H14-H15+H16</f>
        <v>38864.279710839997</v>
      </c>
      <c r="I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E3EF-9234-4E26-87E3-F7E2132ABEEE}">
  <dimension ref="A1:R113"/>
  <sheetViews>
    <sheetView tabSelected="1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F53" sqref="F53"/>
    </sheetView>
  </sheetViews>
  <sheetFormatPr defaultRowHeight="14.25" x14ac:dyDescent="0.2"/>
  <cols>
    <col min="1" max="1" width="4.625" bestFit="1" customWidth="1"/>
    <col min="2" max="2" width="23.75" customWidth="1"/>
  </cols>
  <sheetData>
    <row r="1" spans="1:18" x14ac:dyDescent="0.2">
      <c r="A1" s="3" t="s">
        <v>33</v>
      </c>
    </row>
    <row r="2" spans="1:18" x14ac:dyDescent="0.2"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s="2" customFormat="1" x14ac:dyDescent="0.2">
      <c r="B3" s="2" t="s">
        <v>51</v>
      </c>
      <c r="H3" s="2">
        <v>2251</v>
      </c>
      <c r="L3" s="2">
        <v>2509</v>
      </c>
    </row>
    <row r="4" spans="1:18" s="2" customFormat="1" x14ac:dyDescent="0.2">
      <c r="B4" s="2" t="s">
        <v>52</v>
      </c>
      <c r="H4" s="2">
        <v>5485</v>
      </c>
      <c r="L4" s="2">
        <v>4818</v>
      </c>
    </row>
    <row r="5" spans="1:18" s="2" customFormat="1" x14ac:dyDescent="0.2">
      <c r="B5" s="2" t="s">
        <v>53</v>
      </c>
      <c r="H5" s="2">
        <v>1377</v>
      </c>
      <c r="L5" s="2">
        <v>1420</v>
      </c>
    </row>
    <row r="6" spans="1:18" s="2" customFormat="1" x14ac:dyDescent="0.2">
      <c r="B6" s="2" t="s">
        <v>54</v>
      </c>
      <c r="H6" s="2">
        <v>3102</v>
      </c>
      <c r="L6" s="2">
        <v>2636</v>
      </c>
    </row>
    <row r="7" spans="1:18" s="2" customFormat="1" x14ac:dyDescent="0.2">
      <c r="B7" s="2" t="s">
        <v>55</v>
      </c>
      <c r="H7" s="2">
        <v>2</v>
      </c>
      <c r="L7" s="2">
        <v>3</v>
      </c>
    </row>
    <row r="8" spans="1:18" s="2" customFormat="1" x14ac:dyDescent="0.2">
      <c r="B8" s="2" t="s">
        <v>56</v>
      </c>
      <c r="H8" s="2">
        <v>1110</v>
      </c>
      <c r="L8" s="2">
        <v>1052</v>
      </c>
    </row>
    <row r="9" spans="1:18" s="2" customFormat="1" x14ac:dyDescent="0.2">
      <c r="B9" s="2" t="s">
        <v>57</v>
      </c>
      <c r="H9" s="2">
        <v>1416</v>
      </c>
      <c r="L9" s="2">
        <v>1602</v>
      </c>
    </row>
    <row r="10" spans="1:18" s="2" customFormat="1" x14ac:dyDescent="0.2">
      <c r="B10" s="2" t="s">
        <v>58</v>
      </c>
      <c r="H10" s="2">
        <v>94</v>
      </c>
      <c r="L10" s="2">
        <v>75</v>
      </c>
    </row>
    <row r="12" spans="1:18" s="8" customFormat="1" ht="15" x14ac:dyDescent="0.25">
      <c r="B12" s="8" t="s">
        <v>34</v>
      </c>
      <c r="H12" s="8">
        <f>+SUM(H3:H10)</f>
        <v>14837</v>
      </c>
      <c r="L12" s="8">
        <f>+SUM(L3:L10)</f>
        <v>14115</v>
      </c>
    </row>
    <row r="13" spans="1:18" s="2" customFormat="1" x14ac:dyDescent="0.2">
      <c r="B13" s="2" t="s">
        <v>35</v>
      </c>
      <c r="H13" s="2">
        <v>11611</v>
      </c>
      <c r="L13" s="2">
        <v>12381</v>
      </c>
    </row>
    <row r="14" spans="1:18" s="2" customFormat="1" x14ac:dyDescent="0.2">
      <c r="B14" s="2" t="s">
        <v>36</v>
      </c>
      <c r="H14" s="2">
        <f>+H12-H13</f>
        <v>3226</v>
      </c>
      <c r="L14" s="2">
        <f>+L12-L13</f>
        <v>1734</v>
      </c>
    </row>
    <row r="15" spans="1:18" s="2" customFormat="1" x14ac:dyDescent="0.2">
      <c r="B15" s="2" t="s">
        <v>39</v>
      </c>
      <c r="H15" s="2">
        <v>210</v>
      </c>
      <c r="L15" s="2">
        <v>191</v>
      </c>
    </row>
    <row r="16" spans="1:18" s="2" customFormat="1" x14ac:dyDescent="0.2">
      <c r="B16" s="2" t="s">
        <v>40</v>
      </c>
      <c r="H16" s="2">
        <v>403</v>
      </c>
      <c r="L16" s="2">
        <v>356</v>
      </c>
    </row>
    <row r="17" spans="2:12" s="2" customFormat="1" x14ac:dyDescent="0.2">
      <c r="B17" s="2" t="s">
        <v>41</v>
      </c>
      <c r="H17" s="2">
        <f>+SUM(H15:H16)</f>
        <v>613</v>
      </c>
      <c r="L17" s="2">
        <f>+SUM(L15:L16)</f>
        <v>547</v>
      </c>
    </row>
    <row r="18" spans="2:12" s="2" customFormat="1" x14ac:dyDescent="0.2">
      <c r="B18" s="2" t="s">
        <v>42</v>
      </c>
      <c r="H18" s="2">
        <f>+H14-H17</f>
        <v>2613</v>
      </c>
      <c r="L18" s="2">
        <f>+L14-L17</f>
        <v>1187</v>
      </c>
    </row>
    <row r="19" spans="2:12" s="2" customFormat="1" x14ac:dyDescent="0.2">
      <c r="B19" s="2" t="s">
        <v>43</v>
      </c>
      <c r="H19" s="2">
        <f>246+-350+14+-178</f>
        <v>-268</v>
      </c>
      <c r="L19" s="2">
        <f>+-58+69+41+-155</f>
        <v>-103</v>
      </c>
    </row>
    <row r="20" spans="2:12" s="2" customFormat="1" x14ac:dyDescent="0.2">
      <c r="B20" s="2" t="s">
        <v>44</v>
      </c>
      <c r="H20" s="2">
        <f>+H18+H19</f>
        <v>2345</v>
      </c>
      <c r="L20" s="2">
        <f>+L18+L19</f>
        <v>1084</v>
      </c>
    </row>
    <row r="21" spans="2:12" s="2" customFormat="1" x14ac:dyDescent="0.2">
      <c r="B21" s="2" t="s">
        <v>45</v>
      </c>
      <c r="H21" s="2">
        <v>542</v>
      </c>
      <c r="L21" s="2">
        <v>241</v>
      </c>
    </row>
    <row r="22" spans="2:12" s="2" customFormat="1" x14ac:dyDescent="0.2">
      <c r="B22" s="2" t="s">
        <v>46</v>
      </c>
      <c r="H22" s="2">
        <v>23</v>
      </c>
      <c r="L22" s="2">
        <v>21</v>
      </c>
    </row>
    <row r="23" spans="2:12" s="8" customFormat="1" ht="15" x14ac:dyDescent="0.25">
      <c r="B23" s="8" t="s">
        <v>47</v>
      </c>
      <c r="H23" s="8">
        <f>+H20-SUM(H21:H22)</f>
        <v>1780</v>
      </c>
      <c r="L23" s="8">
        <f>+L20-SUM(L21:L22)</f>
        <v>822</v>
      </c>
    </row>
    <row r="24" spans="2:12" s="2" customFormat="1" x14ac:dyDescent="0.2">
      <c r="B24" s="2" t="s">
        <v>1</v>
      </c>
      <c r="H24" s="2">
        <v>718.1</v>
      </c>
      <c r="L24" s="2">
        <v>718.1</v>
      </c>
    </row>
    <row r="25" spans="2:12" x14ac:dyDescent="0.2">
      <c r="B25" t="s">
        <v>48</v>
      </c>
      <c r="H25" s="7">
        <f>+H23/H24</f>
        <v>2.4787634034257064</v>
      </c>
      <c r="L25" s="7">
        <f>+L23/L24</f>
        <v>1.1446873694471522</v>
      </c>
    </row>
    <row r="26" spans="2:12" x14ac:dyDescent="0.2">
      <c r="L26" s="7"/>
    </row>
    <row r="27" spans="2:12" x14ac:dyDescent="0.2">
      <c r="L27" s="7"/>
    </row>
    <row r="28" spans="2:12" s="9" customFormat="1" x14ac:dyDescent="0.2">
      <c r="B28" s="9" t="s">
        <v>37</v>
      </c>
      <c r="H28" s="10">
        <f>+H14/H12</f>
        <v>0.21742939947428724</v>
      </c>
      <c r="L28" s="10">
        <f>+L14/L12</f>
        <v>0.1228480340063762</v>
      </c>
    </row>
    <row r="29" spans="2:12" s="9" customFormat="1" x14ac:dyDescent="0.2">
      <c r="B29" s="9" t="s">
        <v>49</v>
      </c>
      <c r="H29" s="10"/>
      <c r="L29" s="10">
        <f>+L18/L12</f>
        <v>8.4094934466879212E-2</v>
      </c>
    </row>
    <row r="30" spans="2:12" s="9" customFormat="1" x14ac:dyDescent="0.2">
      <c r="B30" s="9" t="s">
        <v>50</v>
      </c>
      <c r="L30" s="10">
        <f>+L21/L20</f>
        <v>0.22232472324723246</v>
      </c>
    </row>
    <row r="31" spans="2:12" s="9" customFormat="1" x14ac:dyDescent="0.2"/>
    <row r="32" spans="2:12" s="9" customFormat="1" x14ac:dyDescent="0.2"/>
    <row r="33" spans="2:12" s="9" customFormat="1" x14ac:dyDescent="0.2">
      <c r="B33" s="9" t="s">
        <v>38</v>
      </c>
      <c r="L33" s="10">
        <f>+L12/H12-1</f>
        <v>-4.8662128462627185E-2</v>
      </c>
    </row>
    <row r="36" spans="2:12" s="5" customFormat="1" ht="15" x14ac:dyDescent="0.25">
      <c r="B36" s="5" t="s">
        <v>69</v>
      </c>
      <c r="J36" s="8">
        <f>+(J37+J41)-(J50+J55)</f>
        <v>-5968</v>
      </c>
      <c r="L36" s="8">
        <f>+(L37+L41)-(L50+L55)</f>
        <v>-6238</v>
      </c>
    </row>
    <row r="37" spans="2:12" s="2" customFormat="1" x14ac:dyDescent="0.2">
      <c r="B37" s="2" t="s">
        <v>3</v>
      </c>
      <c r="J37" s="2">
        <v>2988</v>
      </c>
      <c r="L37" s="2">
        <v>2216</v>
      </c>
    </row>
    <row r="38" spans="2:12" s="2" customFormat="1" x14ac:dyDescent="0.2">
      <c r="B38" s="2" t="s">
        <v>59</v>
      </c>
      <c r="J38" s="2">
        <f>6841+2713</f>
        <v>9554</v>
      </c>
      <c r="L38" s="2">
        <f>6407+2123</f>
        <v>8530</v>
      </c>
    </row>
    <row r="39" spans="2:12" s="2" customFormat="1" x14ac:dyDescent="0.2">
      <c r="B39" s="2" t="s">
        <v>60</v>
      </c>
      <c r="J39" s="2">
        <v>7372</v>
      </c>
      <c r="L39" s="2">
        <v>7571</v>
      </c>
    </row>
    <row r="40" spans="2:12" s="2" customFormat="1" x14ac:dyDescent="0.2">
      <c r="B40" s="2" t="s">
        <v>61</v>
      </c>
      <c r="J40" s="2">
        <v>934</v>
      </c>
      <c r="L40" s="2">
        <v>1460</v>
      </c>
    </row>
    <row r="41" spans="2:12" s="2" customFormat="1" x14ac:dyDescent="0.2">
      <c r="B41" s="2" t="s">
        <v>63</v>
      </c>
      <c r="J41" s="2">
        <v>5716</v>
      </c>
      <c r="L41" s="2">
        <v>5016</v>
      </c>
    </row>
    <row r="42" spans="2:12" s="2" customFormat="1" x14ac:dyDescent="0.2">
      <c r="B42" s="2" t="s">
        <v>62</v>
      </c>
      <c r="J42" s="2">
        <v>20555</v>
      </c>
      <c r="L42" s="2">
        <v>20032</v>
      </c>
    </row>
    <row r="43" spans="2:12" s="2" customFormat="1" x14ac:dyDescent="0.2">
      <c r="B43" s="2" t="s">
        <v>64</v>
      </c>
      <c r="J43" s="2">
        <f>8764+2881</f>
        <v>11645</v>
      </c>
      <c r="L43" s="2">
        <f>8524+2483</f>
        <v>11007</v>
      </c>
    </row>
    <row r="44" spans="2:12" s="2" customFormat="1" x14ac:dyDescent="0.2">
      <c r="B44" s="2" t="s">
        <v>65</v>
      </c>
      <c r="J44" s="2">
        <v>1412</v>
      </c>
      <c r="L44" s="2">
        <v>1231</v>
      </c>
    </row>
    <row r="45" spans="2:12" s="2" customFormat="1" x14ac:dyDescent="0.2">
      <c r="B45" s="2" t="s">
        <v>66</v>
      </c>
      <c r="J45" s="2">
        <v>1358</v>
      </c>
      <c r="L45" s="2">
        <v>1136</v>
      </c>
    </row>
    <row r="46" spans="2:12" s="2" customFormat="1" x14ac:dyDescent="0.2">
      <c r="B46" s="2" t="s">
        <v>67</v>
      </c>
      <c r="J46" s="2">
        <v>1456</v>
      </c>
      <c r="L46" s="2">
        <v>1358</v>
      </c>
    </row>
    <row r="47" spans="2:12" s="8" customFormat="1" ht="15" x14ac:dyDescent="0.25">
      <c r="B47" s="8" t="s">
        <v>70</v>
      </c>
      <c r="J47" s="8">
        <f>+SUM(J37:J40)</f>
        <v>20848</v>
      </c>
      <c r="L47" s="8">
        <f>+SUM(L37:L40)</f>
        <v>19777</v>
      </c>
    </row>
    <row r="48" spans="2:12" s="8" customFormat="1" ht="15" x14ac:dyDescent="0.25">
      <c r="B48" s="8" t="s">
        <v>68</v>
      </c>
      <c r="J48" s="8">
        <f>+SUM(J37:J46)</f>
        <v>62990</v>
      </c>
      <c r="L48" s="8">
        <f>+SUM(L37:L46)</f>
        <v>59557</v>
      </c>
    </row>
    <row r="50" spans="2:12" s="2" customFormat="1" x14ac:dyDescent="0.2">
      <c r="B50" s="2" t="s">
        <v>4</v>
      </c>
      <c r="J50" s="2">
        <f>161+231</f>
        <v>392</v>
      </c>
      <c r="L50" s="2">
        <f>185+364</f>
        <v>549</v>
      </c>
    </row>
    <row r="51" spans="2:12" s="2" customFormat="1" x14ac:dyDescent="0.2">
      <c r="B51" s="2" t="s">
        <v>71</v>
      </c>
      <c r="J51" s="2">
        <f>5577+2839</f>
        <v>8416</v>
      </c>
      <c r="L51" s="2">
        <f>5008+2599</f>
        <v>7607</v>
      </c>
    </row>
    <row r="52" spans="2:12" s="2" customFormat="1" x14ac:dyDescent="0.2">
      <c r="B52" s="2" t="s">
        <v>65</v>
      </c>
      <c r="J52" s="2">
        <v>314</v>
      </c>
      <c r="L52" s="2">
        <v>277</v>
      </c>
    </row>
    <row r="53" spans="2:12" s="2" customFormat="1" x14ac:dyDescent="0.2">
      <c r="B53" s="2" t="s">
        <v>72</v>
      </c>
      <c r="J53" s="2">
        <v>623</v>
      </c>
      <c r="L53" s="2">
        <v>579</v>
      </c>
    </row>
    <row r="54" spans="2:12" s="2" customFormat="1" x14ac:dyDescent="0.2">
      <c r="B54" s="2" t="s">
        <v>73</v>
      </c>
      <c r="J54" s="2">
        <v>3481</v>
      </c>
      <c r="L54" s="2">
        <v>3303</v>
      </c>
    </row>
    <row r="55" spans="2:12" s="2" customFormat="1" x14ac:dyDescent="0.2">
      <c r="B55" s="2" t="s">
        <v>74</v>
      </c>
      <c r="J55" s="2">
        <v>14280</v>
      </c>
      <c r="L55" s="2">
        <v>12921</v>
      </c>
    </row>
    <row r="56" spans="2:12" s="2" customFormat="1" x14ac:dyDescent="0.2">
      <c r="B56" s="2" t="s">
        <v>66</v>
      </c>
      <c r="J56" s="2">
        <v>506</v>
      </c>
      <c r="L56" s="2">
        <v>716</v>
      </c>
    </row>
    <row r="57" spans="2:12" s="2" customFormat="1" x14ac:dyDescent="0.2">
      <c r="B57" s="2" t="s">
        <v>75</v>
      </c>
      <c r="J57" s="2">
        <v>7557</v>
      </c>
      <c r="L57" s="2">
        <v>6541</v>
      </c>
    </row>
    <row r="58" spans="2:12" s="11" customFormat="1" x14ac:dyDescent="0.2">
      <c r="B58" s="11" t="s">
        <v>76</v>
      </c>
      <c r="J58" s="11">
        <v>931</v>
      </c>
      <c r="L58" s="11">
        <v>868</v>
      </c>
    </row>
    <row r="59" spans="2:12" s="2" customFormat="1" x14ac:dyDescent="0.2">
      <c r="B59" s="2" t="s">
        <v>77</v>
      </c>
      <c r="J59" s="2">
        <v>1149</v>
      </c>
      <c r="L59" s="2">
        <v>1012</v>
      </c>
    </row>
    <row r="60" spans="2:12" s="2" customFormat="1" x14ac:dyDescent="0.2">
      <c r="B60" s="2" t="s">
        <v>78</v>
      </c>
      <c r="J60" s="2">
        <v>6602</v>
      </c>
      <c r="L60" s="2">
        <v>6555</v>
      </c>
    </row>
    <row r="61" spans="2:12" s="8" customFormat="1" ht="15" x14ac:dyDescent="0.25">
      <c r="B61" s="8" t="s">
        <v>80</v>
      </c>
      <c r="J61" s="8">
        <f>+SUM(J50:J54)</f>
        <v>13226</v>
      </c>
      <c r="L61" s="8">
        <f>+SUM(L50:L54)</f>
        <v>12315</v>
      </c>
    </row>
    <row r="62" spans="2:12" s="8" customFormat="1" ht="15" x14ac:dyDescent="0.25">
      <c r="B62" s="8" t="s">
        <v>79</v>
      </c>
      <c r="J62" s="8">
        <f>+SUM(J50:J60)</f>
        <v>44251</v>
      </c>
      <c r="L62" s="8">
        <f>+SUM(L50:L60)</f>
        <v>40928</v>
      </c>
    </row>
    <row r="63" spans="2:12" x14ac:dyDescent="0.2">
      <c r="B63" s="2" t="s">
        <v>81</v>
      </c>
      <c r="J63" s="2">
        <v>18739</v>
      </c>
      <c r="L63" s="2">
        <v>18629</v>
      </c>
    </row>
    <row r="64" spans="2:12" x14ac:dyDescent="0.2">
      <c r="B64" s="2" t="s">
        <v>82</v>
      </c>
      <c r="J64" s="2">
        <f>+SUM(J62:J63)</f>
        <v>62990</v>
      </c>
      <c r="L64" s="2">
        <f>+SUM(L62:L63)</f>
        <v>59557</v>
      </c>
    </row>
    <row r="66" spans="2:12" x14ac:dyDescent="0.2">
      <c r="B66" t="s">
        <v>85</v>
      </c>
      <c r="J66" s="7">
        <f>+SUM(J37:J38)/J61</f>
        <v>0.94828368365340998</v>
      </c>
      <c r="L66" s="7">
        <f>+SUM(L37:L38)/L61</f>
        <v>0.87259439707673569</v>
      </c>
    </row>
    <row r="67" spans="2:12" x14ac:dyDescent="0.2">
      <c r="B67" t="s">
        <v>83</v>
      </c>
      <c r="J67" s="6">
        <f>+SUM(J50,J55)/J63</f>
        <v>0.78296600672394467</v>
      </c>
      <c r="L67" s="6">
        <f>+SUM(L50,L55)/L63</f>
        <v>0.72306618712759674</v>
      </c>
    </row>
    <row r="68" spans="2:12" x14ac:dyDescent="0.2">
      <c r="B68" t="s">
        <v>84</v>
      </c>
      <c r="J68" s="6">
        <f>+SUM(J50,J55)/J64</f>
        <v>0.23292586124781711</v>
      </c>
      <c r="L68" s="6">
        <f>+SUM(L50,L55)/L64</f>
        <v>0.22616988767063487</v>
      </c>
    </row>
    <row r="70" spans="2:12" x14ac:dyDescent="0.2">
      <c r="B70" t="s">
        <v>86</v>
      </c>
      <c r="H70" s="2">
        <f>+H23</f>
        <v>1780</v>
      </c>
      <c r="L70" s="2">
        <f>+L23</f>
        <v>822</v>
      </c>
    </row>
    <row r="71" spans="2:12" s="2" customFormat="1" x14ac:dyDescent="0.2">
      <c r="B71" s="2" t="s">
        <v>87</v>
      </c>
      <c r="H71" s="2">
        <v>4644</v>
      </c>
      <c r="L71" s="2">
        <v>3993</v>
      </c>
    </row>
    <row r="72" spans="2:12" s="2" customFormat="1" x14ac:dyDescent="0.2">
      <c r="B72" s="2" t="s">
        <v>88</v>
      </c>
      <c r="H72" s="2">
        <v>2187</v>
      </c>
      <c r="L72" s="2">
        <v>2104</v>
      </c>
    </row>
    <row r="73" spans="2:12" s="2" customFormat="1" x14ac:dyDescent="0.2">
      <c r="B73" s="2" t="s">
        <v>66</v>
      </c>
      <c r="H73" s="2">
        <v>488</v>
      </c>
      <c r="L73" s="2">
        <v>124</v>
      </c>
    </row>
    <row r="74" spans="2:12" s="2" customFormat="1" x14ac:dyDescent="0.2">
      <c r="B74" s="2" t="s">
        <v>89</v>
      </c>
      <c r="H74" s="2">
        <v>-519</v>
      </c>
      <c r="L74" s="2">
        <v>517</v>
      </c>
    </row>
    <row r="75" spans="2:12" s="2" customFormat="1" x14ac:dyDescent="0.2">
      <c r="B75" s="2" t="s">
        <v>90</v>
      </c>
      <c r="H75" s="2">
        <v>34</v>
      </c>
      <c r="L75" s="2">
        <v>19</v>
      </c>
    </row>
    <row r="76" spans="2:12" s="2" customFormat="1" x14ac:dyDescent="0.2">
      <c r="B76" s="2" t="s">
        <v>91</v>
      </c>
      <c r="H76" s="2">
        <v>-1166</v>
      </c>
      <c r="L76" s="2">
        <v>-156</v>
      </c>
    </row>
    <row r="77" spans="2:12" s="2" customFormat="1" x14ac:dyDescent="0.2">
      <c r="B77" s="2" t="s">
        <v>92</v>
      </c>
      <c r="H77" s="2">
        <v>-67</v>
      </c>
      <c r="L77" s="2">
        <v>-11</v>
      </c>
    </row>
    <row r="78" spans="2:12" s="2" customFormat="1" x14ac:dyDescent="0.2">
      <c r="B78" s="2" t="s">
        <v>93</v>
      </c>
      <c r="H78" s="2">
        <v>22</v>
      </c>
      <c r="L78" s="2">
        <v>186</v>
      </c>
    </row>
    <row r="79" spans="2:12" s="2" customFormat="1" x14ac:dyDescent="0.2">
      <c r="B79" s="2" t="s">
        <v>55</v>
      </c>
      <c r="H79" s="2">
        <v>874</v>
      </c>
      <c r="L79" s="2">
        <v>159</v>
      </c>
    </row>
    <row r="80" spans="2:12" s="2" customFormat="1" x14ac:dyDescent="0.2">
      <c r="B80" s="2" t="s">
        <v>94</v>
      </c>
      <c r="H80" s="2">
        <v>-2222</v>
      </c>
      <c r="L80" s="2">
        <v>323</v>
      </c>
    </row>
    <row r="81" spans="2:12" s="2" customFormat="1" x14ac:dyDescent="0.2">
      <c r="B81" s="2" t="s">
        <v>60</v>
      </c>
      <c r="H81" s="2">
        <v>-1502</v>
      </c>
      <c r="L81" s="2">
        <v>-254</v>
      </c>
    </row>
    <row r="82" spans="2:12" s="2" customFormat="1" x14ac:dyDescent="0.2">
      <c r="B82" s="2" t="s">
        <v>71</v>
      </c>
      <c r="H82" s="2">
        <v>1487</v>
      </c>
      <c r="L82" s="2">
        <v>-860</v>
      </c>
    </row>
    <row r="83" spans="2:12" s="2" customFormat="1" x14ac:dyDescent="0.2">
      <c r="B83" s="2" t="s">
        <v>95</v>
      </c>
      <c r="H83" s="2">
        <v>252</v>
      </c>
      <c r="L83" s="2">
        <v>-736</v>
      </c>
    </row>
    <row r="84" spans="2:12" s="2" customFormat="1" x14ac:dyDescent="0.2">
      <c r="B84" s="2" t="s">
        <v>97</v>
      </c>
      <c r="H84" s="2">
        <v>-78</v>
      </c>
      <c r="L84" s="2">
        <v>-11</v>
      </c>
    </row>
    <row r="85" spans="2:12" s="8" customFormat="1" ht="15" x14ac:dyDescent="0.25">
      <c r="B85" s="8" t="s">
        <v>96</v>
      </c>
      <c r="H85" s="8">
        <f>+SUM(H71:H84)</f>
        <v>4434</v>
      </c>
      <c r="L85" s="8">
        <f>+SUM(L71:L84)</f>
        <v>5397</v>
      </c>
    </row>
    <row r="86" spans="2:12" s="8" customFormat="1" ht="15" x14ac:dyDescent="0.25">
      <c r="B86" s="8" t="s">
        <v>99</v>
      </c>
      <c r="H86" s="8">
        <f>+H85-H88</f>
        <v>5469</v>
      </c>
      <c r="L86" s="8">
        <f>+L85-L88</f>
        <v>6621</v>
      </c>
    </row>
    <row r="88" spans="2:12" s="2" customFormat="1" x14ac:dyDescent="0.2">
      <c r="B88" s="2" t="s">
        <v>98</v>
      </c>
      <c r="H88" s="2">
        <v>-1035</v>
      </c>
      <c r="L88" s="2">
        <v>-1224</v>
      </c>
    </row>
    <row r="89" spans="2:12" s="2" customFormat="1" x14ac:dyDescent="0.2">
      <c r="B89" s="2" t="s">
        <v>100</v>
      </c>
      <c r="H89" s="2">
        <v>-44</v>
      </c>
      <c r="L89" s="2">
        <v>-134</v>
      </c>
    </row>
    <row r="90" spans="2:12" s="2" customFormat="1" x14ac:dyDescent="0.2">
      <c r="B90" s="2" t="s">
        <v>101</v>
      </c>
      <c r="H90" s="2">
        <v>-5</v>
      </c>
      <c r="L90" s="2">
        <v>-5</v>
      </c>
    </row>
    <row r="91" spans="2:12" s="2" customFormat="1" x14ac:dyDescent="0.2">
      <c r="B91" s="2" t="s">
        <v>102</v>
      </c>
      <c r="H91" s="2">
        <v>15</v>
      </c>
      <c r="L91" s="2">
        <v>16</v>
      </c>
    </row>
    <row r="92" spans="2:12" s="2" customFormat="1" x14ac:dyDescent="0.2">
      <c r="B92" s="2" t="s">
        <v>103</v>
      </c>
      <c r="H92" s="2">
        <v>-107</v>
      </c>
      <c r="L92" s="2">
        <v>-54</v>
      </c>
    </row>
    <row r="93" spans="2:12" s="2" customFormat="1" x14ac:dyDescent="0.2">
      <c r="B93" s="2" t="s">
        <v>104</v>
      </c>
      <c r="L93" s="2">
        <v>-69</v>
      </c>
    </row>
    <row r="94" spans="2:12" s="2" customFormat="1" x14ac:dyDescent="0.2">
      <c r="B94" s="2" t="s">
        <v>105</v>
      </c>
      <c r="H94" s="2">
        <v>11</v>
      </c>
      <c r="L94" s="2">
        <v>10</v>
      </c>
    </row>
    <row r="95" spans="2:12" s="2" customFormat="1" x14ac:dyDescent="0.2">
      <c r="B95" s="2" t="s">
        <v>106</v>
      </c>
      <c r="L95" s="2">
        <v>11</v>
      </c>
    </row>
    <row r="96" spans="2:12" s="2" customFormat="1" x14ac:dyDescent="0.2">
      <c r="B96" s="2" t="s">
        <v>107</v>
      </c>
      <c r="H96" s="2">
        <v>-1004</v>
      </c>
      <c r="L96" s="2">
        <v>-445</v>
      </c>
    </row>
    <row r="97" spans="2:12" s="2" customFormat="1" x14ac:dyDescent="0.2">
      <c r="B97" s="2" t="s">
        <v>108</v>
      </c>
      <c r="H97" s="2">
        <v>644</v>
      </c>
      <c r="L97" s="2">
        <v>596</v>
      </c>
    </row>
    <row r="98" spans="2:12" s="2" customFormat="1" x14ac:dyDescent="0.2">
      <c r="B98" s="2" t="s">
        <v>55</v>
      </c>
      <c r="H98" s="2">
        <v>-10</v>
      </c>
      <c r="L98" s="2">
        <v>-41</v>
      </c>
    </row>
    <row r="99" spans="2:12" s="8" customFormat="1" ht="15" x14ac:dyDescent="0.25">
      <c r="B99" s="8" t="s">
        <v>109</v>
      </c>
      <c r="H99" s="8">
        <f>+SUM(H88:H98)</f>
        <v>-1535</v>
      </c>
      <c r="L99" s="8">
        <f>+SUM(L88:L98)</f>
        <v>-1339</v>
      </c>
    </row>
    <row r="101" spans="2:12" s="2" customFormat="1" x14ac:dyDescent="0.2">
      <c r="B101" s="2" t="s">
        <v>110</v>
      </c>
      <c r="H101" s="2">
        <v>-44</v>
      </c>
      <c r="L101" s="2">
        <v>72</v>
      </c>
    </row>
    <row r="102" spans="2:12" s="2" customFormat="1" x14ac:dyDescent="0.2">
      <c r="B102" s="2" t="s">
        <v>120</v>
      </c>
      <c r="H102" s="2">
        <v>144</v>
      </c>
    </row>
    <row r="103" spans="2:12" s="2" customFormat="1" x14ac:dyDescent="0.2">
      <c r="B103" s="2" t="s">
        <v>111</v>
      </c>
      <c r="L103" s="2">
        <v>-14</v>
      </c>
    </row>
    <row r="104" spans="2:12" s="2" customFormat="1" x14ac:dyDescent="0.2">
      <c r="B104" s="2" t="s">
        <v>122</v>
      </c>
      <c r="H104" s="2">
        <v>95</v>
      </c>
      <c r="L104" s="2">
        <v>82</v>
      </c>
    </row>
    <row r="105" spans="2:12" s="2" customFormat="1" x14ac:dyDescent="0.2">
      <c r="B105" s="2" t="s">
        <v>121</v>
      </c>
      <c r="H105" s="2">
        <v>-2638</v>
      </c>
      <c r="L105" s="2">
        <v>-957</v>
      </c>
    </row>
    <row r="106" spans="2:12" s="2" customFormat="1" x14ac:dyDescent="0.2">
      <c r="B106" s="2" t="s">
        <v>112</v>
      </c>
      <c r="H106" s="2">
        <v>-600</v>
      </c>
      <c r="L106" s="2">
        <v>-2200</v>
      </c>
    </row>
    <row r="107" spans="2:12" s="2" customFormat="1" x14ac:dyDescent="0.2">
      <c r="B107" s="2" t="s">
        <v>113</v>
      </c>
      <c r="H107" s="2">
        <v>212</v>
      </c>
      <c r="L107" s="2">
        <v>99</v>
      </c>
    </row>
    <row r="108" spans="2:12" s="2" customFormat="1" x14ac:dyDescent="0.2">
      <c r="B108" s="2" t="s">
        <v>114</v>
      </c>
      <c r="H108" s="2">
        <v>-536</v>
      </c>
      <c r="L108" s="2">
        <v>-8</v>
      </c>
    </row>
    <row r="109" spans="2:12" s="2" customFormat="1" x14ac:dyDescent="0.2">
      <c r="B109" s="2" t="s">
        <v>115</v>
      </c>
      <c r="H109" s="2">
        <v>-11</v>
      </c>
      <c r="L109" s="2">
        <v>-34</v>
      </c>
    </row>
    <row r="110" spans="2:12" s="2" customFormat="1" x14ac:dyDescent="0.2">
      <c r="B110" s="2" t="s">
        <v>116</v>
      </c>
      <c r="H110" s="2">
        <v>-36</v>
      </c>
      <c r="L110" s="2">
        <v>-42</v>
      </c>
    </row>
    <row r="111" spans="2:12" s="2" customFormat="1" x14ac:dyDescent="0.2">
      <c r="B111" s="2" t="s">
        <v>117</v>
      </c>
      <c r="H111" s="2">
        <v>-1561</v>
      </c>
      <c r="L111" s="2">
        <v>-1511</v>
      </c>
    </row>
    <row r="112" spans="2:12" s="8" customFormat="1" ht="15" x14ac:dyDescent="0.25">
      <c r="B112" s="8" t="s">
        <v>118</v>
      </c>
      <c r="H112" s="8">
        <f>+SUM(H101:H111)</f>
        <v>-4975</v>
      </c>
      <c r="L112" s="8">
        <f>+SUM(L101:L111)</f>
        <v>-4513</v>
      </c>
    </row>
    <row r="113" spans="2:12" s="8" customFormat="1" ht="15" x14ac:dyDescent="0.25">
      <c r="B113" s="8" t="s">
        <v>119</v>
      </c>
      <c r="H113" s="8">
        <f>+H112+H99+H85</f>
        <v>-2076</v>
      </c>
      <c r="L113" s="8">
        <f>+L112+L99+L85</f>
        <v>-455</v>
      </c>
    </row>
  </sheetData>
  <hyperlinks>
    <hyperlink ref="A1" location="Main!A1" display="Main" xr:uid="{474F77A8-204F-4BCB-9B40-72EDDED7274C}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2022-10-21T04:05:46Z</dcterms:created>
  <dcterms:modified xsi:type="dcterms:W3CDTF">2022-10-27T16:05:19Z</dcterms:modified>
</cp:coreProperties>
</file>