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1EED65E3-9AB8-43C3-A286-AD2C67F5F010}" xr6:coauthVersionLast="47" xr6:coauthVersionMax="47" xr10:uidLastSave="{00000000-0000-0000-0000-000000000000}"/>
  <bookViews>
    <workbookView xWindow="13290" yWindow="810" windowWidth="10305" windowHeight="15375" activeTab="1" xr2:uid="{87180D60-3E1F-42B1-A353-8BE80225C8A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2" l="1"/>
  <c r="I39" i="2"/>
  <c r="I41" i="2"/>
  <c r="I48" i="2" s="1"/>
  <c r="I31" i="2"/>
  <c r="I30" i="2"/>
  <c r="F77" i="2"/>
  <c r="F67" i="2"/>
  <c r="J76" i="2"/>
  <c r="J77" i="2" s="1"/>
  <c r="J64" i="2"/>
  <c r="J67" i="2" s="1"/>
  <c r="F62" i="2"/>
  <c r="J62" i="2"/>
  <c r="F41" i="2"/>
  <c r="F48" i="2" s="1"/>
  <c r="F39" i="2"/>
  <c r="F30" i="2"/>
  <c r="J41" i="2"/>
  <c r="J31" i="2"/>
  <c r="J39" i="2" s="1"/>
  <c r="F17" i="2"/>
  <c r="F15" i="2"/>
  <c r="F11" i="2"/>
  <c r="F8" i="2"/>
  <c r="J17" i="2"/>
  <c r="J15" i="2"/>
  <c r="J11" i="2"/>
  <c r="J8" i="2"/>
  <c r="Q17" i="2"/>
  <c r="Q15" i="2"/>
  <c r="Q11" i="2"/>
  <c r="Q8" i="2"/>
  <c r="Q12" i="2" s="1"/>
  <c r="Q24" i="2" s="1"/>
  <c r="R17" i="2"/>
  <c r="R15" i="2"/>
  <c r="R11" i="2"/>
  <c r="R8" i="2"/>
  <c r="S17" i="2"/>
  <c r="S15" i="2"/>
  <c r="S11" i="2"/>
  <c r="S8" i="2"/>
  <c r="Q2" i="2"/>
  <c r="R2" i="2" s="1"/>
  <c r="S2" i="2" s="1"/>
  <c r="T2" i="2" s="1"/>
  <c r="U2" i="2" s="1"/>
  <c r="V2" i="2" s="1"/>
  <c r="W2" i="2" s="1"/>
  <c r="X2" i="2" s="1"/>
  <c r="G15" i="1"/>
  <c r="G14" i="1"/>
  <c r="G13" i="1"/>
  <c r="G12" i="1"/>
  <c r="J30" i="2" l="1"/>
  <c r="J78" i="2"/>
  <c r="S28" i="2"/>
  <c r="J48" i="2"/>
  <c r="J28" i="2"/>
  <c r="F78" i="2"/>
  <c r="S12" i="2"/>
  <c r="Q16" i="2"/>
  <c r="F12" i="2"/>
  <c r="J12" i="2"/>
  <c r="R12" i="2"/>
  <c r="Q18" i="2" l="1"/>
  <c r="Q25" i="2"/>
  <c r="F16" i="2"/>
  <c r="F24" i="2"/>
  <c r="R18" i="2"/>
  <c r="R24" i="2"/>
  <c r="J16" i="2"/>
  <c r="J24" i="2"/>
  <c r="R16" i="2"/>
  <c r="R25" i="2" s="1"/>
  <c r="S16" i="2"/>
  <c r="S24" i="2"/>
  <c r="F18" i="2" l="1"/>
  <c r="F25" i="2"/>
  <c r="R20" i="2"/>
  <c r="R22" i="2" s="1"/>
  <c r="R26" i="2"/>
  <c r="J18" i="2"/>
  <c r="J25" i="2"/>
  <c r="S18" i="2"/>
  <c r="S25" i="2"/>
  <c r="Q20" i="2"/>
  <c r="Q22" i="2" s="1"/>
  <c r="Q26" i="2"/>
  <c r="S26" i="2" l="1"/>
  <c r="S20" i="2"/>
  <c r="S22" i="2" s="1"/>
  <c r="J20" i="2"/>
  <c r="J26" i="2"/>
  <c r="F20" i="2"/>
  <c r="F26" i="2"/>
  <c r="F22" i="2" l="1"/>
  <c r="F50" i="2"/>
  <c r="J22" i="2"/>
  <c r="J50" i="2"/>
</calcChain>
</file>

<file path=xl/sharedStrings.xml><?xml version="1.0" encoding="utf-8"?>
<sst xmlns="http://schemas.openxmlformats.org/spreadsheetml/2006/main" count="92" uniqueCount="83">
  <si>
    <t>Price</t>
  </si>
  <si>
    <t>Shares</t>
  </si>
  <si>
    <t>MC</t>
  </si>
  <si>
    <t>Debt</t>
  </si>
  <si>
    <t>EV</t>
  </si>
  <si>
    <t>Cash</t>
  </si>
  <si>
    <t>Q422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</si>
  <si>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</si>
  <si>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</si>
  <si>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</si>
  <si>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</si>
  <si>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</si>
  <si>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</si>
  <si>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</si>
  <si>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</si>
  <si>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</si>
  <si>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</si>
  <si>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</si>
  <si>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Main</t>
  </si>
  <si>
    <t>US Owned Stores</t>
  </si>
  <si>
    <t>Franchise Rotalties</t>
  </si>
  <si>
    <t>Supply Chain</t>
  </si>
  <si>
    <t>International Frachise</t>
  </si>
  <si>
    <t>Advertising</t>
  </si>
  <si>
    <t>Revenue</t>
  </si>
  <si>
    <t>Cost of US Company</t>
  </si>
  <si>
    <t>Cost of Supply Chain</t>
  </si>
  <si>
    <t>COGS</t>
  </si>
  <si>
    <t>Gross Profit</t>
  </si>
  <si>
    <t>G&amp;A</t>
  </si>
  <si>
    <t>US Franchise Advertising</t>
  </si>
  <si>
    <t>Operating Expense</t>
  </si>
  <si>
    <t>Operating Income</t>
  </si>
  <si>
    <t>Interest Income</t>
  </si>
  <si>
    <t>Pretax Income</t>
  </si>
  <si>
    <t>Taxes</t>
  </si>
  <si>
    <t>Net Income</t>
  </si>
  <si>
    <t>EPS</t>
  </si>
  <si>
    <t>Gross Margin %</t>
  </si>
  <si>
    <t>Operating Margin %</t>
  </si>
  <si>
    <t>Tax Rate %</t>
  </si>
  <si>
    <t>Revenue Y/Y</t>
  </si>
  <si>
    <t>A/R</t>
  </si>
  <si>
    <t>Inventory</t>
  </si>
  <si>
    <t>Preapids</t>
  </si>
  <si>
    <t>Operating Lease</t>
  </si>
  <si>
    <t>OA</t>
  </si>
  <si>
    <t>Total Assets</t>
  </si>
  <si>
    <t>A/P</t>
  </si>
  <si>
    <t>Opearting Lease</t>
  </si>
  <si>
    <t>Accured Liabilties</t>
  </si>
  <si>
    <t>LT Operating Lease</t>
  </si>
  <si>
    <t>LT Accured Liabilties</t>
  </si>
  <si>
    <t>Total Liabilties</t>
  </si>
  <si>
    <t>PP&amp;E</t>
  </si>
  <si>
    <t>Net Cash</t>
  </si>
  <si>
    <t>Model NI</t>
  </si>
  <si>
    <t>Reported NI</t>
  </si>
  <si>
    <t>D/A</t>
  </si>
  <si>
    <t>Disposal</t>
  </si>
  <si>
    <t>Amortization of debt</t>
  </si>
  <si>
    <t>D/T</t>
  </si>
  <si>
    <t>Non Cash Compensation</t>
  </si>
  <si>
    <t>Tax Benefits</t>
  </si>
  <si>
    <t>Notes Receivable</t>
  </si>
  <si>
    <t>Unrealized Gain</t>
  </si>
  <si>
    <t>Change in Advertising Fund</t>
  </si>
  <si>
    <t>Change in Liabilties &amp; Assets</t>
  </si>
  <si>
    <t>CFFO</t>
  </si>
  <si>
    <t>Capex</t>
  </si>
  <si>
    <t>Investment Purhcases</t>
  </si>
  <si>
    <t>Other</t>
  </si>
  <si>
    <t>CFFI</t>
  </si>
  <si>
    <t>CFFF</t>
  </si>
  <si>
    <t>LT Debt Issuance</t>
  </si>
  <si>
    <t>LT Debt Repayment</t>
  </si>
  <si>
    <t>Stock Option</t>
  </si>
  <si>
    <t>Common Stock Purchses</t>
  </si>
  <si>
    <t>Tax Payments</t>
  </si>
  <si>
    <t>Dividends</t>
  </si>
  <si>
    <t>Cash Paid for Financing Costs</t>
  </si>
  <si>
    <t>CF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</si>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</sst>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4" fontId="0" fillId="0" borderId="0" xfId="0" applyNumberFormat="1"/>
    <xf numFmtId="3" fontId="1" fillId="0" borderId="0" xfId="0" applyNumberFormat="1" applyFont="1"/>
    <xf numFmtId="3" fontId="0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8593-021B-4D53-BA34-D6D22C98474D}">
  <dimension ref="F10:H15"/>
  <sheetViews>
    <sheetView workbookViewId="0">
      <selection activeCell="G11" sqref="G11"/>
    </sheetView>
  </sheetViews>
  <sheetFormatPr defaultRowHeight="14.25" x14ac:dyDescent="0.2"/>
  <cols>
    <col min="8" max="8" width="9" style="2"/>
  </cols>
  <sheetData>
    <row r="10" spans="6:8" x14ac:dyDescent="0.2">
      <c r="F10" t="s">
        <v>0</v>
      </c>
      <c r="G10">
        <v>397.18</v>
      </c>
    </row>
    <row r="11" spans="6:8" x14ac:dyDescent="0.2">
      <c r="F11" t="s">
        <v>1</v>
      </c>
      <c r="G11" s="1">
        <v>36.036183999999999</v>
      </c>
      <c r="H11" s="2" t="s">
        <v>6</v>
      </c>
    </row>
    <row r="12" spans="6:8" x14ac:dyDescent="0.2">
      <c r="F12" t="s">
        <v>2</v>
      </c>
      <c r="G12" s="1">
        <f>+G11*G10</f>
        <v>14312.85156112</v>
      </c>
    </row>
    <row r="13" spans="6:8" x14ac:dyDescent="0.2">
      <c r="F13" t="s">
        <v>5</v>
      </c>
      <c r="G13" s="1">
        <f>148.16+180.579+15.433+125.84</f>
        <v>470.01200000000006</v>
      </c>
      <c r="H13" s="2" t="s">
        <v>6</v>
      </c>
    </row>
    <row r="14" spans="6:8" x14ac:dyDescent="0.2">
      <c r="F14" t="s">
        <v>3</v>
      </c>
      <c r="G14" s="1">
        <f>55.588+5014.638</f>
        <v>5070.2259999999997</v>
      </c>
      <c r="H14" s="2" t="s">
        <v>6</v>
      </c>
    </row>
    <row r="15" spans="6:8" x14ac:dyDescent="0.2">
      <c r="F15" t="s">
        <v>4</v>
      </c>
      <c r="G15" s="1">
        <f>+G12-G13+G14</f>
        <v>18913.065561119998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7ABD-FEF4-43CD-B08E-93F945B995C4}">
  <dimension ref="A1:X78"/>
  <sheetViews>
    <sheetView tabSelected="1" workbookViewId="0">
      <pane xSplit="2" ySplit="2" topLeftCell="E27" activePane="bottomRight" state="frozen"/>
      <selection pane="topRight" activeCell="C1" sqref="C1"/>
      <selection pane="bottomLeft" activeCell="A3" sqref="A3"/>
      <selection pane="bottomRight" activeCell="F31" sqref="F31"/>
    </sheetView>
  </sheetViews>
  <sheetFormatPr defaultRowHeight="14.25" x14ac:dyDescent="0.2"/>
  <cols>
    <col min="1" max="1" width="4.625" bestFit="1" customWidth="1"/>
    <col min="2" max="2" width="18.5" bestFit="1" customWidth="1"/>
    <col min="3" max="3" width="5.375" bestFit="1" customWidth="1"/>
  </cols>
  <sheetData>
    <row r="1" spans="1:24" x14ac:dyDescent="0.2">
      <c r="A1" s="3" t="s">
        <v>18</v>
      </c>
    </row>
    <row r="2" spans="1:24" x14ac:dyDescent="0.2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6</v>
      </c>
      <c r="P2">
        <v>2018</v>
      </c>
      <c r="Q2">
        <f>+P2+1</f>
        <v>2019</v>
      </c>
      <c r="R2">
        <f t="shared" ref="R2:X2" si="0">+Q2+1</f>
        <v>2020</v>
      </c>
      <c r="S2">
        <f t="shared" si="0"/>
        <v>2021</v>
      </c>
      <c r="T2">
        <f t="shared" si="0"/>
        <v>2022</v>
      </c>
      <c r="U2">
        <f t="shared" si="0"/>
        <v>2023</v>
      </c>
      <c r="V2">
        <f t="shared" si="0"/>
        <v>2024</v>
      </c>
      <c r="W2">
        <f t="shared" si="0"/>
        <v>2025</v>
      </c>
      <c r="X2">
        <f t="shared" si="0"/>
        <v>2026</v>
      </c>
    </row>
    <row r="3" spans="1:24" s="1" customFormat="1" x14ac:dyDescent="0.2">
      <c r="B3" s="1" t="s">
        <v>19</v>
      </c>
      <c r="F3" s="1">
        <v>155.749</v>
      </c>
      <c r="J3" s="1">
        <v>141.227</v>
      </c>
      <c r="Q3" s="1">
        <v>453.56</v>
      </c>
      <c r="R3" s="1">
        <v>485.56900000000002</v>
      </c>
      <c r="S3" s="1">
        <v>478.976</v>
      </c>
    </row>
    <row r="4" spans="1:24" s="1" customFormat="1" x14ac:dyDescent="0.2">
      <c r="B4" s="1" t="s">
        <v>20</v>
      </c>
      <c r="F4" s="1">
        <v>167.298</v>
      </c>
      <c r="J4" s="1">
        <v>166.93700000000001</v>
      </c>
      <c r="Q4" s="1">
        <v>428.50400000000002</v>
      </c>
      <c r="R4" s="1">
        <v>503.19600000000003</v>
      </c>
      <c r="S4" s="1">
        <v>539.88300000000004</v>
      </c>
    </row>
    <row r="5" spans="1:24" s="1" customFormat="1" x14ac:dyDescent="0.2">
      <c r="B5" s="1" t="s">
        <v>21</v>
      </c>
      <c r="F5" s="1">
        <v>791.149</v>
      </c>
      <c r="J5" s="1">
        <v>800.85799999999995</v>
      </c>
      <c r="Q5" s="1">
        <v>2104.9360000000001</v>
      </c>
      <c r="R5" s="1">
        <v>2416.6509999999998</v>
      </c>
      <c r="S5" s="1">
        <v>2560.9769999999999</v>
      </c>
    </row>
    <row r="6" spans="1:24" s="1" customFormat="1" x14ac:dyDescent="0.2">
      <c r="B6" s="1" t="s">
        <v>22</v>
      </c>
      <c r="F6" s="1">
        <v>89.555000000000007</v>
      </c>
      <c r="J6" s="1">
        <v>90.968000000000004</v>
      </c>
      <c r="Q6" s="1">
        <v>240.97499999999999</v>
      </c>
      <c r="R6" s="1">
        <v>249.75700000000001</v>
      </c>
      <c r="S6" s="1">
        <v>298.036</v>
      </c>
    </row>
    <row r="7" spans="1:24" s="1" customFormat="1" x14ac:dyDescent="0.2">
      <c r="B7" s="1" t="s">
        <v>23</v>
      </c>
      <c r="F7" s="1">
        <v>152.816</v>
      </c>
      <c r="J7" s="1">
        <v>143.22300000000001</v>
      </c>
      <c r="Q7" s="1">
        <v>390.79899999999998</v>
      </c>
      <c r="R7" s="1">
        <v>462.238</v>
      </c>
      <c r="S7" s="1">
        <v>479.50099999999998</v>
      </c>
    </row>
    <row r="8" spans="1:24" s="5" customFormat="1" ht="15" x14ac:dyDescent="0.25">
      <c r="B8" s="5" t="s">
        <v>24</v>
      </c>
      <c r="F8" s="5">
        <f>+SUM(F3:F7)</f>
        <v>1356.567</v>
      </c>
      <c r="J8" s="5">
        <f>+SUM(J3:J7)</f>
        <v>1343.213</v>
      </c>
      <c r="Q8" s="5">
        <f>+SUM(Q3:Q7)</f>
        <v>3618.7739999999999</v>
      </c>
      <c r="R8" s="5">
        <f>+SUM(R3:R7)</f>
        <v>4117.4110000000001</v>
      </c>
      <c r="S8" s="5">
        <f>+SUM(S3:S7)</f>
        <v>4357.3729999999996</v>
      </c>
    </row>
    <row r="9" spans="1:24" s="1" customFormat="1" x14ac:dyDescent="0.2">
      <c r="B9" s="1" t="s">
        <v>25</v>
      </c>
      <c r="F9" s="1">
        <v>121.59099999999999</v>
      </c>
      <c r="J9" s="1">
        <v>113.411</v>
      </c>
      <c r="Q9" s="1">
        <v>346.16800000000001</v>
      </c>
      <c r="R9" s="1">
        <v>379.59800000000001</v>
      </c>
      <c r="S9" s="1">
        <v>374.10399999999998</v>
      </c>
    </row>
    <row r="10" spans="1:24" s="1" customFormat="1" x14ac:dyDescent="0.2">
      <c r="B10" s="1" t="s">
        <v>26</v>
      </c>
      <c r="F10" s="1">
        <v>699.71199999999999</v>
      </c>
      <c r="J10" s="1">
        <v>723.601</v>
      </c>
      <c r="Q10" s="1">
        <v>1870.107</v>
      </c>
      <c r="R10" s="1">
        <v>2143.3200000000002</v>
      </c>
      <c r="S10" s="1">
        <v>2295.027</v>
      </c>
    </row>
    <row r="11" spans="1:24" s="1" customFormat="1" x14ac:dyDescent="0.2">
      <c r="B11" s="1" t="s">
        <v>27</v>
      </c>
      <c r="F11" s="1">
        <f>+SUM(F9:F10)</f>
        <v>821.303</v>
      </c>
      <c r="J11" s="1">
        <f>+SUM(J9:J10)</f>
        <v>837.01199999999994</v>
      </c>
      <c r="Q11" s="1">
        <f>+SUM(Q9:Q10)</f>
        <v>2216.2750000000001</v>
      </c>
      <c r="R11" s="1">
        <f>+SUM(R9:R10)</f>
        <v>2522.9180000000001</v>
      </c>
      <c r="S11" s="1">
        <f>+SUM(S9:S10)</f>
        <v>2669.1309999999999</v>
      </c>
    </row>
    <row r="12" spans="1:24" s="1" customFormat="1" x14ac:dyDescent="0.2">
      <c r="B12" s="1" t="s">
        <v>28</v>
      </c>
      <c r="F12" s="1">
        <f>+F8-F11</f>
        <v>535.26400000000001</v>
      </c>
      <c r="J12" s="1">
        <f>+J8-J11</f>
        <v>506.20100000000002</v>
      </c>
      <c r="Q12" s="1">
        <f>+Q8-Q11</f>
        <v>1402.4989999999998</v>
      </c>
      <c r="R12" s="1">
        <f>+R8-R11</f>
        <v>1594.4929999999999</v>
      </c>
      <c r="S12" s="1">
        <f>+S8-S11</f>
        <v>1688.2419999999997</v>
      </c>
    </row>
    <row r="13" spans="1:24" s="1" customFormat="1" x14ac:dyDescent="0.2">
      <c r="B13" s="1" t="s">
        <v>29</v>
      </c>
      <c r="F13" s="1">
        <v>138.404</v>
      </c>
      <c r="J13" s="1">
        <v>140.29</v>
      </c>
      <c r="Q13" s="1">
        <v>382.29300000000001</v>
      </c>
      <c r="R13" s="1">
        <v>406.613</v>
      </c>
      <c r="S13" s="1">
        <v>428.33300000000003</v>
      </c>
    </row>
    <row r="14" spans="1:24" s="1" customFormat="1" x14ac:dyDescent="0.2">
      <c r="B14" s="1" t="s">
        <v>30</v>
      </c>
      <c r="F14" s="1">
        <v>152.816</v>
      </c>
      <c r="J14" s="1">
        <v>143.22300000000001</v>
      </c>
      <c r="Q14" s="1">
        <v>390.79899999999998</v>
      </c>
      <c r="R14" s="1">
        <v>462.238</v>
      </c>
      <c r="S14" s="1">
        <v>479.50099999999998</v>
      </c>
    </row>
    <row r="15" spans="1:24" s="1" customFormat="1" x14ac:dyDescent="0.2">
      <c r="B15" s="1" t="s">
        <v>31</v>
      </c>
      <c r="F15" s="1">
        <f>+SUM(F13:F14)</f>
        <v>291.22000000000003</v>
      </c>
      <c r="J15" s="1">
        <f>+SUM(J13:J14)</f>
        <v>283.51300000000003</v>
      </c>
      <c r="Q15" s="1">
        <f>+SUM(Q13:Q14)</f>
        <v>773.09199999999998</v>
      </c>
      <c r="R15" s="1">
        <f>+SUM(R13:R14)</f>
        <v>868.851</v>
      </c>
      <c r="S15" s="1">
        <f>+SUM(S13:S14)</f>
        <v>907.83400000000006</v>
      </c>
    </row>
    <row r="16" spans="1:24" s="1" customFormat="1" x14ac:dyDescent="0.2">
      <c r="B16" s="1" t="s">
        <v>32</v>
      </c>
      <c r="F16" s="1">
        <f>+F12-F15</f>
        <v>244.04399999999998</v>
      </c>
      <c r="J16" s="1">
        <f>+J12-J15</f>
        <v>222.68799999999999</v>
      </c>
      <c r="Q16" s="1">
        <f>+Q12-Q15</f>
        <v>629.40699999999981</v>
      </c>
      <c r="R16" s="1">
        <f>+R12-R15</f>
        <v>725.64199999999994</v>
      </c>
      <c r="S16" s="1">
        <f>+S12-S15</f>
        <v>780.40799999999967</v>
      </c>
    </row>
    <row r="17" spans="2:19" s="1" customFormat="1" x14ac:dyDescent="0.2">
      <c r="B17" s="1" t="s">
        <v>33</v>
      </c>
      <c r="F17" s="1">
        <f>+-54.479</f>
        <v>-54.478999999999999</v>
      </c>
      <c r="J17" s="1">
        <f>34.258+-60.777</f>
        <v>-26.518999999999998</v>
      </c>
      <c r="Q17" s="1">
        <f>4.048+-150.818</f>
        <v>-146.77000000000001</v>
      </c>
      <c r="R17" s="1">
        <f>1.654+-172.166</f>
        <v>-170.512</v>
      </c>
      <c r="S17" s="1">
        <f>36.758+0.345+-191.806</f>
        <v>-154.703</v>
      </c>
    </row>
    <row r="18" spans="2:19" s="1" customFormat="1" x14ac:dyDescent="0.2">
      <c r="B18" s="1" t="s">
        <v>34</v>
      </c>
      <c r="F18" s="1">
        <f>+SUM(F16:F17)</f>
        <v>189.565</v>
      </c>
      <c r="J18" s="1">
        <f>+SUM(J16:J17)</f>
        <v>196.16899999999998</v>
      </c>
      <c r="Q18" s="1">
        <f>+SUM(Q16:Q17)</f>
        <v>482.63699999999983</v>
      </c>
      <c r="R18" s="1">
        <f>+SUM(R16:R17)</f>
        <v>555.12999999999988</v>
      </c>
      <c r="S18" s="1">
        <f>+SUM(S16:S17)</f>
        <v>625.7049999999997</v>
      </c>
    </row>
    <row r="19" spans="2:19" s="6" customFormat="1" x14ac:dyDescent="0.2">
      <c r="B19" s="6" t="s">
        <v>35</v>
      </c>
      <c r="F19" s="6">
        <v>37.667999999999999</v>
      </c>
      <c r="J19" s="6">
        <v>40.484000000000002</v>
      </c>
      <c r="Q19" s="6">
        <v>81.927999999999997</v>
      </c>
      <c r="R19" s="6">
        <v>63.834000000000003</v>
      </c>
      <c r="S19" s="6">
        <v>115.238</v>
      </c>
    </row>
    <row r="20" spans="2:19" s="5" customFormat="1" ht="15" x14ac:dyDescent="0.25">
      <c r="B20" s="5" t="s">
        <v>36</v>
      </c>
      <c r="F20" s="5">
        <f>+F18-F19</f>
        <v>151.89699999999999</v>
      </c>
      <c r="J20" s="5">
        <f>+J18-J19</f>
        <v>155.68499999999997</v>
      </c>
      <c r="Q20" s="5">
        <f>+Q18-Q19</f>
        <v>400.70899999999983</v>
      </c>
      <c r="R20" s="5">
        <f>+R18-R19</f>
        <v>491.29599999999988</v>
      </c>
      <c r="S20" s="5">
        <f>+S18-S19</f>
        <v>510.4669999999997</v>
      </c>
    </row>
    <row r="21" spans="2:19" s="1" customFormat="1" x14ac:dyDescent="0.2">
      <c r="B21" s="1" t="s">
        <v>37</v>
      </c>
      <c r="F21" s="4">
        <v>3.85</v>
      </c>
      <c r="J21" s="4">
        <v>4.25</v>
      </c>
      <c r="Q21" s="4">
        <v>9.56</v>
      </c>
      <c r="R21" s="4">
        <v>12.39</v>
      </c>
      <c r="S21" s="4">
        <v>13.54</v>
      </c>
    </row>
    <row r="22" spans="2:19" s="1" customFormat="1" x14ac:dyDescent="0.2">
      <c r="B22" s="1" t="s">
        <v>1</v>
      </c>
      <c r="F22" s="1">
        <f>+F20/F21</f>
        <v>39.453766233766231</v>
      </c>
      <c r="J22" s="1">
        <f>+J20/J21</f>
        <v>36.631764705882347</v>
      </c>
      <c r="Q22" s="1">
        <f>+Q20/Q21</f>
        <v>41.915167364016717</v>
      </c>
      <c r="R22" s="1">
        <f>+R20/R21</f>
        <v>39.652623083131544</v>
      </c>
      <c r="S22" s="1">
        <f>+S20/S21</f>
        <v>37.700664697193481</v>
      </c>
    </row>
    <row r="24" spans="2:19" x14ac:dyDescent="0.2">
      <c r="B24" s="1" t="s">
        <v>38</v>
      </c>
      <c r="F24" s="7">
        <f>+F12/F8</f>
        <v>0.39457247596322187</v>
      </c>
      <c r="J24" s="7">
        <f>+J12/J8</f>
        <v>0.37685832403349284</v>
      </c>
      <c r="Q24" s="7">
        <f>+Q12/Q8</f>
        <v>0.3875619201420149</v>
      </c>
      <c r="R24" s="7">
        <f>+R12/R8</f>
        <v>0.38725621513130459</v>
      </c>
      <c r="S24" s="7">
        <f>+S12/S8</f>
        <v>0.38744491233594186</v>
      </c>
    </row>
    <row r="25" spans="2:19" x14ac:dyDescent="0.2">
      <c r="B25" s="1" t="s">
        <v>39</v>
      </c>
      <c r="F25" s="7">
        <f>+F16/F8</f>
        <v>0.1798982283956487</v>
      </c>
      <c r="J25" s="7">
        <f>+J16/J8</f>
        <v>0.16578755565945236</v>
      </c>
      <c r="Q25" s="7">
        <f>+Q16/Q8</f>
        <v>0.17392824199576978</v>
      </c>
      <c r="R25" s="7">
        <f>+R16/R8</f>
        <v>0.17623744629817134</v>
      </c>
      <c r="S25" s="7">
        <f>+S16/S8</f>
        <v>0.17910057275335386</v>
      </c>
    </row>
    <row r="26" spans="2:19" x14ac:dyDescent="0.2">
      <c r="B26" s="1" t="s">
        <v>40</v>
      </c>
      <c r="F26" s="7">
        <f>+F19/F18</f>
        <v>0.19870756732519188</v>
      </c>
      <c r="J26" s="7">
        <f>+J19/J18</f>
        <v>0.2063730762760681</v>
      </c>
      <c r="Q26" s="7">
        <f>+Q19/Q18</f>
        <v>0.16975076506774248</v>
      </c>
      <c r="R26" s="7">
        <f>+R19/R18</f>
        <v>0.11498928178985106</v>
      </c>
      <c r="S26" s="7">
        <f>+S19/S18</f>
        <v>0.18417305279644569</v>
      </c>
    </row>
    <row r="27" spans="2:19" x14ac:dyDescent="0.2">
      <c r="Q27" s="7"/>
      <c r="R27" s="7"/>
      <c r="S27" s="7"/>
    </row>
    <row r="28" spans="2:19" x14ac:dyDescent="0.2">
      <c r="B28" s="1" t="s">
        <v>41</v>
      </c>
      <c r="J28" s="7">
        <f>+J8/F8-1</f>
        <v>-9.8439664240690394E-3</v>
      </c>
      <c r="Q28" s="7"/>
      <c r="R28" s="7"/>
      <c r="S28" s="7">
        <f>+S8/R8-1</f>
        <v>5.8279826813499858E-2</v>
      </c>
    </row>
    <row r="30" spans="2:19" x14ac:dyDescent="0.2">
      <c r="B30" s="1" t="s">
        <v>55</v>
      </c>
      <c r="F30" s="1">
        <f>+F31-F41</f>
        <v>-3692.5989999999997</v>
      </c>
      <c r="I30" s="1">
        <f>+I31-I41</f>
        <v>-4485.4249999999993</v>
      </c>
      <c r="J30" s="1">
        <f>+J31-J41</f>
        <v>-4615.6469999999999</v>
      </c>
    </row>
    <row r="31" spans="2:19" x14ac:dyDescent="0.2">
      <c r="B31" s="1" t="s">
        <v>5</v>
      </c>
      <c r="F31" s="1">
        <f>168.821+217.453+40</f>
        <v>426.274</v>
      </c>
      <c r="I31" s="1">
        <f>295.352+206.274+82.5</f>
        <v>584.12599999999998</v>
      </c>
      <c r="J31" s="1">
        <f>148.16+180.579+125.84</f>
        <v>454.57900000000006</v>
      </c>
    </row>
    <row r="32" spans="2:19" x14ac:dyDescent="0.2">
      <c r="B32" t="s">
        <v>42</v>
      </c>
      <c r="F32" s="1">
        <v>244.56</v>
      </c>
      <c r="I32" s="1">
        <v>238.90600000000001</v>
      </c>
      <c r="J32" s="1">
        <v>255.327</v>
      </c>
    </row>
    <row r="33" spans="2:10" x14ac:dyDescent="0.2">
      <c r="B33" s="1" t="s">
        <v>43</v>
      </c>
      <c r="F33" s="1">
        <v>66.683000000000007</v>
      </c>
      <c r="I33" s="1">
        <v>64.563000000000002</v>
      </c>
      <c r="J33" s="1">
        <v>68.328000000000003</v>
      </c>
    </row>
    <row r="34" spans="2:10" x14ac:dyDescent="0.2">
      <c r="B34" t="s">
        <v>44</v>
      </c>
      <c r="F34" s="1">
        <v>24.169</v>
      </c>
      <c r="I34" s="1">
        <v>34.094000000000001</v>
      </c>
      <c r="J34" s="1">
        <v>27.242000000000001</v>
      </c>
    </row>
    <row r="35" spans="2:10" x14ac:dyDescent="0.2">
      <c r="B35" s="1" t="s">
        <v>23</v>
      </c>
      <c r="F35" s="1">
        <v>147.69800000000001</v>
      </c>
      <c r="I35" s="1">
        <v>186.80699999999999</v>
      </c>
      <c r="J35" s="1">
        <v>180.904</v>
      </c>
    </row>
    <row r="36" spans="2:10" x14ac:dyDescent="0.2">
      <c r="B36" t="s">
        <v>54</v>
      </c>
      <c r="F36" s="1">
        <v>297.36399999999998</v>
      </c>
      <c r="I36" s="1">
        <v>293.375</v>
      </c>
      <c r="J36" s="1">
        <v>324.065</v>
      </c>
    </row>
    <row r="37" spans="2:10" x14ac:dyDescent="0.2">
      <c r="B37" s="1" t="s">
        <v>45</v>
      </c>
      <c r="F37" s="1">
        <v>228.268</v>
      </c>
      <c r="I37" s="1"/>
      <c r="J37" s="1">
        <v>210.702</v>
      </c>
    </row>
    <row r="38" spans="2:10" x14ac:dyDescent="0.2">
      <c r="B38" t="s">
        <v>46</v>
      </c>
      <c r="F38" s="1">
        <v>132.15199999999999</v>
      </c>
      <c r="I38" s="1">
        <v>444.98500000000001</v>
      </c>
      <c r="J38" s="1">
        <v>150.66900000000001</v>
      </c>
    </row>
    <row r="39" spans="2:10" x14ac:dyDescent="0.2">
      <c r="B39" s="1" t="s">
        <v>47</v>
      </c>
      <c r="F39" s="1">
        <f>+SUM(F31:F38)</f>
        <v>1567.1680000000001</v>
      </c>
      <c r="I39" s="1">
        <f>+SUM(I31:I38)</f>
        <v>1846.8559999999998</v>
      </c>
      <c r="J39" s="1">
        <f>+SUM(J31:J38)</f>
        <v>1671.816</v>
      </c>
    </row>
    <row r="40" spans="2:10" x14ac:dyDescent="0.2">
      <c r="F40" s="1"/>
      <c r="I40" s="1"/>
      <c r="J40" s="1"/>
    </row>
    <row r="41" spans="2:10" x14ac:dyDescent="0.2">
      <c r="B41" s="1" t="s">
        <v>3</v>
      </c>
      <c r="F41" s="1">
        <f>2.855+4116.018</f>
        <v>4118.8729999999996</v>
      </c>
      <c r="I41" s="1">
        <f>54.846+5014.705</f>
        <v>5069.5509999999995</v>
      </c>
      <c r="J41" s="1">
        <f>55.588+5014.638</f>
        <v>5070.2259999999997</v>
      </c>
    </row>
    <row r="42" spans="2:10" x14ac:dyDescent="0.2">
      <c r="B42" t="s">
        <v>48</v>
      </c>
      <c r="F42" s="1">
        <v>94.498999999999995</v>
      </c>
      <c r="I42" s="1">
        <v>111.78</v>
      </c>
      <c r="J42" s="1">
        <v>91.546999999999997</v>
      </c>
    </row>
    <row r="43" spans="2:10" x14ac:dyDescent="0.2">
      <c r="B43" s="1" t="s">
        <v>49</v>
      </c>
      <c r="F43" s="1">
        <v>35.860999999999997</v>
      </c>
      <c r="I43" s="1">
        <v>37.093000000000004</v>
      </c>
      <c r="J43" s="1">
        <v>37.155000000000001</v>
      </c>
    </row>
    <row r="44" spans="2:10" x14ac:dyDescent="0.2">
      <c r="B44" t="s">
        <v>23</v>
      </c>
      <c r="F44" s="1">
        <v>141.17500000000001</v>
      </c>
      <c r="I44" s="1" t="s">
        <v>82</v>
      </c>
      <c r="J44" s="1">
        <v>173.73699999999999</v>
      </c>
    </row>
    <row r="45" spans="2:10" x14ac:dyDescent="0.2">
      <c r="B45" s="1" t="s">
        <v>50</v>
      </c>
      <c r="F45" s="1">
        <v>196.429</v>
      </c>
      <c r="I45" s="1">
        <v>232.714</v>
      </c>
      <c r="J45" s="1">
        <v>232.714</v>
      </c>
    </row>
    <row r="46" spans="2:10" x14ac:dyDescent="0.2">
      <c r="B46" t="s">
        <v>51</v>
      </c>
      <c r="F46" s="1">
        <v>202.268</v>
      </c>
      <c r="I46" s="1">
        <v>184.471</v>
      </c>
      <c r="J46" s="1">
        <v>184.471</v>
      </c>
    </row>
    <row r="47" spans="2:10" x14ac:dyDescent="0.2">
      <c r="B47" s="1" t="s">
        <v>52</v>
      </c>
      <c r="F47" s="1">
        <v>78.468000000000004</v>
      </c>
      <c r="I47" s="1">
        <v>91.501999999999995</v>
      </c>
      <c r="J47" s="1">
        <v>91.501999999999995</v>
      </c>
    </row>
    <row r="48" spans="2:10" x14ac:dyDescent="0.2">
      <c r="B48" t="s">
        <v>53</v>
      </c>
      <c r="F48" s="1">
        <f>+SUM(F41:F47)</f>
        <v>4867.5729999999994</v>
      </c>
      <c r="I48" s="1">
        <f>+SUM(I41:I47)</f>
        <v>5727.110999999999</v>
      </c>
      <c r="J48" s="1">
        <f>+SUM(J41:J47)</f>
        <v>5881.351999999999</v>
      </c>
    </row>
    <row r="50" spans="2:10" s="1" customFormat="1" x14ac:dyDescent="0.2">
      <c r="B50" s="1" t="s">
        <v>56</v>
      </c>
      <c r="F50" s="1">
        <f>+F20</f>
        <v>151.89699999999999</v>
      </c>
      <c r="J50" s="1">
        <f>+J20</f>
        <v>155.68499999999997</v>
      </c>
    </row>
    <row r="51" spans="2:10" s="1" customFormat="1" x14ac:dyDescent="0.2">
      <c r="B51" s="1" t="s">
        <v>57</v>
      </c>
      <c r="F51" s="1">
        <v>491.29599999999999</v>
      </c>
      <c r="J51" s="1">
        <v>510.46699999999998</v>
      </c>
    </row>
    <row r="52" spans="2:10" s="1" customFormat="1" x14ac:dyDescent="0.2">
      <c r="B52" s="1" t="s">
        <v>58</v>
      </c>
      <c r="F52" s="1">
        <v>65.037999999999997</v>
      </c>
      <c r="J52" s="1">
        <v>72.923000000000002</v>
      </c>
    </row>
    <row r="53" spans="2:10" s="1" customFormat="1" x14ac:dyDescent="0.2">
      <c r="B53" s="1" t="s">
        <v>59</v>
      </c>
      <c r="F53" s="1">
        <v>2.9220000000000002</v>
      </c>
      <c r="J53" s="1">
        <v>1.1890000000000001</v>
      </c>
    </row>
    <row r="54" spans="2:10" s="1" customFormat="1" x14ac:dyDescent="0.2">
      <c r="B54" s="1" t="s">
        <v>60</v>
      </c>
      <c r="F54" s="1">
        <v>5.5259999999999998</v>
      </c>
      <c r="J54" s="1">
        <v>7.5090000000000003</v>
      </c>
    </row>
    <row r="55" spans="2:10" s="1" customFormat="1" x14ac:dyDescent="0.2">
      <c r="B55" s="1" t="s">
        <v>61</v>
      </c>
      <c r="F55" s="1">
        <v>14.423999999999999</v>
      </c>
      <c r="J55" s="1">
        <v>1.988</v>
      </c>
    </row>
    <row r="56" spans="2:10" s="1" customFormat="1" x14ac:dyDescent="0.2">
      <c r="B56" s="1" t="s">
        <v>62</v>
      </c>
      <c r="F56" s="1">
        <v>24.244</v>
      </c>
      <c r="J56" s="1">
        <v>28.67</v>
      </c>
    </row>
    <row r="57" spans="2:10" s="1" customFormat="1" x14ac:dyDescent="0.2">
      <c r="B57" s="1" t="s">
        <v>63</v>
      </c>
      <c r="F57" s="1">
        <v>-60.363999999999997</v>
      </c>
      <c r="J57" s="1">
        <v>-18.911000000000001</v>
      </c>
    </row>
    <row r="58" spans="2:10" s="1" customFormat="1" x14ac:dyDescent="0.2">
      <c r="B58" s="1" t="s">
        <v>64</v>
      </c>
      <c r="F58" s="1">
        <v>2.1339999999999999</v>
      </c>
      <c r="J58" s="1">
        <v>0.65900000000000003</v>
      </c>
    </row>
    <row r="59" spans="2:10" s="1" customFormat="1" x14ac:dyDescent="0.2">
      <c r="B59" s="1" t="s">
        <v>65</v>
      </c>
      <c r="J59" s="1">
        <v>-36.758000000000003</v>
      </c>
    </row>
    <row r="60" spans="2:10" s="1" customFormat="1" x14ac:dyDescent="0.2">
      <c r="B60" s="1" t="s">
        <v>67</v>
      </c>
      <c r="F60" s="1">
        <v>18.797000000000001</v>
      </c>
      <c r="J60" s="1">
        <v>41.244999999999997</v>
      </c>
    </row>
    <row r="61" spans="2:10" s="1" customFormat="1" x14ac:dyDescent="0.2">
      <c r="B61" s="1" t="s">
        <v>66</v>
      </c>
      <c r="F61" s="1">
        <v>28.777000000000001</v>
      </c>
      <c r="J61" s="1">
        <v>45.225000000000001</v>
      </c>
    </row>
    <row r="62" spans="2:10" s="1" customFormat="1" x14ac:dyDescent="0.2">
      <c r="B62" s="1" t="s">
        <v>68</v>
      </c>
      <c r="F62" s="1">
        <f>+SUM(F51:F61)</f>
        <v>592.79399999999998</v>
      </c>
      <c r="J62" s="1">
        <f>+SUM(J51:J61)</f>
        <v>654.20600000000002</v>
      </c>
    </row>
    <row r="63" spans="2:10" s="1" customFormat="1" x14ac:dyDescent="0.2"/>
    <row r="64" spans="2:10" s="1" customFormat="1" x14ac:dyDescent="0.2">
      <c r="B64" s="1" t="s">
        <v>69</v>
      </c>
      <c r="F64" s="1">
        <v>-88.768000000000001</v>
      </c>
      <c r="J64" s="1">
        <f>+-94.172</f>
        <v>-94.171999999999997</v>
      </c>
    </row>
    <row r="65" spans="2:10" s="1" customFormat="1" x14ac:dyDescent="0.2">
      <c r="B65" s="1" t="s">
        <v>70</v>
      </c>
      <c r="F65" s="1">
        <v>-40</v>
      </c>
      <c r="J65" s="1">
        <v>-49.082000000000001</v>
      </c>
    </row>
    <row r="66" spans="2:10" s="1" customFormat="1" x14ac:dyDescent="0.2">
      <c r="B66" s="1" t="s">
        <v>71</v>
      </c>
      <c r="F66" s="1">
        <v>-0.159</v>
      </c>
      <c r="J66" s="1">
        <v>0.53100000000000003</v>
      </c>
    </row>
    <row r="67" spans="2:10" s="1" customFormat="1" x14ac:dyDescent="0.2">
      <c r="B67" s="1" t="s">
        <v>73</v>
      </c>
      <c r="F67" s="1">
        <f>+SUM(F64:F66)</f>
        <v>-128.92699999999999</v>
      </c>
      <c r="J67" s="1">
        <f>+SUM(J64:J66)</f>
        <v>-142.72299999999998</v>
      </c>
    </row>
    <row r="68" spans="2:10" s="1" customFormat="1" x14ac:dyDescent="0.2"/>
    <row r="69" spans="2:10" s="1" customFormat="1" x14ac:dyDescent="0.2">
      <c r="B69" s="1" t="s">
        <v>74</v>
      </c>
      <c r="F69" s="1">
        <v>158</v>
      </c>
      <c r="J69" s="1">
        <v>1850</v>
      </c>
    </row>
    <row r="70" spans="2:10" s="1" customFormat="1" x14ac:dyDescent="0.2">
      <c r="B70" s="1" t="s">
        <v>75</v>
      </c>
      <c r="F70" s="1">
        <v>-202.05799999999999</v>
      </c>
      <c r="J70" s="1">
        <v>-910.21199999999999</v>
      </c>
    </row>
    <row r="71" spans="2:10" s="1" customFormat="1" x14ac:dyDescent="0.2">
      <c r="B71" s="1" t="s">
        <v>76</v>
      </c>
      <c r="F71" s="1">
        <v>30.97</v>
      </c>
      <c r="J71" s="1">
        <v>19.681999999999999</v>
      </c>
    </row>
    <row r="72" spans="2:10" s="1" customFormat="1" x14ac:dyDescent="0.2">
      <c r="B72" s="1" t="s">
        <v>77</v>
      </c>
      <c r="F72" s="1">
        <v>-304.58999999999997</v>
      </c>
      <c r="J72" s="1">
        <v>-1320.902</v>
      </c>
    </row>
    <row r="73" spans="2:10" s="1" customFormat="1" x14ac:dyDescent="0.2">
      <c r="B73" s="1" t="s">
        <v>78</v>
      </c>
      <c r="F73" s="1">
        <v>-6.8029999999999999</v>
      </c>
      <c r="J73" s="1">
        <v>-6.82</v>
      </c>
    </row>
    <row r="74" spans="2:10" s="1" customFormat="1" x14ac:dyDescent="0.2">
      <c r="B74" s="1" t="s">
        <v>79</v>
      </c>
      <c r="F74" s="1">
        <v>-121.925</v>
      </c>
      <c r="J74" s="1">
        <v>-139.399</v>
      </c>
    </row>
    <row r="75" spans="2:10" s="1" customFormat="1" x14ac:dyDescent="0.2">
      <c r="B75" s="1" t="s">
        <v>80</v>
      </c>
      <c r="J75" s="1">
        <v>-14.938000000000001</v>
      </c>
    </row>
    <row r="76" spans="2:10" s="1" customFormat="1" x14ac:dyDescent="0.2">
      <c r="B76" s="1" t="s">
        <v>71</v>
      </c>
      <c r="J76" s="1">
        <f>+-0.244</f>
        <v>-0.24399999999999999</v>
      </c>
    </row>
    <row r="77" spans="2:10" s="1" customFormat="1" x14ac:dyDescent="0.2">
      <c r="B77" s="1" t="s">
        <v>72</v>
      </c>
      <c r="F77" s="1">
        <f>+SUM(F69:F76)</f>
        <v>-446.40600000000001</v>
      </c>
      <c r="J77" s="1">
        <f>+SUM(J69:J76)</f>
        <v>-522.83300000000008</v>
      </c>
    </row>
    <row r="78" spans="2:10" s="5" customFormat="1" ht="15" x14ac:dyDescent="0.25">
      <c r="B78" s="5" t="s">
        <v>81</v>
      </c>
      <c r="F78" s="5">
        <f>+F77+F67+F62</f>
        <v>17.461000000000013</v>
      </c>
      <c r="J78" s="5">
        <f>+J77+J67+J62</f>
        <v>-11.350000000000023</v>
      </c>
    </row>
  </sheetData>
  <hyperlinks>
    <hyperlink ref="A1" location="Main!A1" display="Main" xr:uid="{203835B1-878E-45E3-9406-E87BF085C869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2022-04-03T19:11:08Z</dcterms:created>
  <dcterms:modified xsi:type="dcterms:W3CDTF">2022-04-04T04:22:05Z</dcterms:modified>
</cp:coreProperties>
</file>