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 Case\Documents\xl\"/>
    </mc:Choice>
  </mc:AlternateContent>
  <xr:revisionPtr revIDLastSave="0" documentId="13_ncr:1_{C0895CF1-F8C9-4967-A22E-5D0DBB03FF6B}" xr6:coauthVersionLast="47" xr6:coauthVersionMax="47" xr10:uidLastSave="{00000000-0000-0000-0000-000000000000}"/>
  <bookViews>
    <workbookView xWindow="-120" yWindow="-120" windowWidth="29040" windowHeight="15990" activeTab="1" xr2:uid="{D9D5DEDA-6207-4A84-A9E3-735C0147784A}"/>
  </bookViews>
  <sheets>
    <sheet name="Main" sheetId="2" r:id="rId1"/>
    <sheet name="Mode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5" i="1" l="1"/>
  <c r="P35" i="1"/>
  <c r="O35" i="1"/>
  <c r="N35" i="1"/>
  <c r="T30" i="1"/>
  <c r="S30" i="1"/>
  <c r="R30" i="1"/>
  <c r="Q30" i="1"/>
  <c r="P30" i="1"/>
  <c r="O30" i="1"/>
  <c r="N30" i="1"/>
  <c r="M30" i="1"/>
  <c r="L30" i="1"/>
  <c r="U30" i="1"/>
  <c r="Q29" i="1"/>
  <c r="P29" i="1"/>
  <c r="O29" i="1"/>
  <c r="N29" i="1"/>
  <c r="M29" i="1"/>
  <c r="L29" i="1"/>
  <c r="R29" i="1"/>
  <c r="R27" i="1"/>
  <c r="R26" i="1"/>
  <c r="R25" i="1"/>
  <c r="R21" i="1"/>
  <c r="R22" i="1"/>
  <c r="R23" i="1"/>
  <c r="R20" i="1"/>
  <c r="R19" i="1"/>
  <c r="R18" i="1"/>
  <c r="R16" i="1"/>
  <c r="R17" i="1" s="1"/>
  <c r="R15" i="1"/>
  <c r="R14" i="1"/>
  <c r="R13" i="1"/>
  <c r="R12" i="1"/>
  <c r="R11" i="1"/>
  <c r="R10" i="1"/>
  <c r="R9" i="1"/>
  <c r="R8" i="1"/>
  <c r="R7" i="1"/>
  <c r="R6" i="1"/>
  <c r="R5" i="1"/>
  <c r="R4" i="1"/>
  <c r="N4" i="1"/>
  <c r="Q35" i="1"/>
  <c r="U34" i="1"/>
  <c r="U35" i="1" s="1"/>
  <c r="N9" i="2"/>
  <c r="N8" i="2"/>
  <c r="N7" i="2"/>
  <c r="L25" i="1"/>
  <c r="K16" i="1"/>
  <c r="K7" i="1"/>
  <c r="J23" i="1"/>
  <c r="J20" i="1"/>
  <c r="J18" i="1"/>
  <c r="J15" i="1"/>
  <c r="J14" i="1"/>
  <c r="J13" i="1"/>
  <c r="J12" i="1"/>
  <c r="J11" i="1"/>
  <c r="J9" i="1"/>
  <c r="J10" i="1"/>
  <c r="J8" i="1"/>
  <c r="J6" i="1"/>
  <c r="J7" i="1" s="1"/>
  <c r="J5" i="1"/>
  <c r="J4" i="1"/>
  <c r="N23" i="1"/>
  <c r="N20" i="1"/>
  <c r="N18" i="1"/>
  <c r="N15" i="1"/>
  <c r="N14" i="1"/>
  <c r="N13" i="1"/>
  <c r="N12" i="1"/>
  <c r="N11" i="1"/>
  <c r="N10" i="1"/>
  <c r="N9" i="1"/>
  <c r="N8" i="1"/>
  <c r="N6" i="1"/>
  <c r="N5" i="1"/>
  <c r="U39" i="1"/>
  <c r="U49" i="1"/>
  <c r="U40" i="1"/>
  <c r="U47" i="1" s="1"/>
  <c r="U56" i="1"/>
  <c r="N6" i="2"/>
  <c r="H16" i="1"/>
  <c r="H7" i="1"/>
  <c r="L16" i="1"/>
  <c r="L7" i="1"/>
  <c r="I56" i="1"/>
  <c r="I49" i="1"/>
  <c r="I40" i="1"/>
  <c r="I47" i="1" s="1"/>
  <c r="M49" i="1"/>
  <c r="M56" i="1" s="1"/>
  <c r="M40" i="1"/>
  <c r="M39" i="1" s="1"/>
  <c r="I16" i="1"/>
  <c r="I7" i="1"/>
  <c r="M16" i="1"/>
  <c r="M7" i="1"/>
  <c r="M25" i="1" s="1"/>
  <c r="J17" i="1" l="1"/>
  <c r="I39" i="1"/>
  <c r="M58" i="1" s="1"/>
  <c r="N16" i="1"/>
  <c r="K17" i="1"/>
  <c r="K19" i="1" s="1"/>
  <c r="K21" i="1" s="1"/>
  <c r="K22" i="1" s="1"/>
  <c r="N7" i="1"/>
  <c r="N25" i="1" s="1"/>
  <c r="J16" i="1"/>
  <c r="H17" i="1"/>
  <c r="H19" i="1" s="1"/>
  <c r="H21" i="1" s="1"/>
  <c r="H22" i="1" s="1"/>
  <c r="L17" i="1"/>
  <c r="M47" i="1"/>
  <c r="I17" i="1"/>
  <c r="I19" i="1" s="1"/>
  <c r="I21" i="1" s="1"/>
  <c r="I22" i="1" s="1"/>
  <c r="M17" i="1"/>
  <c r="N17" i="1" l="1"/>
  <c r="N19" i="1" s="1"/>
  <c r="N21" i="1" s="1"/>
  <c r="N26" i="1" s="1"/>
  <c r="M19" i="1"/>
  <c r="M21" i="1" s="1"/>
  <c r="M27" i="1"/>
  <c r="J22" i="1"/>
  <c r="N27" i="1"/>
  <c r="L19" i="1"/>
  <c r="L21" i="1" s="1"/>
  <c r="L27" i="1"/>
  <c r="J19" i="1"/>
  <c r="J21" i="1" s="1"/>
  <c r="Q40" i="1"/>
  <c r="Q49" i="1"/>
  <c r="Q56" i="1" s="1"/>
  <c r="S40" i="1"/>
  <c r="S39" i="1" s="1"/>
  <c r="S56" i="1"/>
  <c r="O16" i="1"/>
  <c r="O7" i="1"/>
  <c r="O25" i="1" s="1"/>
  <c r="S16" i="1"/>
  <c r="S7" i="1"/>
  <c r="T49" i="1"/>
  <c r="T56" i="1" s="1"/>
  <c r="T40" i="1"/>
  <c r="P16" i="1"/>
  <c r="P7" i="1"/>
  <c r="P25" i="1" s="1"/>
  <c r="T16" i="1"/>
  <c r="T7" i="1"/>
  <c r="Q16" i="1"/>
  <c r="Q7" i="1"/>
  <c r="Q25" i="1" s="1"/>
  <c r="U16" i="1"/>
  <c r="U7" i="1"/>
  <c r="L22" i="1" l="1"/>
  <c r="N22" i="1" s="1"/>
  <c r="L26" i="1"/>
  <c r="M22" i="1"/>
  <c r="M26" i="1"/>
  <c r="U29" i="1"/>
  <c r="U25" i="1"/>
  <c r="T29" i="1"/>
  <c r="T25" i="1"/>
  <c r="S29" i="1"/>
  <c r="S25" i="1"/>
  <c r="Q47" i="1"/>
  <c r="Q39" i="1"/>
  <c r="U58" i="1" s="1"/>
  <c r="U17" i="1"/>
  <c r="S47" i="1"/>
  <c r="T39" i="1"/>
  <c r="T47" i="1"/>
  <c r="O17" i="1"/>
  <c r="S17" i="1"/>
  <c r="P17" i="1"/>
  <c r="P27" i="1" s="1"/>
  <c r="T17" i="1"/>
  <c r="Q17" i="1"/>
  <c r="S19" i="1" l="1"/>
  <c r="S21" i="1" s="1"/>
  <c r="S27" i="1"/>
  <c r="O19" i="1"/>
  <c r="O21" i="1" s="1"/>
  <c r="O27" i="1"/>
  <c r="Q19" i="1"/>
  <c r="Q21" i="1" s="1"/>
  <c r="Q27" i="1"/>
  <c r="U19" i="1"/>
  <c r="U21" i="1" s="1"/>
  <c r="U27" i="1"/>
  <c r="T19" i="1"/>
  <c r="T21" i="1" s="1"/>
  <c r="T27" i="1"/>
  <c r="P19" i="1"/>
  <c r="P21" i="1" s="1"/>
  <c r="P22" i="1" l="1"/>
  <c r="P26" i="1"/>
  <c r="U22" i="1"/>
  <c r="U26" i="1"/>
  <c r="Q22" i="1"/>
  <c r="Q26" i="1"/>
  <c r="O22" i="1"/>
  <c r="O26" i="1"/>
  <c r="T22" i="1"/>
  <c r="T26" i="1"/>
  <c r="S22" i="1"/>
  <c r="S26" i="1"/>
</calcChain>
</file>

<file path=xl/sharedStrings.xml><?xml version="1.0" encoding="utf-8"?>
<sst xmlns="http://schemas.openxmlformats.org/spreadsheetml/2006/main" count="82" uniqueCount="75">
  <si>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</si>
  <si>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</si>
  <si>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</si>
  <si>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</si>
  <si>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</si>
  <si>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</si>
  <si>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</si>
  <si>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</si>
  <si>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</si>
  <si>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</si>
  <si>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</si>
  <si>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</si>
  <si>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</si>
  <si>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</si>
  <si>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</si>
  <si>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</si>
  <si>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</si>
  <si>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</si>
  <si>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</si>
  <si>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</si>
  <si>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Sales &amp; Operating Revenue</t>
  </si>
  <si>
    <t>Income from Equity affilates</t>
  </si>
  <si>
    <t>Other</t>
  </si>
  <si>
    <t>Revenue</t>
  </si>
  <si>
    <t>Crude Oil Purchases</t>
  </si>
  <si>
    <t>Production &amp; Manufacturing</t>
  </si>
  <si>
    <t>sG&amp;A</t>
  </si>
  <si>
    <t>Depreciation</t>
  </si>
  <si>
    <t>Exploration Expense</t>
  </si>
  <si>
    <t>Retirement</t>
  </si>
  <si>
    <t>Interest Expense</t>
  </si>
  <si>
    <t>Other Tax &amp; duties</t>
  </si>
  <si>
    <t>Operating Cost</t>
  </si>
  <si>
    <t>Pretax Income</t>
  </si>
  <si>
    <t>Tax</t>
  </si>
  <si>
    <t>Income w/ noncontrolling Interest</t>
  </si>
  <si>
    <t>Attributes towards noncontrolling interest</t>
  </si>
  <si>
    <t>Net Income</t>
  </si>
  <si>
    <t>S/O</t>
  </si>
  <si>
    <t>EPS</t>
  </si>
  <si>
    <t>Cash</t>
  </si>
  <si>
    <t>A/R</t>
  </si>
  <si>
    <t>Other Assets</t>
  </si>
  <si>
    <t>PP&amp;E</t>
  </si>
  <si>
    <t>Intangibles</t>
  </si>
  <si>
    <t>Total Assets</t>
  </si>
  <si>
    <t>Crude Oil</t>
  </si>
  <si>
    <t>Materials &amp; Supplies</t>
  </si>
  <si>
    <t>Net Cash</t>
  </si>
  <si>
    <t>Debt</t>
  </si>
  <si>
    <t>A/P</t>
  </si>
  <si>
    <t>Tax payable</t>
  </si>
  <si>
    <t>Deferred IC</t>
  </si>
  <si>
    <t>LT Obligations to Companies</t>
  </si>
  <si>
    <t>Other LT Obligations</t>
  </si>
  <si>
    <t>Total Liabilities</t>
  </si>
  <si>
    <t>Net Cash Y/Y</t>
  </si>
  <si>
    <t>Gross Margin %</t>
  </si>
  <si>
    <t>Income Margin %</t>
  </si>
  <si>
    <t>Tax Rate</t>
  </si>
  <si>
    <t>EPS Y/Y</t>
  </si>
  <si>
    <t xml:space="preserve">Exxon Mobil Cooperation </t>
  </si>
  <si>
    <t>Price</t>
  </si>
  <si>
    <t>MC</t>
  </si>
  <si>
    <t>EV</t>
  </si>
  <si>
    <t>Service/Product</t>
  </si>
  <si>
    <t>Description</t>
  </si>
  <si>
    <t>% of Revenue</t>
  </si>
  <si>
    <t>Notes</t>
  </si>
  <si>
    <t>Incorperated in 1882</t>
  </si>
  <si>
    <t>CL Price</t>
  </si>
  <si>
    <t>Purchased Crude</t>
  </si>
  <si>
    <t>Crude Paid for</t>
  </si>
  <si>
    <t>% of Oil Purchases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</si>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</sst>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3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3" fontId="0" fillId="0" borderId="0" xfId="0" applyNumberFormat="1" applyFont="1"/>
    <xf numFmtId="0" fontId="0" fillId="0" borderId="0" xfId="0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6A23-31A5-4659-9FDA-A6DBA420F5C3}">
  <dimension ref="B3:O20"/>
  <sheetViews>
    <sheetView zoomScale="115" zoomScaleNormal="115" workbookViewId="0">
      <selection activeCell="E21" sqref="E21"/>
    </sheetView>
  </sheetViews>
  <sheetFormatPr defaultRowHeight="15" x14ac:dyDescent="0.25"/>
  <cols>
    <col min="2" max="2" width="15.28515625" bestFit="1" customWidth="1"/>
    <col min="3" max="3" width="11.140625" bestFit="1" customWidth="1"/>
    <col min="4" max="4" width="13.28515625" bestFit="1" customWidth="1"/>
    <col min="5" max="5" width="24.28515625" customWidth="1"/>
  </cols>
  <sheetData>
    <row r="3" spans="2:15" x14ac:dyDescent="0.25">
      <c r="B3" t="s">
        <v>65</v>
      </c>
      <c r="C3" t="s">
        <v>66</v>
      </c>
      <c r="D3" t="s">
        <v>67</v>
      </c>
      <c r="E3" t="s">
        <v>68</v>
      </c>
      <c r="M3" t="s">
        <v>61</v>
      </c>
    </row>
    <row r="4" spans="2:15" x14ac:dyDescent="0.25">
      <c r="M4" t="s">
        <v>62</v>
      </c>
      <c r="N4">
        <v>61.25</v>
      </c>
    </row>
    <row r="5" spans="2:15" x14ac:dyDescent="0.25">
      <c r="M5" t="s">
        <v>38</v>
      </c>
      <c r="N5" s="2">
        <v>4231</v>
      </c>
    </row>
    <row r="6" spans="2:15" x14ac:dyDescent="0.25">
      <c r="M6" t="s">
        <v>63</v>
      </c>
      <c r="N6" s="2">
        <f>+N5*N4</f>
        <v>259148.75</v>
      </c>
      <c r="O6" s="6" t="s">
        <v>18</v>
      </c>
    </row>
    <row r="7" spans="2:15" x14ac:dyDescent="0.25">
      <c r="M7" t="s">
        <v>40</v>
      </c>
      <c r="N7" s="5">
        <f>4768+45641</f>
        <v>50409</v>
      </c>
      <c r="O7" s="6" t="s">
        <v>18</v>
      </c>
    </row>
    <row r="8" spans="2:15" x14ac:dyDescent="0.25">
      <c r="M8" t="s">
        <v>49</v>
      </c>
      <c r="N8" s="5">
        <f>12966+43639</f>
        <v>56605</v>
      </c>
      <c r="O8" s="6" t="s">
        <v>18</v>
      </c>
    </row>
    <row r="9" spans="2:15" x14ac:dyDescent="0.25">
      <c r="M9" t="s">
        <v>64</v>
      </c>
      <c r="N9" s="2">
        <f>+N6-N7+N8</f>
        <v>265344.75</v>
      </c>
    </row>
    <row r="20" spans="2:2" x14ac:dyDescent="0.25">
      <c r="B20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5B388C-044E-475F-A79C-F146B347E453}">
  <dimension ref="B2:AC58"/>
  <sheetViews>
    <sheetView tabSelected="1" zoomScale="115" zoomScaleNormal="115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S13" sqref="S13"/>
    </sheetView>
  </sheetViews>
  <sheetFormatPr defaultRowHeight="15" x14ac:dyDescent="0.25"/>
  <cols>
    <col min="1" max="1" width="5.5703125" customWidth="1"/>
    <col min="2" max="2" width="39.42578125" bestFit="1" customWidth="1"/>
    <col min="19" max="20" width="9.28515625" bestFit="1" customWidth="1"/>
    <col min="21" max="21" width="10.42578125" bestFit="1" customWidth="1"/>
  </cols>
  <sheetData>
    <row r="2" spans="2:29" x14ac:dyDescent="0.25"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17</v>
      </c>
      <c r="U2" t="s">
        <v>18</v>
      </c>
      <c r="V2" t="s">
        <v>19</v>
      </c>
      <c r="Y2">
        <v>2017</v>
      </c>
      <c r="Z2">
        <v>2018</v>
      </c>
      <c r="AA2">
        <v>2019</v>
      </c>
      <c r="AB2">
        <v>2020</v>
      </c>
      <c r="AC2">
        <v>2021</v>
      </c>
    </row>
    <row r="4" spans="2:29" x14ac:dyDescent="0.25">
      <c r="B4" t="s">
        <v>20</v>
      </c>
      <c r="H4" s="2">
        <v>71456</v>
      </c>
      <c r="I4" s="2">
        <v>74187</v>
      </c>
      <c r="J4" s="2">
        <f>279332-SUM(G4:I4)</f>
        <v>133689</v>
      </c>
      <c r="K4" s="2">
        <v>61646</v>
      </c>
      <c r="L4" s="2">
        <v>67491</v>
      </c>
      <c r="M4" s="2">
        <v>63422</v>
      </c>
      <c r="N4" s="2">
        <f>255583-SUM(K4:M4)</f>
        <v>63024</v>
      </c>
      <c r="O4" s="2">
        <v>55134</v>
      </c>
      <c r="P4" s="2">
        <v>32277</v>
      </c>
      <c r="Q4" s="2">
        <v>45425</v>
      </c>
      <c r="R4" s="2">
        <f>178574-SUM(O4:Q4)</f>
        <v>45738</v>
      </c>
      <c r="S4" s="2">
        <v>57552</v>
      </c>
      <c r="T4" s="2">
        <v>65943</v>
      </c>
      <c r="U4" s="2">
        <v>71892</v>
      </c>
    </row>
    <row r="5" spans="2:29" x14ac:dyDescent="0.25">
      <c r="B5" t="s">
        <v>21</v>
      </c>
      <c r="H5" s="2">
        <v>1729</v>
      </c>
      <c r="I5" s="2">
        <v>1960</v>
      </c>
      <c r="J5" s="2">
        <f>7355-SUM(G5:I5)</f>
        <v>3666</v>
      </c>
      <c r="K5" s="2">
        <v>1709</v>
      </c>
      <c r="L5" s="2">
        <v>1359</v>
      </c>
      <c r="M5" s="2">
        <v>1196</v>
      </c>
      <c r="N5" s="2">
        <f>5441-SUM(K5:M5)</f>
        <v>1177</v>
      </c>
      <c r="O5" s="2">
        <v>775</v>
      </c>
      <c r="P5" s="2">
        <v>103</v>
      </c>
      <c r="Q5" s="2">
        <v>517</v>
      </c>
      <c r="R5" s="2">
        <f>1732-SUM(O5:Q5)</f>
        <v>337</v>
      </c>
      <c r="S5" s="2">
        <v>1473</v>
      </c>
      <c r="T5" s="2">
        <v>1436</v>
      </c>
      <c r="U5" s="2">
        <v>1670</v>
      </c>
    </row>
    <row r="6" spans="2:29" x14ac:dyDescent="0.25">
      <c r="B6" t="s">
        <v>22</v>
      </c>
      <c r="H6" s="2">
        <v>316</v>
      </c>
      <c r="I6" s="2">
        <v>458</v>
      </c>
      <c r="J6" s="2">
        <f>3525-SUM(G6:I6)</f>
        <v>2751</v>
      </c>
      <c r="K6" s="2">
        <v>270</v>
      </c>
      <c r="L6" s="2">
        <v>241</v>
      </c>
      <c r="M6" s="2">
        <v>431</v>
      </c>
      <c r="N6" s="2">
        <f>3914-SUM(K6:M6)</f>
        <v>2972</v>
      </c>
      <c r="O6" s="2">
        <v>249</v>
      </c>
      <c r="P6" s="2">
        <v>225</v>
      </c>
      <c r="Q6" s="2">
        <v>257</v>
      </c>
      <c r="R6" s="2">
        <f>1196-SUM(O6:Q6)</f>
        <v>465</v>
      </c>
      <c r="S6" s="2">
        <v>122</v>
      </c>
      <c r="T6" s="2">
        <v>363</v>
      </c>
      <c r="U6" s="2">
        <v>224</v>
      </c>
    </row>
    <row r="7" spans="2:29" x14ac:dyDescent="0.25">
      <c r="B7" s="1" t="s">
        <v>23</v>
      </c>
      <c r="C7" s="1"/>
      <c r="D7" s="1"/>
      <c r="E7" s="1"/>
      <c r="F7" s="1"/>
      <c r="G7" s="1"/>
      <c r="H7" s="3">
        <f t="shared" ref="H7:M7" si="0">+SUM(H4:H6)</f>
        <v>73501</v>
      </c>
      <c r="I7" s="3">
        <f t="shared" si="0"/>
        <v>76605</v>
      </c>
      <c r="J7" s="3">
        <f t="shared" si="0"/>
        <v>140106</v>
      </c>
      <c r="K7" s="3">
        <f t="shared" si="0"/>
        <v>63625</v>
      </c>
      <c r="L7" s="3">
        <f t="shared" si="0"/>
        <v>69091</v>
      </c>
      <c r="M7" s="3">
        <f t="shared" si="0"/>
        <v>65049</v>
      </c>
      <c r="N7" s="3">
        <f>SUM(N4:N6)</f>
        <v>67173</v>
      </c>
      <c r="O7" s="3">
        <f>+SUM(O4:O6)</f>
        <v>56158</v>
      </c>
      <c r="P7" s="3">
        <f>+SUM(P4:P6)</f>
        <v>32605</v>
      </c>
      <c r="Q7" s="3">
        <f>+SUM(Q4:Q6)</f>
        <v>46199</v>
      </c>
      <c r="R7" s="3">
        <f>SUM(R4:R6)</f>
        <v>46540</v>
      </c>
      <c r="S7" s="3">
        <f>+SUM(S4:S6)</f>
        <v>59147</v>
      </c>
      <c r="T7" s="3">
        <f>+SUM(T4:T6)</f>
        <v>67742</v>
      </c>
      <c r="U7" s="3">
        <f>+SUM(U4:U6)</f>
        <v>73786</v>
      </c>
    </row>
    <row r="8" spans="2:29" x14ac:dyDescent="0.25">
      <c r="B8" t="s">
        <v>24</v>
      </c>
      <c r="H8" s="2">
        <v>41327</v>
      </c>
      <c r="I8" s="2">
        <v>41776</v>
      </c>
      <c r="J8" s="2">
        <f>156172-SUM(G8:I8)</f>
        <v>73069</v>
      </c>
      <c r="K8" s="2">
        <v>34801</v>
      </c>
      <c r="L8" s="2">
        <v>38942</v>
      </c>
      <c r="M8" s="2">
        <v>35290</v>
      </c>
      <c r="N8" s="2">
        <f>143801-SUM(K8:M8)</f>
        <v>34768</v>
      </c>
      <c r="O8" s="2">
        <v>32083</v>
      </c>
      <c r="P8" s="2">
        <v>14069</v>
      </c>
      <c r="Q8" s="2">
        <v>23950</v>
      </c>
      <c r="R8" s="2">
        <f>94007-SUM(O8:Q8)</f>
        <v>23905</v>
      </c>
      <c r="S8" s="2">
        <v>32601</v>
      </c>
      <c r="T8" s="2">
        <v>37329</v>
      </c>
      <c r="U8" s="2">
        <v>39745</v>
      </c>
    </row>
    <row r="9" spans="2:29" x14ac:dyDescent="0.25">
      <c r="B9" t="s">
        <v>25</v>
      </c>
      <c r="H9" s="2">
        <v>8918</v>
      </c>
      <c r="I9" s="2">
        <v>9097</v>
      </c>
      <c r="J9" s="2">
        <f>36682-SUM(G9:I9)</f>
        <v>18667</v>
      </c>
      <c r="K9" s="2">
        <v>8970</v>
      </c>
      <c r="L9" s="2">
        <v>9522</v>
      </c>
      <c r="M9" s="2">
        <v>8848</v>
      </c>
      <c r="N9" s="2">
        <f>36826-SUM(K9:M9)</f>
        <v>9486</v>
      </c>
      <c r="O9" s="2">
        <v>8297</v>
      </c>
      <c r="P9" s="2">
        <v>6895</v>
      </c>
      <c r="Q9" s="2">
        <v>7103</v>
      </c>
      <c r="R9" s="2">
        <f>30431-SUM(O9:Q9)</f>
        <v>8136</v>
      </c>
      <c r="S9" s="2">
        <v>8062</v>
      </c>
      <c r="T9" s="2">
        <v>8471</v>
      </c>
      <c r="U9" s="2">
        <v>8719</v>
      </c>
    </row>
    <row r="10" spans="2:29" x14ac:dyDescent="0.25">
      <c r="B10" t="s">
        <v>26</v>
      </c>
      <c r="H10" s="2">
        <v>2993</v>
      </c>
      <c r="I10" s="2">
        <v>2892</v>
      </c>
      <c r="J10" s="2">
        <f>11480-SUM(G10:I10)</f>
        <v>5595</v>
      </c>
      <c r="K10" s="2">
        <v>2770</v>
      </c>
      <c r="L10" s="2">
        <v>2827</v>
      </c>
      <c r="M10" s="2">
        <v>2753</v>
      </c>
      <c r="N10" s="2">
        <f>11398-SUM(K10:M10)</f>
        <v>3048</v>
      </c>
      <c r="O10" s="2">
        <v>2579</v>
      </c>
      <c r="P10" s="2">
        <v>2409</v>
      </c>
      <c r="Q10" s="2">
        <v>2444</v>
      </c>
      <c r="R10" s="2">
        <f>10168-SUM(O10:Q10)</f>
        <v>2736</v>
      </c>
      <c r="S10" s="2">
        <v>2428</v>
      </c>
      <c r="T10" s="2">
        <v>2345</v>
      </c>
      <c r="U10" s="2">
        <v>2287</v>
      </c>
    </row>
    <row r="11" spans="2:29" x14ac:dyDescent="0.25">
      <c r="B11" t="s">
        <v>27</v>
      </c>
      <c r="H11" s="2">
        <v>4589</v>
      </c>
      <c r="I11" s="2">
        <v>4658</v>
      </c>
      <c r="J11" s="2">
        <f>18745-SUM(G11:I11)</f>
        <v>9498</v>
      </c>
      <c r="K11" s="2">
        <v>4571</v>
      </c>
      <c r="L11" s="2">
        <v>4631</v>
      </c>
      <c r="M11" s="2">
        <v>4873</v>
      </c>
      <c r="N11" s="2">
        <f>18998-SUM(K11:M11)</f>
        <v>4923</v>
      </c>
      <c r="O11" s="2">
        <v>5819</v>
      </c>
      <c r="P11" s="2">
        <v>4916</v>
      </c>
      <c r="Q11" s="2">
        <v>4983</v>
      </c>
      <c r="R11" s="2">
        <f>46009-SUM(O11:Q11)</f>
        <v>30291</v>
      </c>
      <c r="S11" s="2">
        <v>5004</v>
      </c>
      <c r="T11" s="2">
        <v>4952</v>
      </c>
      <c r="U11" s="2">
        <v>4990</v>
      </c>
    </row>
    <row r="12" spans="2:29" x14ac:dyDescent="0.25">
      <c r="B12" t="s">
        <v>28</v>
      </c>
      <c r="H12" s="2">
        <v>332</v>
      </c>
      <c r="I12" s="2">
        <v>292</v>
      </c>
      <c r="J12" s="2">
        <f>1466-SUM(G12:I12)</f>
        <v>842</v>
      </c>
      <c r="K12" s="2">
        <v>280</v>
      </c>
      <c r="L12" s="2">
        <v>333</v>
      </c>
      <c r="M12" s="2">
        <v>299</v>
      </c>
      <c r="N12" s="2">
        <f>1269-SUM(K12:M12)</f>
        <v>357</v>
      </c>
      <c r="O12" s="2">
        <v>288</v>
      </c>
      <c r="P12" s="2">
        <v>214</v>
      </c>
      <c r="Q12" s="2">
        <v>188</v>
      </c>
      <c r="R12" s="2">
        <f>1285-SUM(O12:Q12)</f>
        <v>595</v>
      </c>
      <c r="S12" s="2">
        <v>164</v>
      </c>
      <c r="T12" s="2">
        <v>176</v>
      </c>
      <c r="U12" s="2">
        <v>190</v>
      </c>
    </row>
    <row r="13" spans="2:29" x14ac:dyDescent="0.25">
      <c r="B13" t="s">
        <v>29</v>
      </c>
      <c r="H13" s="2">
        <v>308</v>
      </c>
      <c r="I13" s="2">
        <v>307</v>
      </c>
      <c r="J13" s="2">
        <f>1285-SUM(G13:I13)</f>
        <v>670</v>
      </c>
      <c r="K13" s="2">
        <v>358</v>
      </c>
      <c r="L13" s="2">
        <v>313</v>
      </c>
      <c r="M13" s="2">
        <v>357</v>
      </c>
      <c r="N13" s="2">
        <f>1235-SUM(K13:M13)</f>
        <v>207</v>
      </c>
      <c r="O13" s="2">
        <v>269</v>
      </c>
      <c r="P13" s="2">
        <v>271</v>
      </c>
      <c r="Q13" s="2">
        <v>272</v>
      </c>
      <c r="R13" s="2">
        <f>1205-SUM(O13:Q13)</f>
        <v>393</v>
      </c>
      <c r="S13" s="2">
        <v>378</v>
      </c>
      <c r="T13" s="2">
        <v>162</v>
      </c>
      <c r="U13" s="2">
        <v>146</v>
      </c>
    </row>
    <row r="14" spans="2:29" x14ac:dyDescent="0.25">
      <c r="B14" t="s">
        <v>30</v>
      </c>
      <c r="H14" s="2">
        <v>147</v>
      </c>
      <c r="I14" s="2">
        <v>200</v>
      </c>
      <c r="J14" s="2">
        <f>766-SUM(G14:I14)</f>
        <v>419</v>
      </c>
      <c r="K14" s="2">
        <v>181</v>
      </c>
      <c r="L14" s="2">
        <v>216</v>
      </c>
      <c r="M14" s="2">
        <v>232</v>
      </c>
      <c r="N14" s="2">
        <f>830-SUM(K14:M14)</f>
        <v>201</v>
      </c>
      <c r="O14" s="2">
        <v>249</v>
      </c>
      <c r="P14" s="2">
        <v>317</v>
      </c>
      <c r="Q14" s="2">
        <v>279</v>
      </c>
      <c r="R14" s="2">
        <f>1158-SUM(O14:Q14)</f>
        <v>313</v>
      </c>
      <c r="S14" s="2">
        <v>258</v>
      </c>
      <c r="T14" s="2">
        <v>254</v>
      </c>
      <c r="U14" s="2">
        <v>214</v>
      </c>
    </row>
    <row r="15" spans="2:29" x14ac:dyDescent="0.25">
      <c r="B15" t="s">
        <v>31</v>
      </c>
      <c r="H15" s="2">
        <v>8375</v>
      </c>
      <c r="I15" s="2">
        <v>8303</v>
      </c>
      <c r="J15" s="2">
        <f>32663-SUM(G15:I15)</f>
        <v>15985</v>
      </c>
      <c r="K15" s="2">
        <v>7405</v>
      </c>
      <c r="L15" s="2">
        <v>7675</v>
      </c>
      <c r="M15" s="2">
        <v>7676</v>
      </c>
      <c r="N15" s="2">
        <f>30525-SUM(K15:M15)</f>
        <v>7769</v>
      </c>
      <c r="O15" s="2">
        <v>6832</v>
      </c>
      <c r="P15" s="2">
        <v>5154</v>
      </c>
      <c r="Q15" s="2">
        <v>7352</v>
      </c>
      <c r="R15" s="2">
        <f>26122-SUM(O15:Q15)</f>
        <v>6784</v>
      </c>
      <c r="S15" s="2">
        <v>6660</v>
      </c>
      <c r="T15" s="2">
        <v>7746</v>
      </c>
      <c r="U15" s="2">
        <v>7889</v>
      </c>
    </row>
    <row r="16" spans="2:29" x14ac:dyDescent="0.25">
      <c r="B16" t="s">
        <v>32</v>
      </c>
      <c r="H16" s="2">
        <f t="shared" ref="H16:R16" si="1">+SUM(H8:H15)</f>
        <v>66989</v>
      </c>
      <c r="I16" s="2">
        <f t="shared" si="1"/>
        <v>67525</v>
      </c>
      <c r="J16" s="2">
        <f t="shared" si="1"/>
        <v>124745</v>
      </c>
      <c r="K16" s="2">
        <f t="shared" si="1"/>
        <v>59336</v>
      </c>
      <c r="L16" s="2">
        <f t="shared" si="1"/>
        <v>64459</v>
      </c>
      <c r="M16" s="2">
        <f t="shared" si="1"/>
        <v>60328</v>
      </c>
      <c r="N16" s="2">
        <f t="shared" si="1"/>
        <v>60759</v>
      </c>
      <c r="O16" s="2">
        <f t="shared" si="1"/>
        <v>56416</v>
      </c>
      <c r="P16" s="2">
        <f t="shared" si="1"/>
        <v>34245</v>
      </c>
      <c r="Q16" s="2">
        <f t="shared" si="1"/>
        <v>46571</v>
      </c>
      <c r="R16" s="2">
        <f>+SUM(R8:R15)</f>
        <v>73153</v>
      </c>
      <c r="S16" s="2">
        <f>+SUM(S8:S15)</f>
        <v>55555</v>
      </c>
      <c r="T16" s="2">
        <f>+SUM(T8:T15)</f>
        <v>61435</v>
      </c>
      <c r="U16" s="2">
        <f>+SUM(U8:U15)</f>
        <v>64180</v>
      </c>
    </row>
    <row r="17" spans="2:21" x14ac:dyDescent="0.25">
      <c r="B17" t="s">
        <v>33</v>
      </c>
      <c r="H17" s="2">
        <f t="shared" ref="H17:R17" si="2">+H7-H16</f>
        <v>6512</v>
      </c>
      <c r="I17" s="2">
        <f t="shared" si="2"/>
        <v>9080</v>
      </c>
      <c r="J17" s="2">
        <f t="shared" si="2"/>
        <v>15361</v>
      </c>
      <c r="K17" s="2">
        <f t="shared" si="2"/>
        <v>4289</v>
      </c>
      <c r="L17" s="2">
        <f t="shared" si="2"/>
        <v>4632</v>
      </c>
      <c r="M17" s="2">
        <f t="shared" si="2"/>
        <v>4721</v>
      </c>
      <c r="N17" s="2">
        <f t="shared" si="2"/>
        <v>6414</v>
      </c>
      <c r="O17" s="2">
        <f t="shared" si="2"/>
        <v>-258</v>
      </c>
      <c r="P17" s="2">
        <f t="shared" si="2"/>
        <v>-1640</v>
      </c>
      <c r="Q17" s="2">
        <f t="shared" si="2"/>
        <v>-372</v>
      </c>
      <c r="R17" s="2">
        <f>+R7-R16</f>
        <v>-26613</v>
      </c>
      <c r="S17" s="2">
        <f>+S7-S16</f>
        <v>3592</v>
      </c>
      <c r="T17" s="2">
        <f>+T7-T16</f>
        <v>6307</v>
      </c>
      <c r="U17" s="2">
        <f>+U7-U16</f>
        <v>9606</v>
      </c>
    </row>
    <row r="18" spans="2:21" x14ac:dyDescent="0.25">
      <c r="B18" t="s">
        <v>34</v>
      </c>
      <c r="H18">
        <v>2526</v>
      </c>
      <c r="I18">
        <v>2634</v>
      </c>
      <c r="J18" s="2">
        <f>9532-SUM(G18:I18)</f>
        <v>4372</v>
      </c>
      <c r="K18">
        <v>1883</v>
      </c>
      <c r="L18">
        <v>1241</v>
      </c>
      <c r="M18">
        <v>1474</v>
      </c>
      <c r="N18" s="2">
        <f>5282-SUM(K18:M18)</f>
        <v>684</v>
      </c>
      <c r="O18">
        <v>512</v>
      </c>
      <c r="P18">
        <v>-471</v>
      </c>
      <c r="Q18">
        <v>337</v>
      </c>
      <c r="R18" s="2">
        <f>-5632-SUM(O18:Q18)</f>
        <v>-6010</v>
      </c>
      <c r="S18">
        <v>796</v>
      </c>
      <c r="T18">
        <v>1526</v>
      </c>
      <c r="U18">
        <v>2664</v>
      </c>
    </row>
    <row r="19" spans="2:21" x14ac:dyDescent="0.25">
      <c r="B19" t="s">
        <v>35</v>
      </c>
      <c r="H19" s="2">
        <f t="shared" ref="H19:R19" si="3">+H17-H18</f>
        <v>3986</v>
      </c>
      <c r="I19" s="2">
        <f t="shared" si="3"/>
        <v>6446</v>
      </c>
      <c r="J19" s="2">
        <f t="shared" si="3"/>
        <v>10989</v>
      </c>
      <c r="K19" s="2">
        <f t="shared" si="3"/>
        <v>2406</v>
      </c>
      <c r="L19" s="2">
        <f t="shared" si="3"/>
        <v>3391</v>
      </c>
      <c r="M19" s="2">
        <f t="shared" si="3"/>
        <v>3247</v>
      </c>
      <c r="N19" s="2">
        <f t="shared" si="3"/>
        <v>5730</v>
      </c>
      <c r="O19" s="2">
        <f t="shared" si="3"/>
        <v>-770</v>
      </c>
      <c r="P19" s="2">
        <f t="shared" si="3"/>
        <v>-1169</v>
      </c>
      <c r="Q19" s="2">
        <f t="shared" si="3"/>
        <v>-709</v>
      </c>
      <c r="R19" s="2">
        <f>+R17-R18</f>
        <v>-20603</v>
      </c>
      <c r="S19" s="2">
        <f>+S17-S18</f>
        <v>2796</v>
      </c>
      <c r="T19" s="2">
        <f>+T17-T18</f>
        <v>4781</v>
      </c>
      <c r="U19" s="2">
        <f>+U17-U18</f>
        <v>6942</v>
      </c>
    </row>
    <row r="20" spans="2:21" x14ac:dyDescent="0.25">
      <c r="B20" t="s">
        <v>36</v>
      </c>
      <c r="H20">
        <v>36</v>
      </c>
      <c r="I20">
        <v>206</v>
      </c>
      <c r="J20" s="2">
        <f>581-SUM(G20:I20)</f>
        <v>339</v>
      </c>
      <c r="K20">
        <v>56</v>
      </c>
      <c r="L20">
        <v>261</v>
      </c>
      <c r="M20">
        <v>77</v>
      </c>
      <c r="N20" s="2">
        <f>434-SUM(K20:M20)</f>
        <v>40</v>
      </c>
      <c r="O20">
        <v>-160</v>
      </c>
      <c r="P20">
        <v>-89</v>
      </c>
      <c r="Q20">
        <v>-29</v>
      </c>
      <c r="R20" s="2">
        <f>-811-SUM(O20:Q20)</f>
        <v>-533</v>
      </c>
      <c r="S20">
        <v>66</v>
      </c>
      <c r="T20">
        <v>91</v>
      </c>
      <c r="U20">
        <v>192</v>
      </c>
    </row>
    <row r="21" spans="2:21" x14ac:dyDescent="0.25">
      <c r="B21" s="1" t="s">
        <v>37</v>
      </c>
      <c r="C21" s="1"/>
      <c r="D21" s="1"/>
      <c r="E21" s="1"/>
      <c r="F21" s="1"/>
      <c r="G21" s="1"/>
      <c r="H21" s="3">
        <f t="shared" ref="H21:R21" si="4">+H19-H20</f>
        <v>3950</v>
      </c>
      <c r="I21" s="3">
        <f t="shared" si="4"/>
        <v>6240</v>
      </c>
      <c r="J21" s="3">
        <f t="shared" si="4"/>
        <v>10650</v>
      </c>
      <c r="K21" s="3">
        <f t="shared" si="4"/>
        <v>2350</v>
      </c>
      <c r="L21" s="3">
        <f t="shared" si="4"/>
        <v>3130</v>
      </c>
      <c r="M21" s="3">
        <f t="shared" si="4"/>
        <v>3170</v>
      </c>
      <c r="N21" s="3">
        <f t="shared" si="4"/>
        <v>5690</v>
      </c>
      <c r="O21" s="3">
        <f t="shared" si="4"/>
        <v>-610</v>
      </c>
      <c r="P21" s="3">
        <f t="shared" si="4"/>
        <v>-1080</v>
      </c>
      <c r="Q21" s="3">
        <f t="shared" si="4"/>
        <v>-680</v>
      </c>
      <c r="R21" s="3">
        <f>+R19-R20</f>
        <v>-20070</v>
      </c>
      <c r="S21" s="3">
        <f>+S19-S20</f>
        <v>2730</v>
      </c>
      <c r="T21" s="3">
        <f>+T19-T20</f>
        <v>4690</v>
      </c>
      <c r="U21" s="3">
        <f>+U19-U20</f>
        <v>6750</v>
      </c>
    </row>
    <row r="22" spans="2:21" x14ac:dyDescent="0.25">
      <c r="B22" t="s">
        <v>38</v>
      </c>
      <c r="H22" s="2">
        <f>+H21*H23</f>
        <v>3634</v>
      </c>
      <c r="I22" s="2">
        <f>+I21*I23</f>
        <v>9110.4</v>
      </c>
      <c r="J22">
        <f>+AVERAGE(G22:I22)</f>
        <v>6372.2</v>
      </c>
      <c r="K22" s="2">
        <f>+K21*K23</f>
        <v>1292.5</v>
      </c>
      <c r="L22" s="2">
        <f>+L21*L23</f>
        <v>2284.9</v>
      </c>
      <c r="M22" s="2">
        <f>+M21*M23</f>
        <v>2377.5</v>
      </c>
      <c r="N22" s="2">
        <f>+AVERAGE(K22:M22)</f>
        <v>1984.9666666666665</v>
      </c>
      <c r="O22" s="2">
        <f>+O21*O23</f>
        <v>85.4</v>
      </c>
      <c r="P22" s="2">
        <f>+P21*P23</f>
        <v>280.8</v>
      </c>
      <c r="Q22" s="2">
        <f>+Q21*Q23</f>
        <v>102</v>
      </c>
      <c r="R22" s="2">
        <f>+AVERAGE(O22:Q22)</f>
        <v>156.06666666666669</v>
      </c>
      <c r="S22" s="2">
        <f>+S21*S23</f>
        <v>1747.2</v>
      </c>
      <c r="T22" s="2">
        <f>+T21*T23</f>
        <v>5159</v>
      </c>
      <c r="U22" s="2">
        <f>+U21*U23</f>
        <v>10597.5</v>
      </c>
    </row>
    <row r="23" spans="2:21" x14ac:dyDescent="0.25">
      <c r="B23" t="s">
        <v>39</v>
      </c>
      <c r="H23">
        <v>0.92</v>
      </c>
      <c r="I23">
        <v>1.46</v>
      </c>
      <c r="J23">
        <f>+AVERAGE(G23:I23)</f>
        <v>1.19</v>
      </c>
      <c r="K23">
        <v>0.55000000000000004</v>
      </c>
      <c r="L23">
        <v>0.73</v>
      </c>
      <c r="M23">
        <v>0.75</v>
      </c>
      <c r="N23" s="7">
        <f>+AVERAGE(K23:M23)</f>
        <v>0.67666666666666675</v>
      </c>
      <c r="O23">
        <v>-0.14000000000000001</v>
      </c>
      <c r="P23">
        <v>-0.26</v>
      </c>
      <c r="Q23">
        <v>-0.15</v>
      </c>
      <c r="R23" s="7">
        <f>+AVERAGE(O23:Q23)</f>
        <v>-0.18333333333333335</v>
      </c>
      <c r="S23">
        <v>0.64</v>
      </c>
      <c r="T23">
        <v>1.1000000000000001</v>
      </c>
      <c r="U23">
        <v>1.57</v>
      </c>
    </row>
    <row r="25" spans="2:21" x14ac:dyDescent="0.25">
      <c r="B25" t="s">
        <v>57</v>
      </c>
      <c r="L25" s="4">
        <f>+(L8+L9)/L7</f>
        <v>0.7014517086161729</v>
      </c>
      <c r="M25" s="4">
        <f t="shared" ref="M25:N25" si="5">+(M8+M9)/M7</f>
        <v>0.67853464311519007</v>
      </c>
      <c r="N25" s="4">
        <f t="shared" si="5"/>
        <v>0.65880636565286643</v>
      </c>
      <c r="O25" s="4">
        <f t="shared" ref="O25:T25" si="6">+(O8+O9)/O7</f>
        <v>0.71904270095088851</v>
      </c>
      <c r="P25" s="4">
        <f t="shared" si="6"/>
        <v>0.64296886980524459</v>
      </c>
      <c r="Q25" s="4">
        <f t="shared" si="6"/>
        <v>0.67215740600445895</v>
      </c>
      <c r="R25" s="4">
        <f t="shared" ref="R25" si="7">+(R8+R9)/R7</f>
        <v>0.68846153846153846</v>
      </c>
      <c r="S25" s="4">
        <f t="shared" si="6"/>
        <v>0.68749048979660843</v>
      </c>
      <c r="T25" s="4">
        <f t="shared" si="6"/>
        <v>0.67609459419562457</v>
      </c>
      <c r="U25" s="4">
        <f>+(U8+U9)/U7</f>
        <v>0.65681836662781556</v>
      </c>
    </row>
    <row r="26" spans="2:21" x14ac:dyDescent="0.25">
      <c r="B26" t="s">
        <v>58</v>
      </c>
      <c r="L26" s="4">
        <f>+L21/L7</f>
        <v>4.5302571970300042E-2</v>
      </c>
      <c r="M26" s="4">
        <f t="shared" ref="M26:N26" si="8">+M21/M7</f>
        <v>4.8732493966087101E-2</v>
      </c>
      <c r="N26" s="4">
        <f t="shared" si="8"/>
        <v>8.4706652970687621E-2</v>
      </c>
      <c r="O26" s="4">
        <f t="shared" ref="O26:T26" si="9">+O21/O7</f>
        <v>-1.0862210192670679E-2</v>
      </c>
      <c r="P26" s="4">
        <f t="shared" si="9"/>
        <v>-3.3123754025456219E-2</v>
      </c>
      <c r="Q26" s="4">
        <f t="shared" si="9"/>
        <v>-1.4718933310244811E-2</v>
      </c>
      <c r="R26" s="4">
        <f t="shared" ref="R26" si="10">+R21/R7</f>
        <v>-0.43124194241512676</v>
      </c>
      <c r="S26" s="4">
        <f t="shared" si="9"/>
        <v>4.6156187126988692E-2</v>
      </c>
      <c r="T26" s="4">
        <f t="shared" si="9"/>
        <v>6.923326739688819E-2</v>
      </c>
      <c r="U26" s="4">
        <f>+U21/U7</f>
        <v>9.1480768709511287E-2</v>
      </c>
    </row>
    <row r="27" spans="2:21" x14ac:dyDescent="0.25">
      <c r="B27" t="s">
        <v>59</v>
      </c>
      <c r="L27" s="4">
        <f>+L18/L17</f>
        <v>0.26791882556131263</v>
      </c>
      <c r="M27" s="4">
        <f t="shared" ref="M27:N27" si="11">+M18/M17</f>
        <v>0.31222198686718916</v>
      </c>
      <c r="N27" s="4">
        <f t="shared" si="11"/>
        <v>0.10664172123479888</v>
      </c>
      <c r="O27" s="4">
        <f>+O18/O17</f>
        <v>-1.9844961240310077</v>
      </c>
      <c r="P27" s="4">
        <f t="shared" ref="P27:T27" si="12">+P18/P17</f>
        <v>0.28719512195121949</v>
      </c>
      <c r="Q27" s="4">
        <f t="shared" si="12"/>
        <v>-0.90591397849462363</v>
      </c>
      <c r="R27" s="4">
        <f t="shared" ref="R27" si="13">+R18/R17</f>
        <v>0.22582948183218729</v>
      </c>
      <c r="S27" s="4">
        <f t="shared" si="12"/>
        <v>0.22160356347438753</v>
      </c>
      <c r="T27" s="4">
        <f t="shared" si="12"/>
        <v>0.24195338512763595</v>
      </c>
      <c r="U27" s="4">
        <f>+U18/U17</f>
        <v>0.27732667083073081</v>
      </c>
    </row>
    <row r="29" spans="2:21" x14ac:dyDescent="0.25">
      <c r="B29" t="s">
        <v>74</v>
      </c>
      <c r="H29" s="4"/>
      <c r="I29" s="4"/>
      <c r="J29" s="4"/>
      <c r="K29" s="4"/>
      <c r="L29" s="4">
        <f t="shared" ref="L29" si="14">+L7/H7-1</f>
        <v>-5.9999183684575685E-2</v>
      </c>
      <c r="M29" s="4">
        <f t="shared" ref="M29" si="15">+M7/I7-1</f>
        <v>-0.15085177207754064</v>
      </c>
      <c r="N29" s="4">
        <f t="shared" ref="N29" si="16">+N7/J7-1</f>
        <v>-0.52055586484518868</v>
      </c>
      <c r="O29" s="4">
        <f t="shared" ref="O29" si="17">+O7/K7-1</f>
        <v>-0.11735952848722986</v>
      </c>
      <c r="P29" s="4">
        <f t="shared" ref="P29" si="18">+P7/L7-1</f>
        <v>-0.52808614725506942</v>
      </c>
      <c r="Q29" s="4">
        <f t="shared" ref="Q29" si="19">+Q7/M7-1</f>
        <v>-0.28978154929360944</v>
      </c>
      <c r="R29" s="4">
        <f t="shared" ref="R29:T29" si="20">+R7/N7-1</f>
        <v>-0.30716210382147591</v>
      </c>
      <c r="S29" s="4">
        <f t="shared" si="20"/>
        <v>5.3224829944086283E-2</v>
      </c>
      <c r="T29" s="4">
        <f t="shared" si="20"/>
        <v>1.077656801104125</v>
      </c>
      <c r="U29" s="4">
        <f>+U7/Q7-1</f>
        <v>0.59713413710253471</v>
      </c>
    </row>
    <row r="30" spans="2:21" x14ac:dyDescent="0.25">
      <c r="B30" t="s">
        <v>60</v>
      </c>
      <c r="H30" s="4"/>
      <c r="I30" s="4"/>
      <c r="J30" s="4"/>
      <c r="K30" s="4"/>
      <c r="L30" s="4">
        <f t="shared" ref="L30:T30" si="21">(L23-H23)/ABS(H23)</f>
        <v>-0.20652173913043484</v>
      </c>
      <c r="M30" s="4">
        <f t="shared" si="21"/>
        <v>-0.4863013698630137</v>
      </c>
      <c r="N30" s="4">
        <f t="shared" si="21"/>
        <v>-0.43137254901960775</v>
      </c>
      <c r="O30" s="4">
        <f t="shared" si="21"/>
        <v>-1.2545454545454546</v>
      </c>
      <c r="P30" s="4">
        <f t="shared" si="21"/>
        <v>-1.3561643835616439</v>
      </c>
      <c r="Q30" s="4">
        <f t="shared" si="21"/>
        <v>-1.2</v>
      </c>
      <c r="R30" s="4">
        <f t="shared" si="21"/>
        <v>-1.270935960591133</v>
      </c>
      <c r="S30" s="4">
        <f t="shared" si="21"/>
        <v>5.5714285714285712</v>
      </c>
      <c r="T30" s="4">
        <f t="shared" si="21"/>
        <v>5.2307692307692308</v>
      </c>
      <c r="U30" s="4">
        <f>(U23-Q23)/ABS(Q23)</f>
        <v>11.466666666666667</v>
      </c>
    </row>
    <row r="32" spans="2:21" x14ac:dyDescent="0.25">
      <c r="B32" t="s">
        <v>71</v>
      </c>
      <c r="Q32">
        <v>37</v>
      </c>
      <c r="U32">
        <v>40</v>
      </c>
    </row>
    <row r="33" spans="2:21" x14ac:dyDescent="0.25">
      <c r="B33" t="s">
        <v>70</v>
      </c>
      <c r="Q33">
        <v>38.380000000000003</v>
      </c>
      <c r="S33" s="7">
        <v>54.9</v>
      </c>
      <c r="T33" s="7">
        <v>64.599999999999994</v>
      </c>
      <c r="U33" s="7">
        <v>81</v>
      </c>
    </row>
    <row r="34" spans="2:21" x14ac:dyDescent="0.25">
      <c r="B34" t="s">
        <v>72</v>
      </c>
      <c r="N34" s="2">
        <v>55610</v>
      </c>
      <c r="O34" s="2">
        <v>42820</v>
      </c>
      <c r="P34" s="2">
        <v>21790</v>
      </c>
      <c r="Q34" s="2">
        <v>36800</v>
      </c>
      <c r="R34" s="2">
        <v>39060</v>
      </c>
      <c r="U34" s="2">
        <f>+U33*U32</f>
        <v>3240</v>
      </c>
    </row>
    <row r="35" spans="2:21" x14ac:dyDescent="0.25">
      <c r="B35" t="s">
        <v>73</v>
      </c>
      <c r="N35" s="4">
        <f t="shared" ref="N35:P35" si="22">+N34/N7</f>
        <v>0.8278623851845236</v>
      </c>
      <c r="O35" s="4">
        <f t="shared" si="22"/>
        <v>0.7624915417215713</v>
      </c>
      <c r="P35" s="4">
        <f t="shared" si="22"/>
        <v>0.66830240760619541</v>
      </c>
      <c r="Q35" s="4">
        <f>+Q34/Q7</f>
        <v>0.79655403796618973</v>
      </c>
      <c r="R35" s="4">
        <f t="shared" ref="R35" si="23">+R34/R7</f>
        <v>0.8392780403953588</v>
      </c>
      <c r="U35" s="4">
        <f>+U34/U7</f>
        <v>4.3910768980565416E-2</v>
      </c>
    </row>
    <row r="39" spans="2:21" x14ac:dyDescent="0.25">
      <c r="B39" t="s">
        <v>48</v>
      </c>
      <c r="I39" s="2">
        <f>+I40-I49</f>
        <v>6036</v>
      </c>
      <c r="M39" s="2">
        <f>+M40-M49</f>
        <v>1125</v>
      </c>
      <c r="P39" s="2"/>
      <c r="Q39" s="2">
        <f>+Q40-Q49</f>
        <v>-19761</v>
      </c>
      <c r="S39" s="2">
        <f>+S40-S49</f>
        <v>2559</v>
      </c>
      <c r="T39" s="2">
        <f>+T40-T49</f>
        <v>-12373</v>
      </c>
      <c r="U39" s="2">
        <f>+U40-U49</f>
        <v>-6196</v>
      </c>
    </row>
    <row r="40" spans="2:21" s="1" customFormat="1" x14ac:dyDescent="0.25">
      <c r="B40" s="1" t="s">
        <v>40</v>
      </c>
      <c r="I40" s="3">
        <f>3042+40790</f>
        <v>43832</v>
      </c>
      <c r="M40" s="1">
        <f>5351+42920</f>
        <v>48271</v>
      </c>
      <c r="P40" s="3"/>
      <c r="Q40" s="3">
        <f>4364+43515</f>
        <v>47879</v>
      </c>
      <c r="S40" s="3">
        <f>3515+44181</f>
        <v>47696</v>
      </c>
      <c r="T40" s="3">
        <f>3465+44774</f>
        <v>48239</v>
      </c>
      <c r="U40" s="3">
        <f>4768+45641</f>
        <v>50409</v>
      </c>
    </row>
    <row r="41" spans="2:21" x14ac:dyDescent="0.25">
      <c r="B41" t="s">
        <v>41</v>
      </c>
      <c r="I41" s="2">
        <v>24701</v>
      </c>
      <c r="M41" s="2">
        <v>25308</v>
      </c>
      <c r="P41" s="2"/>
      <c r="Q41" s="2">
        <v>20581</v>
      </c>
      <c r="S41" s="2">
        <v>24755</v>
      </c>
      <c r="T41" s="2">
        <v>28540</v>
      </c>
      <c r="U41" s="2">
        <v>29516</v>
      </c>
    </row>
    <row r="42" spans="2:21" x14ac:dyDescent="0.25">
      <c r="B42" t="s">
        <v>46</v>
      </c>
      <c r="I42" s="2">
        <v>14803</v>
      </c>
      <c r="M42" s="2">
        <v>13131</v>
      </c>
      <c r="P42" s="2"/>
      <c r="Q42" s="2">
        <v>14169</v>
      </c>
      <c r="S42" s="2">
        <v>13740</v>
      </c>
      <c r="T42" s="2">
        <v>14711</v>
      </c>
      <c r="U42" s="2">
        <v>15087</v>
      </c>
    </row>
    <row r="43" spans="2:21" x14ac:dyDescent="0.25">
      <c r="B43" t="s">
        <v>47</v>
      </c>
      <c r="I43" s="2">
        <v>4155</v>
      </c>
      <c r="M43" s="2">
        <v>4459</v>
      </c>
      <c r="P43" s="2"/>
      <c r="Q43" s="2">
        <v>4681</v>
      </c>
      <c r="S43" s="2">
        <v>4617</v>
      </c>
      <c r="T43" s="2">
        <v>4564</v>
      </c>
      <c r="U43" s="2">
        <v>4520</v>
      </c>
    </row>
    <row r="44" spans="2:21" x14ac:dyDescent="0.25">
      <c r="B44" t="s">
        <v>42</v>
      </c>
      <c r="I44" s="2">
        <v>1272</v>
      </c>
      <c r="M44" s="2">
        <v>1759</v>
      </c>
      <c r="P44" s="2"/>
      <c r="Q44" s="2">
        <v>1098</v>
      </c>
      <c r="S44" s="2">
        <v>1568</v>
      </c>
      <c r="T44" s="2">
        <v>1562</v>
      </c>
      <c r="U44" s="2">
        <v>1664</v>
      </c>
    </row>
    <row r="45" spans="2:21" x14ac:dyDescent="0.25">
      <c r="B45" t="s">
        <v>43</v>
      </c>
      <c r="I45" s="2">
        <v>247101</v>
      </c>
      <c r="M45" s="2">
        <v>250512</v>
      </c>
      <c r="P45" s="2"/>
      <c r="Q45" s="2">
        <v>227553</v>
      </c>
      <c r="S45" s="2">
        <v>224641</v>
      </c>
      <c r="T45" s="2">
        <v>223012</v>
      </c>
      <c r="U45" s="2">
        <v>218795</v>
      </c>
    </row>
    <row r="46" spans="2:21" x14ac:dyDescent="0.25">
      <c r="B46" t="s">
        <v>44</v>
      </c>
      <c r="I46" s="2">
        <v>10332</v>
      </c>
      <c r="M46" s="2">
        <v>15921</v>
      </c>
      <c r="P46" s="2"/>
      <c r="Q46" s="2">
        <v>16789</v>
      </c>
      <c r="S46" s="2">
        <v>16753</v>
      </c>
      <c r="T46" s="2">
        <v>16661</v>
      </c>
      <c r="U46" s="2">
        <v>16697</v>
      </c>
    </row>
    <row r="47" spans="2:21" x14ac:dyDescent="0.25">
      <c r="B47" t="s">
        <v>45</v>
      </c>
      <c r="I47" s="2">
        <f>+SUM(I40:I46)</f>
        <v>346196</v>
      </c>
      <c r="M47" s="2">
        <f>+SUM(M40:M46)</f>
        <v>359361</v>
      </c>
      <c r="P47" s="2"/>
      <c r="Q47" s="2">
        <f>+SUM(Q40:Q46)</f>
        <v>332750</v>
      </c>
      <c r="S47" s="2">
        <f>+SUM(S40:S46)</f>
        <v>333770</v>
      </c>
      <c r="T47" s="2">
        <f>+SUM(T40:T46)</f>
        <v>337289</v>
      </c>
      <c r="U47" s="2">
        <f>+SUM(U40:U46)</f>
        <v>336688</v>
      </c>
    </row>
    <row r="48" spans="2:21" x14ac:dyDescent="0.25">
      <c r="I48" s="2"/>
    </row>
    <row r="49" spans="2:21" x14ac:dyDescent="0.25">
      <c r="B49" s="1" t="s">
        <v>49</v>
      </c>
      <c r="C49" s="1"/>
      <c r="D49" s="1"/>
      <c r="E49" s="1"/>
      <c r="F49" s="1"/>
      <c r="G49" s="1"/>
      <c r="H49" s="1"/>
      <c r="I49" s="3">
        <f>17258+20538</f>
        <v>37796</v>
      </c>
      <c r="J49" s="1"/>
      <c r="K49" s="1"/>
      <c r="L49" s="1"/>
      <c r="M49" s="3">
        <f>25950+21196</f>
        <v>47146</v>
      </c>
      <c r="N49" s="1"/>
      <c r="P49" s="3"/>
      <c r="Q49" s="3">
        <f>20458+47182</f>
        <v>67640</v>
      </c>
      <c r="R49" s="1"/>
      <c r="S49" s="3">
        <v>45137</v>
      </c>
      <c r="T49" s="3">
        <f>15293+45319</f>
        <v>60612</v>
      </c>
      <c r="U49" s="3">
        <f>12966+43639</f>
        <v>56605</v>
      </c>
    </row>
    <row r="50" spans="2:21" x14ac:dyDescent="0.25">
      <c r="B50" t="s">
        <v>50</v>
      </c>
      <c r="I50" s="5">
        <v>37268</v>
      </c>
      <c r="M50" s="2">
        <v>40541</v>
      </c>
      <c r="P50" s="2"/>
      <c r="Q50" s="2">
        <v>35221</v>
      </c>
      <c r="S50" s="2">
        <v>18185</v>
      </c>
      <c r="T50" s="2">
        <v>45780</v>
      </c>
      <c r="U50" s="2">
        <v>47257</v>
      </c>
    </row>
    <row r="51" spans="2:21" x14ac:dyDescent="0.25">
      <c r="B51" t="s">
        <v>51</v>
      </c>
      <c r="I51" s="2">
        <v>2612</v>
      </c>
      <c r="M51" s="2">
        <v>2458</v>
      </c>
      <c r="P51" s="2"/>
      <c r="Q51" s="2">
        <v>684</v>
      </c>
      <c r="S51" s="2">
        <v>948</v>
      </c>
      <c r="T51" s="2">
        <v>1165</v>
      </c>
      <c r="U51" s="2">
        <v>1633</v>
      </c>
    </row>
    <row r="52" spans="2:21" x14ac:dyDescent="0.25">
      <c r="B52" t="s">
        <v>29</v>
      </c>
      <c r="I52" s="2">
        <v>20272</v>
      </c>
      <c r="M52" s="2">
        <v>19365</v>
      </c>
      <c r="P52" s="2"/>
      <c r="Q52" s="2">
        <v>22415</v>
      </c>
      <c r="S52" s="2">
        <v>21835</v>
      </c>
      <c r="T52" s="2">
        <v>22082</v>
      </c>
      <c r="U52" s="2">
        <v>21060</v>
      </c>
    </row>
    <row r="53" spans="2:21" x14ac:dyDescent="0.25">
      <c r="B53" t="s">
        <v>52</v>
      </c>
      <c r="I53" s="2">
        <v>27244</v>
      </c>
      <c r="M53" s="2">
        <v>26513</v>
      </c>
      <c r="P53" s="2"/>
      <c r="Q53" s="2">
        <v>18165</v>
      </c>
      <c r="S53" s="2">
        <v>18113</v>
      </c>
      <c r="T53" s="2">
        <v>18511</v>
      </c>
      <c r="U53" s="2">
        <v>19008</v>
      </c>
    </row>
    <row r="54" spans="2:21" x14ac:dyDescent="0.25">
      <c r="B54" t="s">
        <v>53</v>
      </c>
      <c r="I54" s="2">
        <v>4382</v>
      </c>
      <c r="M54" s="2">
        <v>4232</v>
      </c>
      <c r="P54" s="2"/>
      <c r="Q54" s="2">
        <v>3253</v>
      </c>
      <c r="S54" s="2">
        <v>3279</v>
      </c>
      <c r="T54" s="2">
        <v>3038</v>
      </c>
      <c r="U54" s="2">
        <v>3060</v>
      </c>
    </row>
    <row r="55" spans="2:21" x14ac:dyDescent="0.25">
      <c r="B55" t="s">
        <v>54</v>
      </c>
      <c r="I55" s="2">
        <v>18094</v>
      </c>
      <c r="M55" s="2">
        <v>21997</v>
      </c>
      <c r="P55" s="2"/>
      <c r="Q55" s="2">
        <v>21242</v>
      </c>
      <c r="S55" s="2">
        <v>21155</v>
      </c>
      <c r="T55" s="2">
        <v>20545</v>
      </c>
      <c r="U55" s="2">
        <v>20559</v>
      </c>
    </row>
    <row r="56" spans="2:21" x14ac:dyDescent="0.25">
      <c r="B56" t="s">
        <v>55</v>
      </c>
      <c r="I56" s="2">
        <f>+SUM(I49:I55)</f>
        <v>147668</v>
      </c>
      <c r="M56" s="2">
        <f>+SUM(M49:M55)</f>
        <v>162252</v>
      </c>
      <c r="P56" s="2"/>
      <c r="Q56" s="2">
        <f>+SUM(Q49:Q55)</f>
        <v>168620</v>
      </c>
      <c r="S56" s="2">
        <f>+SUM(S49:S55)</f>
        <v>128652</v>
      </c>
      <c r="T56" s="2">
        <f>+SUM(T49:T55)</f>
        <v>171733</v>
      </c>
      <c r="U56" s="2">
        <f>+SUM(U49:U55)</f>
        <v>169182</v>
      </c>
    </row>
    <row r="58" spans="2:21" x14ac:dyDescent="0.25">
      <c r="B58" t="s">
        <v>56</v>
      </c>
      <c r="M58" s="4">
        <f>(M39-I39)/ABS(I39)</f>
        <v>-0.81361829025844934</v>
      </c>
      <c r="O58" s="4"/>
      <c r="P58" s="4"/>
      <c r="Q58" s="4"/>
      <c r="S58" s="4"/>
      <c r="T58" s="4"/>
      <c r="U58" s="4">
        <f>(U39-Q39)/ABS(Q39)</f>
        <v>0.68645311472091497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Case</dc:creator>
  <cp:lastModifiedBy>Josh Case</cp:lastModifiedBy>
  <dcterms:created xsi:type="dcterms:W3CDTF">2021-11-27T18:13:25Z</dcterms:created>
  <dcterms:modified xsi:type="dcterms:W3CDTF">2021-11-29T01:29:25Z</dcterms:modified>
</cp:coreProperties>
</file>