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744C31F0-D734-464D-9BFB-794124F5DD23}" xr6:coauthVersionLast="47" xr6:coauthVersionMax="47" xr10:uidLastSave="{00000000-0000-0000-0000-000000000000}"/>
  <bookViews>
    <workbookView xWindow="14850" yWindow="1185" windowWidth="10650" windowHeight="13905" activeTab="1" xr2:uid="{C10A41A1-49B0-492E-995B-6CED7760CA6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" i="2" l="1"/>
  <c r="S30" i="2"/>
  <c r="R28" i="2"/>
  <c r="R27" i="2"/>
  <c r="R26" i="2"/>
  <c r="S28" i="2"/>
  <c r="S27" i="2"/>
  <c r="S26" i="2"/>
  <c r="R24" i="2"/>
  <c r="R18" i="2"/>
  <c r="R15" i="2"/>
  <c r="R17" i="2"/>
  <c r="S24" i="2"/>
  <c r="S23" i="2"/>
  <c r="S22" i="2"/>
  <c r="S21" i="2"/>
  <c r="S20" i="2"/>
  <c r="S19" i="2"/>
  <c r="S18" i="2"/>
  <c r="S17" i="2"/>
  <c r="S16" i="2"/>
  <c r="S15" i="2"/>
  <c r="S14" i="2"/>
  <c r="R13" i="2"/>
  <c r="S13" i="2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E78" i="2"/>
  <c r="E69" i="2"/>
  <c r="E61" i="2"/>
  <c r="I78" i="2"/>
  <c r="I69" i="2"/>
  <c r="I61" i="2"/>
  <c r="I43" i="2"/>
  <c r="I47" i="2" s="1"/>
  <c r="I38" i="2"/>
  <c r="I41" i="2" s="1"/>
  <c r="E18" i="2"/>
  <c r="E15" i="2"/>
  <c r="E17" i="2" s="1"/>
  <c r="E27" i="2" s="1"/>
  <c r="I30" i="2"/>
  <c r="I15" i="2"/>
  <c r="I17" i="2" s="1"/>
  <c r="I19" i="2" s="1"/>
  <c r="I22" i="2" s="1"/>
  <c r="I23" i="2" s="1"/>
  <c r="F78" i="2"/>
  <c r="F69" i="2"/>
  <c r="F61" i="2"/>
  <c r="J78" i="2"/>
  <c r="J69" i="2"/>
  <c r="J61" i="2"/>
  <c r="F38" i="2"/>
  <c r="F41" i="2" s="1"/>
  <c r="F47" i="2"/>
  <c r="F32" i="2"/>
  <c r="F18" i="2"/>
  <c r="F15" i="2"/>
  <c r="F17" i="2" s="1"/>
  <c r="F27" i="2" s="1"/>
  <c r="J30" i="2"/>
  <c r="J18" i="2"/>
  <c r="J15" i="2"/>
  <c r="J17" i="2" s="1"/>
  <c r="G78" i="2"/>
  <c r="G69" i="2"/>
  <c r="G61" i="2"/>
  <c r="K78" i="2"/>
  <c r="K69" i="2"/>
  <c r="K61" i="2"/>
  <c r="K43" i="2"/>
  <c r="K32" i="2" s="1"/>
  <c r="K38" i="2"/>
  <c r="K41" i="2" s="1"/>
  <c r="K30" i="2"/>
  <c r="G18" i="2"/>
  <c r="G15" i="2"/>
  <c r="G17" i="2" s="1"/>
  <c r="K18" i="2"/>
  <c r="K15" i="2"/>
  <c r="K17" i="2" s="1"/>
  <c r="K27" i="2" s="1"/>
  <c r="H78" i="2"/>
  <c r="L78" i="2"/>
  <c r="H69" i="2"/>
  <c r="L69" i="2"/>
  <c r="H61" i="2"/>
  <c r="L61" i="2"/>
  <c r="J43" i="2"/>
  <c r="J47" i="2" s="1"/>
  <c r="J38" i="2"/>
  <c r="J41" i="2" s="1"/>
  <c r="L43" i="2"/>
  <c r="L47" i="2" s="1"/>
  <c r="L38" i="2"/>
  <c r="L41" i="2" s="1"/>
  <c r="H18" i="2"/>
  <c r="H15" i="2"/>
  <c r="H17" i="2" s="1"/>
  <c r="H27" i="2" s="1"/>
  <c r="L18" i="2"/>
  <c r="L15" i="2"/>
  <c r="L26" i="2" s="1"/>
  <c r="E9" i="1"/>
  <c r="E12" i="1"/>
  <c r="E11" i="1"/>
  <c r="E8" i="1"/>
  <c r="R19" i="2" l="1"/>
  <c r="R22" i="2" s="1"/>
  <c r="R23" i="2" s="1"/>
  <c r="I49" i="2"/>
  <c r="G19" i="2"/>
  <c r="G22" i="2" s="1"/>
  <c r="G23" i="2" s="1"/>
  <c r="E26" i="2"/>
  <c r="I32" i="2"/>
  <c r="I26" i="2"/>
  <c r="H26" i="2"/>
  <c r="I27" i="2"/>
  <c r="I28" i="2"/>
  <c r="E79" i="2"/>
  <c r="I79" i="2"/>
  <c r="E19" i="2"/>
  <c r="J19" i="2"/>
  <c r="L79" i="2"/>
  <c r="K26" i="2"/>
  <c r="J27" i="2"/>
  <c r="F79" i="2"/>
  <c r="F26" i="2"/>
  <c r="G26" i="2"/>
  <c r="H79" i="2"/>
  <c r="L32" i="2"/>
  <c r="G27" i="2"/>
  <c r="J26" i="2"/>
  <c r="J79" i="2"/>
  <c r="F19" i="2"/>
  <c r="G79" i="2"/>
  <c r="K79" i="2"/>
  <c r="K47" i="2"/>
  <c r="K19" i="2"/>
  <c r="J32" i="2"/>
  <c r="L17" i="2"/>
  <c r="H19" i="2"/>
  <c r="H28" i="2" s="1"/>
  <c r="G49" i="2" l="1"/>
  <c r="G28" i="2"/>
  <c r="E22" i="2"/>
  <c r="E28" i="2"/>
  <c r="J22" i="2"/>
  <c r="J28" i="2"/>
  <c r="K22" i="2"/>
  <c r="K28" i="2"/>
  <c r="F22" i="2"/>
  <c r="F28" i="2"/>
  <c r="H22" i="2"/>
  <c r="L19" i="2"/>
  <c r="L27" i="2"/>
  <c r="E23" i="2" l="1"/>
  <c r="E49" i="2"/>
  <c r="J23" i="2"/>
  <c r="J49" i="2"/>
  <c r="F23" i="2"/>
  <c r="F49" i="2"/>
  <c r="K23" i="2"/>
  <c r="K49" i="2"/>
  <c r="H23" i="2"/>
  <c r="H49" i="2"/>
  <c r="L22" i="2"/>
  <c r="L28" i="2"/>
  <c r="L23" i="2" l="1"/>
  <c r="L49" i="2"/>
</calcChain>
</file>

<file path=xl/sharedStrings.xml><?xml version="1.0" encoding="utf-8"?>
<sst xmlns="http://schemas.openxmlformats.org/spreadsheetml/2006/main" count="89" uniqueCount="71">
  <si>
    <t>Price</t>
  </si>
  <si>
    <t>Shares</t>
  </si>
  <si>
    <t>MC</t>
  </si>
  <si>
    <t>Cash</t>
  </si>
  <si>
    <t>Debt</t>
  </si>
  <si>
    <t>EV</t>
  </si>
  <si>
    <t>Q222</t>
  </si>
  <si>
    <t>Q120</t>
  </si>
  <si>
    <t>Q220</t>
  </si>
  <si>
    <t>Q320</t>
  </si>
  <si>
    <t>Q420</t>
  </si>
  <si>
    <t>Q122</t>
  </si>
  <si>
    <t>Q121</t>
  </si>
  <si>
    <t>Q221</t>
  </si>
  <si>
    <t>Q321</t>
  </si>
  <si>
    <t>Q421</t>
  </si>
  <si>
    <t>Q322</t>
  </si>
  <si>
    <t>Q422</t>
  </si>
  <si>
    <t>Revenues</t>
  </si>
  <si>
    <t>Cost of Operatons</t>
  </si>
  <si>
    <t>Gross Profit</t>
  </si>
  <si>
    <t>sG&amp;A</t>
  </si>
  <si>
    <t>Operating Income</t>
  </si>
  <si>
    <t>Interest Expense</t>
  </si>
  <si>
    <t>Pretax Income</t>
  </si>
  <si>
    <t>Taxes</t>
  </si>
  <si>
    <t>NI</t>
  </si>
  <si>
    <t>Net Income</t>
  </si>
  <si>
    <t>EPS</t>
  </si>
  <si>
    <t>Gross Margin %</t>
  </si>
  <si>
    <t>Operating Margin %</t>
  </si>
  <si>
    <t>Tax Rate %</t>
  </si>
  <si>
    <t>Revenue Growth Y/Y</t>
  </si>
  <si>
    <t>Receivables</t>
  </si>
  <si>
    <t>Inventory</t>
  </si>
  <si>
    <t>Other</t>
  </si>
  <si>
    <t>PP&amp;E</t>
  </si>
  <si>
    <t>Intangibles</t>
  </si>
  <si>
    <t>D/T</t>
  </si>
  <si>
    <t>ONCA</t>
  </si>
  <si>
    <t>Total Assets</t>
  </si>
  <si>
    <t>A/P</t>
  </si>
  <si>
    <t>Total Liabilities</t>
  </si>
  <si>
    <t>Net Cash</t>
  </si>
  <si>
    <t>Model NI</t>
  </si>
  <si>
    <t>Reported NI</t>
  </si>
  <si>
    <t>Amortization</t>
  </si>
  <si>
    <t>Impariments</t>
  </si>
  <si>
    <t>EBC</t>
  </si>
  <si>
    <t>Other Changes</t>
  </si>
  <si>
    <t>CFFO</t>
  </si>
  <si>
    <t>D/A</t>
  </si>
  <si>
    <t>Capex</t>
  </si>
  <si>
    <t>Acqusitions</t>
  </si>
  <si>
    <t>Dispositions</t>
  </si>
  <si>
    <t>Investment Purchases</t>
  </si>
  <si>
    <t>CFFI</t>
  </si>
  <si>
    <t>Repurchase of Shares</t>
  </si>
  <si>
    <t>Walt Disney Cashflow</t>
  </si>
  <si>
    <t>Tax Prepayment</t>
  </si>
  <si>
    <t>CFFF</t>
  </si>
  <si>
    <t>CF</t>
  </si>
  <si>
    <t>Dividends</t>
  </si>
  <si>
    <t>Investment Sale</t>
  </si>
  <si>
    <t>Borrowings</t>
  </si>
  <si>
    <t>Affliate fee</t>
  </si>
  <si>
    <t>Advertising</t>
  </si>
  <si>
    <t>Cable Network</t>
  </si>
  <si>
    <t>TV</t>
  </si>
  <si>
    <t>Revenue Types</t>
  </si>
  <si>
    <t>Revenue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</si>
</sst>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4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0" fontId="2" fillId="0" borderId="0" xfId="0" applyFont="1"/>
    <xf numFmtId="3" fontId="0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F8C5-F401-4724-9F90-1C6F2E009B14}">
  <dimension ref="D7:F12"/>
  <sheetViews>
    <sheetView topLeftCell="A4" workbookViewId="0">
      <selection activeCell="E24" sqref="E24"/>
    </sheetView>
  </sheetViews>
  <sheetFormatPr defaultRowHeight="14.25" x14ac:dyDescent="0.2"/>
  <cols>
    <col min="6" max="6" width="9" style="2"/>
  </cols>
  <sheetData>
    <row r="7" spans="4:6" x14ac:dyDescent="0.2">
      <c r="D7" t="s">
        <v>0</v>
      </c>
      <c r="E7">
        <v>35.85</v>
      </c>
    </row>
    <row r="8" spans="4:6" x14ac:dyDescent="0.2">
      <c r="D8" t="s">
        <v>1</v>
      </c>
      <c r="E8" s="1">
        <f>315.80628+247.096334</f>
        <v>562.90261400000009</v>
      </c>
      <c r="F8" s="2" t="s">
        <v>6</v>
      </c>
    </row>
    <row r="9" spans="4:6" x14ac:dyDescent="0.2">
      <c r="D9" t="s">
        <v>2</v>
      </c>
      <c r="E9" s="1">
        <f>+E7*E8</f>
        <v>20180.058711900005</v>
      </c>
    </row>
    <row r="10" spans="4:6" x14ac:dyDescent="0.2">
      <c r="D10" t="s">
        <v>3</v>
      </c>
      <c r="E10" s="1">
        <v>4255</v>
      </c>
      <c r="F10" s="2" t="s">
        <v>6</v>
      </c>
    </row>
    <row r="11" spans="4:6" x14ac:dyDescent="0.2">
      <c r="D11" t="s">
        <v>4</v>
      </c>
      <c r="E11" s="1">
        <f>750+7204</f>
        <v>7954</v>
      </c>
      <c r="F11" s="2" t="s">
        <v>6</v>
      </c>
    </row>
    <row r="12" spans="4:6" x14ac:dyDescent="0.2">
      <c r="D12" t="s">
        <v>5</v>
      </c>
      <c r="E12" s="1">
        <f>+E9-E10+E11</f>
        <v>23879.058711900005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C5D6-700B-4DA8-B411-A351CB0DC420}">
  <dimension ref="B2:AA81"/>
  <sheetViews>
    <sheetView tabSelected="1" workbookViewId="0">
      <pane xSplit="2" ySplit="2" topLeftCell="F84" activePane="bottomRight" state="frozen"/>
      <selection pane="topRight" activeCell="C1" sqref="C1"/>
      <selection pane="bottomLeft" activeCell="A3" sqref="A3"/>
      <selection pane="bottomRight" activeCell="B93" sqref="B93"/>
    </sheetView>
  </sheetViews>
  <sheetFormatPr defaultRowHeight="14.25" x14ac:dyDescent="0.2"/>
  <cols>
    <col min="2" max="2" width="19.5" bestFit="1" customWidth="1"/>
    <col min="3" max="3" width="7.75" customWidth="1"/>
  </cols>
  <sheetData>
    <row r="2" spans="2:27" x14ac:dyDescent="0.2">
      <c r="C2" t="s">
        <v>7</v>
      </c>
      <c r="D2" t="s">
        <v>8</v>
      </c>
      <c r="E2" t="s">
        <v>9</v>
      </c>
      <c r="F2" t="s">
        <v>10</v>
      </c>
      <c r="G2" t="s">
        <v>12</v>
      </c>
      <c r="H2" t="s">
        <v>13</v>
      </c>
      <c r="I2" t="s">
        <v>14</v>
      </c>
      <c r="J2" t="s">
        <v>15</v>
      </c>
      <c r="K2" t="s">
        <v>11</v>
      </c>
      <c r="L2" t="s">
        <v>6</v>
      </c>
      <c r="M2" t="s">
        <v>16</v>
      </c>
      <c r="N2" t="s">
        <v>17</v>
      </c>
      <c r="P2">
        <v>2018</v>
      </c>
      <c r="Q2">
        <f>+P2+1</f>
        <v>2019</v>
      </c>
      <c r="R2">
        <f t="shared" ref="R2:AA2" si="0">+Q2+1</f>
        <v>2020</v>
      </c>
      <c r="S2">
        <f t="shared" si="0"/>
        <v>2021</v>
      </c>
      <c r="T2">
        <f t="shared" si="0"/>
        <v>2022</v>
      </c>
      <c r="U2">
        <f t="shared" si="0"/>
        <v>2023</v>
      </c>
      <c r="V2">
        <f t="shared" si="0"/>
        <v>2024</v>
      </c>
      <c r="W2">
        <f t="shared" si="0"/>
        <v>2025</v>
      </c>
      <c r="X2">
        <f t="shared" si="0"/>
        <v>2026</v>
      </c>
      <c r="Y2">
        <f t="shared" si="0"/>
        <v>2027</v>
      </c>
      <c r="Z2">
        <f t="shared" si="0"/>
        <v>2028</v>
      </c>
      <c r="AA2">
        <f t="shared" si="0"/>
        <v>2029</v>
      </c>
    </row>
    <row r="3" spans="2:27" x14ac:dyDescent="0.2">
      <c r="B3" s="9" t="s">
        <v>70</v>
      </c>
    </row>
    <row r="4" spans="2:27" s="1" customFormat="1" x14ac:dyDescent="0.2">
      <c r="B4" s="1" t="s">
        <v>67</v>
      </c>
      <c r="R4" s="1">
        <v>5492</v>
      </c>
      <c r="S4" s="1">
        <v>5683</v>
      </c>
    </row>
    <row r="5" spans="2:27" s="1" customFormat="1" x14ac:dyDescent="0.2">
      <c r="B5" s="1" t="s">
        <v>68</v>
      </c>
      <c r="R5" s="1">
        <v>6661</v>
      </c>
      <c r="S5" s="1">
        <v>7048</v>
      </c>
    </row>
    <row r="6" spans="2:27" s="1" customFormat="1" x14ac:dyDescent="0.2">
      <c r="B6" s="1" t="s">
        <v>35</v>
      </c>
      <c r="R6" s="1">
        <v>150</v>
      </c>
      <c r="S6" s="1">
        <v>178</v>
      </c>
    </row>
    <row r="7" spans="2:27" s="1" customFormat="1" x14ac:dyDescent="0.2"/>
    <row r="8" spans="2:27" s="7" customFormat="1" x14ac:dyDescent="0.2">
      <c r="B8" s="9" t="s">
        <v>69</v>
      </c>
    </row>
    <row r="9" spans="2:27" s="1" customFormat="1" x14ac:dyDescent="0.2">
      <c r="B9" s="1" t="s">
        <v>65</v>
      </c>
      <c r="R9" s="1">
        <v>5908</v>
      </c>
      <c r="S9" s="1">
        <v>6435</v>
      </c>
    </row>
    <row r="10" spans="2:27" s="1" customFormat="1" x14ac:dyDescent="0.2">
      <c r="B10" s="1" t="s">
        <v>66</v>
      </c>
      <c r="R10" s="1">
        <v>5333</v>
      </c>
      <c r="S10" s="1">
        <v>5431</v>
      </c>
    </row>
    <row r="11" spans="2:27" s="1" customFormat="1" x14ac:dyDescent="0.2">
      <c r="B11" s="1" t="s">
        <v>35</v>
      </c>
      <c r="R11" s="1">
        <v>1062</v>
      </c>
      <c r="S11" s="1">
        <v>1043</v>
      </c>
    </row>
    <row r="12" spans="2:27" s="1" customFormat="1" x14ac:dyDescent="0.2"/>
    <row r="13" spans="2:27" s="5" customFormat="1" ht="15" x14ac:dyDescent="0.25">
      <c r="B13" s="5" t="s">
        <v>18</v>
      </c>
      <c r="E13" s="5">
        <v>3440</v>
      </c>
      <c r="F13" s="5">
        <v>2418</v>
      </c>
      <c r="G13" s="5">
        <v>2717</v>
      </c>
      <c r="H13" s="5">
        <v>4087</v>
      </c>
      <c r="I13" s="5">
        <v>3215</v>
      </c>
      <c r="J13" s="5">
        <v>2890</v>
      </c>
      <c r="K13" s="5">
        <v>3045</v>
      </c>
      <c r="L13" s="5">
        <v>4441</v>
      </c>
      <c r="R13" s="5">
        <f>+SUM(R9:R11)</f>
        <v>12303</v>
      </c>
      <c r="S13" s="5">
        <f>+SUM(S9:S11)</f>
        <v>12909</v>
      </c>
    </row>
    <row r="14" spans="2:27" x14ac:dyDescent="0.2">
      <c r="B14" t="s">
        <v>19</v>
      </c>
      <c r="E14" s="1">
        <v>2061</v>
      </c>
      <c r="F14" s="1">
        <v>1187</v>
      </c>
      <c r="G14" s="1">
        <v>1168</v>
      </c>
      <c r="H14" s="1">
        <v>3346</v>
      </c>
      <c r="I14" s="1">
        <v>1885</v>
      </c>
      <c r="J14" s="1">
        <v>1638</v>
      </c>
      <c r="K14" s="1">
        <v>1571</v>
      </c>
      <c r="L14" s="1">
        <v>3667</v>
      </c>
      <c r="R14" s="1">
        <v>7807</v>
      </c>
      <c r="S14" s="1">
        <f>+SUM(G14:J14)</f>
        <v>8037</v>
      </c>
    </row>
    <row r="15" spans="2:27" x14ac:dyDescent="0.2">
      <c r="B15" t="s">
        <v>20</v>
      </c>
      <c r="E15" s="1">
        <f t="shared" ref="E15:L15" si="1">+E13-E14</f>
        <v>1379</v>
      </c>
      <c r="F15" s="1">
        <f t="shared" si="1"/>
        <v>1231</v>
      </c>
      <c r="G15" s="1">
        <f t="shared" si="1"/>
        <v>1549</v>
      </c>
      <c r="H15" s="1">
        <f t="shared" si="1"/>
        <v>741</v>
      </c>
      <c r="I15" s="1">
        <f t="shared" si="1"/>
        <v>1330</v>
      </c>
      <c r="J15" s="1">
        <f t="shared" si="1"/>
        <v>1252</v>
      </c>
      <c r="K15" s="1">
        <f t="shared" si="1"/>
        <v>1474</v>
      </c>
      <c r="L15" s="1">
        <f t="shared" si="1"/>
        <v>774</v>
      </c>
      <c r="R15" s="1">
        <f>+R13-R14</f>
        <v>4496</v>
      </c>
      <c r="S15" s="1">
        <f t="shared" ref="S15:S22" si="2">+SUM(G15:J15)</f>
        <v>4872</v>
      </c>
    </row>
    <row r="16" spans="2:27" x14ac:dyDescent="0.2">
      <c r="B16" t="s">
        <v>21</v>
      </c>
      <c r="E16" s="1">
        <v>464</v>
      </c>
      <c r="F16" s="1">
        <v>494</v>
      </c>
      <c r="G16" s="1">
        <v>388</v>
      </c>
      <c r="H16" s="1">
        <v>442</v>
      </c>
      <c r="I16" s="1">
        <v>437</v>
      </c>
      <c r="J16" s="1">
        <v>540</v>
      </c>
      <c r="K16" s="1">
        <v>415</v>
      </c>
      <c r="L16" s="1">
        <v>468</v>
      </c>
      <c r="R16" s="1">
        <v>1741</v>
      </c>
      <c r="S16" s="1">
        <f t="shared" si="2"/>
        <v>1807</v>
      </c>
    </row>
    <row r="17" spans="2:19" x14ac:dyDescent="0.2">
      <c r="B17" t="s">
        <v>22</v>
      </c>
      <c r="E17" s="1">
        <f t="shared" ref="E17:L17" si="3">+E15-E16</f>
        <v>915</v>
      </c>
      <c r="F17" s="1">
        <f t="shared" si="3"/>
        <v>737</v>
      </c>
      <c r="G17" s="1">
        <f t="shared" si="3"/>
        <v>1161</v>
      </c>
      <c r="H17" s="1">
        <f t="shared" si="3"/>
        <v>299</v>
      </c>
      <c r="I17" s="1">
        <f t="shared" si="3"/>
        <v>893</v>
      </c>
      <c r="J17" s="1">
        <f t="shared" si="3"/>
        <v>712</v>
      </c>
      <c r="K17" s="1">
        <f t="shared" si="3"/>
        <v>1059</v>
      </c>
      <c r="L17" s="1">
        <f t="shared" si="3"/>
        <v>306</v>
      </c>
      <c r="R17" s="1">
        <f>+R15-R16</f>
        <v>2755</v>
      </c>
      <c r="S17" s="1">
        <f t="shared" si="2"/>
        <v>3065</v>
      </c>
    </row>
    <row r="18" spans="2:19" x14ac:dyDescent="0.2">
      <c r="B18" t="s">
        <v>23</v>
      </c>
      <c r="E18" s="1">
        <f>89+-8</f>
        <v>81</v>
      </c>
      <c r="F18" s="1">
        <f>+-100+2</f>
        <v>-98</v>
      </c>
      <c r="G18" s="1">
        <f>98+-519</f>
        <v>-421</v>
      </c>
      <c r="H18" s="1">
        <f>97+-172</f>
        <v>-75</v>
      </c>
      <c r="I18" s="1">
        <v>98</v>
      </c>
      <c r="J18" s="1">
        <f>99+-1</f>
        <v>98</v>
      </c>
      <c r="K18" s="1">
        <f>97+-69</f>
        <v>28</v>
      </c>
      <c r="L18" s="1">
        <f>97+211</f>
        <v>308</v>
      </c>
      <c r="R18" s="1">
        <f>369+-35+248</f>
        <v>582</v>
      </c>
      <c r="S18" s="1">
        <f t="shared" si="2"/>
        <v>-300</v>
      </c>
    </row>
    <row r="19" spans="2:19" x14ac:dyDescent="0.2">
      <c r="B19" t="s">
        <v>24</v>
      </c>
      <c r="E19" s="1">
        <f t="shared" ref="E19:L19" si="4">+E17-E18</f>
        <v>834</v>
      </c>
      <c r="F19" s="1">
        <f t="shared" si="4"/>
        <v>835</v>
      </c>
      <c r="G19" s="1">
        <f t="shared" si="4"/>
        <v>1582</v>
      </c>
      <c r="H19" s="1">
        <f t="shared" si="4"/>
        <v>374</v>
      </c>
      <c r="I19" s="1">
        <f t="shared" si="4"/>
        <v>795</v>
      </c>
      <c r="J19" s="1">
        <f t="shared" si="4"/>
        <v>614</v>
      </c>
      <c r="K19" s="1">
        <f t="shared" si="4"/>
        <v>1031</v>
      </c>
      <c r="L19" s="1">
        <f t="shared" si="4"/>
        <v>-2</v>
      </c>
      <c r="R19" s="1">
        <f>+R17-R18</f>
        <v>2173</v>
      </c>
      <c r="S19" s="1">
        <f t="shared" si="2"/>
        <v>3365</v>
      </c>
    </row>
    <row r="20" spans="2:19" x14ac:dyDescent="0.2">
      <c r="B20" t="s">
        <v>25</v>
      </c>
      <c r="E20" s="1">
        <v>55</v>
      </c>
      <c r="F20" s="1">
        <v>55</v>
      </c>
      <c r="G20" s="1">
        <v>362</v>
      </c>
      <c r="H20" s="1">
        <v>74</v>
      </c>
      <c r="I20" s="1">
        <v>196</v>
      </c>
      <c r="J20" s="1">
        <v>85</v>
      </c>
      <c r="K20" s="1">
        <v>244</v>
      </c>
      <c r="L20" s="1">
        <v>-22</v>
      </c>
      <c r="R20" s="1">
        <v>402</v>
      </c>
      <c r="S20" s="1">
        <f t="shared" si="2"/>
        <v>717</v>
      </c>
    </row>
    <row r="21" spans="2:19" x14ac:dyDescent="0.2">
      <c r="B21" t="s">
        <v>26</v>
      </c>
      <c r="E21" s="1">
        <v>-12</v>
      </c>
      <c r="F21" s="1">
        <v>-23</v>
      </c>
      <c r="G21" s="1">
        <v>-11</v>
      </c>
      <c r="H21" s="1">
        <v>-6</v>
      </c>
      <c r="I21" s="1">
        <v>-15</v>
      </c>
      <c r="J21" s="1">
        <v>-19</v>
      </c>
      <c r="K21" s="1">
        <v>-7</v>
      </c>
      <c r="L21" s="1">
        <v>-12</v>
      </c>
      <c r="R21" s="1">
        <v>-63</v>
      </c>
      <c r="S21" s="1">
        <f t="shared" si="2"/>
        <v>-51</v>
      </c>
    </row>
    <row r="22" spans="2:19" s="3" customFormat="1" ht="15" x14ac:dyDescent="0.25">
      <c r="B22" s="3" t="s">
        <v>27</v>
      </c>
      <c r="E22" s="5">
        <f t="shared" ref="E22:L22" si="5">+E19-E20+E21</f>
        <v>767</v>
      </c>
      <c r="F22" s="5">
        <f t="shared" si="5"/>
        <v>757</v>
      </c>
      <c r="G22" s="5">
        <f t="shared" si="5"/>
        <v>1209</v>
      </c>
      <c r="H22" s="5">
        <f t="shared" si="5"/>
        <v>294</v>
      </c>
      <c r="I22" s="5">
        <f t="shared" si="5"/>
        <v>584</v>
      </c>
      <c r="J22" s="5">
        <f t="shared" si="5"/>
        <v>510</v>
      </c>
      <c r="K22" s="5">
        <f t="shared" si="5"/>
        <v>780</v>
      </c>
      <c r="L22" s="5">
        <f t="shared" si="5"/>
        <v>8</v>
      </c>
      <c r="R22" s="5">
        <f>+R19-R20+R21</f>
        <v>1708</v>
      </c>
      <c r="S22" s="5">
        <f t="shared" si="2"/>
        <v>2597</v>
      </c>
    </row>
    <row r="23" spans="2:19" x14ac:dyDescent="0.2">
      <c r="B23" t="s">
        <v>28</v>
      </c>
      <c r="E23" s="4">
        <f t="shared" ref="E23:L23" si="6">+E22/E24</f>
        <v>1.2532679738562091</v>
      </c>
      <c r="F23" s="4">
        <f t="shared" si="6"/>
        <v>1.2430213464696223</v>
      </c>
      <c r="G23" s="4">
        <f t="shared" si="6"/>
        <v>1.9983471074380166</v>
      </c>
      <c r="H23" s="4">
        <f t="shared" si="6"/>
        <v>0.49163879598662208</v>
      </c>
      <c r="I23" s="4">
        <f t="shared" si="6"/>
        <v>0.98482293423271505</v>
      </c>
      <c r="J23" s="4">
        <f t="shared" si="6"/>
        <v>0.87030716723549484</v>
      </c>
      <c r="K23" s="4">
        <f t="shared" si="6"/>
        <v>1.3494809688581315</v>
      </c>
      <c r="L23" s="4">
        <f t="shared" si="6"/>
        <v>1.3961605584642234E-2</v>
      </c>
      <c r="R23" s="4">
        <f>+R22/R24</f>
        <v>2.7977067977067978</v>
      </c>
      <c r="S23" s="4">
        <f>+AVERAGE(G23:J23)</f>
        <v>1.0862790012232122</v>
      </c>
    </row>
    <row r="24" spans="2:19" x14ac:dyDescent="0.2">
      <c r="B24" t="s">
        <v>1</v>
      </c>
      <c r="E24" s="1">
        <v>612</v>
      </c>
      <c r="F24" s="1">
        <v>609</v>
      </c>
      <c r="G24" s="1">
        <v>605</v>
      </c>
      <c r="H24" s="1">
        <v>598</v>
      </c>
      <c r="I24" s="1">
        <v>593</v>
      </c>
      <c r="J24" s="1">
        <v>586</v>
      </c>
      <c r="K24" s="1">
        <v>578</v>
      </c>
      <c r="L24" s="1">
        <v>573</v>
      </c>
      <c r="R24" s="1">
        <f>+AVERAGE(C24:F24)</f>
        <v>610.5</v>
      </c>
      <c r="S24" s="4">
        <f>+AVERAGE(G24:J24)</f>
        <v>595.5</v>
      </c>
    </row>
    <row r="26" spans="2:19" x14ac:dyDescent="0.2">
      <c r="B26" t="s">
        <v>29</v>
      </c>
      <c r="E26" s="6">
        <f t="shared" ref="E26:L26" si="7">+E15/E13</f>
        <v>0.40087209302325583</v>
      </c>
      <c r="F26" s="6">
        <f t="shared" si="7"/>
        <v>0.50909842845326714</v>
      </c>
      <c r="G26" s="6">
        <f t="shared" si="7"/>
        <v>0.57011409642988586</v>
      </c>
      <c r="H26" s="6">
        <f t="shared" si="7"/>
        <v>0.181306581844874</v>
      </c>
      <c r="I26" s="6">
        <f t="shared" si="7"/>
        <v>0.41368584758942456</v>
      </c>
      <c r="J26" s="6">
        <f t="shared" si="7"/>
        <v>0.43321799307958475</v>
      </c>
      <c r="K26" s="6">
        <f t="shared" si="7"/>
        <v>0.48407224958949097</v>
      </c>
      <c r="L26" s="6">
        <f t="shared" si="7"/>
        <v>0.17428507092997073</v>
      </c>
      <c r="R26" s="6">
        <f>+R15/R13</f>
        <v>0.36543932374217669</v>
      </c>
      <c r="S26" s="6">
        <f>+S15/S13</f>
        <v>0.37741110852893328</v>
      </c>
    </row>
    <row r="27" spans="2:19" x14ac:dyDescent="0.2">
      <c r="B27" t="s">
        <v>30</v>
      </c>
      <c r="E27" s="6">
        <f t="shared" ref="E27:L27" si="8">+E17/E13</f>
        <v>0.26598837209302323</v>
      </c>
      <c r="F27" s="6">
        <f t="shared" si="8"/>
        <v>0.30479735318444995</v>
      </c>
      <c r="G27" s="6">
        <f t="shared" si="8"/>
        <v>0.42730953257269044</v>
      </c>
      <c r="H27" s="6">
        <f t="shared" si="8"/>
        <v>7.3158796183019334E-2</v>
      </c>
      <c r="I27" s="6">
        <f t="shared" si="8"/>
        <v>0.27776049766718508</v>
      </c>
      <c r="J27" s="6">
        <f t="shared" si="8"/>
        <v>0.24636678200692042</v>
      </c>
      <c r="K27" s="6">
        <f t="shared" si="8"/>
        <v>0.34778325123152709</v>
      </c>
      <c r="L27" s="6">
        <f t="shared" si="8"/>
        <v>6.8903400135104709E-2</v>
      </c>
      <c r="R27" s="6">
        <f>+R17/R13</f>
        <v>0.22392912297813541</v>
      </c>
      <c r="S27" s="6">
        <f>+S17/S13</f>
        <v>0.23743124951584166</v>
      </c>
    </row>
    <row r="28" spans="2:19" x14ac:dyDescent="0.2">
      <c r="B28" t="s">
        <v>31</v>
      </c>
      <c r="E28" s="6">
        <f t="shared" ref="E28:L28" si="9">+E20/E19</f>
        <v>6.5947242206235018E-2</v>
      </c>
      <c r="F28" s="6">
        <f t="shared" si="9"/>
        <v>6.5868263473053898E-2</v>
      </c>
      <c r="G28" s="6">
        <f t="shared" si="9"/>
        <v>0.22882427307206069</v>
      </c>
      <c r="H28" s="6">
        <f t="shared" si="9"/>
        <v>0.19786096256684493</v>
      </c>
      <c r="I28" s="6">
        <f t="shared" si="9"/>
        <v>0.24654088050314465</v>
      </c>
      <c r="J28" s="6">
        <f t="shared" si="9"/>
        <v>0.13843648208469056</v>
      </c>
      <c r="K28" s="6">
        <f t="shared" si="9"/>
        <v>0.23666343355965083</v>
      </c>
      <c r="L28" s="6">
        <f t="shared" si="9"/>
        <v>11</v>
      </c>
      <c r="R28" s="6">
        <f>+R20/R19</f>
        <v>0.18499769903359412</v>
      </c>
      <c r="S28" s="6">
        <f>+S20/S19</f>
        <v>0.21307578008915304</v>
      </c>
    </row>
    <row r="30" spans="2:19" x14ac:dyDescent="0.2">
      <c r="B30" t="s">
        <v>32</v>
      </c>
      <c r="I30" s="6">
        <f>+I13/E13-1</f>
        <v>-6.5406976744186052E-2</v>
      </c>
      <c r="J30" s="6">
        <f>+J13/F13-1</f>
        <v>0.19520264681555011</v>
      </c>
      <c r="K30" s="6">
        <f>+K13/G13-1</f>
        <v>0.12072138387927867</v>
      </c>
      <c r="L30" s="6">
        <f>+L13/H13-1</f>
        <v>8.6616099828725313E-2</v>
      </c>
      <c r="S30" s="6">
        <f>+S13/R13-1</f>
        <v>4.9256278956352206E-2</v>
      </c>
    </row>
    <row r="31" spans="2:19" x14ac:dyDescent="0.2">
      <c r="L31" s="6"/>
    </row>
    <row r="32" spans="2:19" s="3" customFormat="1" ht="15" x14ac:dyDescent="0.25">
      <c r="B32" s="3" t="s">
        <v>43</v>
      </c>
      <c r="F32" s="5">
        <f>+F33-F43</f>
        <v>-3301</v>
      </c>
      <c r="I32" s="5">
        <f>+I33-I43</f>
        <v>-2185</v>
      </c>
      <c r="J32" s="5">
        <f>+J33-J43</f>
        <v>-2065</v>
      </c>
      <c r="K32" s="5">
        <f>+K33-K43</f>
        <v>-2542</v>
      </c>
      <c r="L32" s="5">
        <f>+L33-L43</f>
        <v>-3699</v>
      </c>
    </row>
    <row r="33" spans="2:12" x14ac:dyDescent="0.2">
      <c r="B33" t="s">
        <v>3</v>
      </c>
      <c r="F33" s="1">
        <v>4645</v>
      </c>
      <c r="I33" s="1">
        <v>5765</v>
      </c>
      <c r="J33" s="1">
        <v>5886</v>
      </c>
      <c r="K33" s="1">
        <v>5411</v>
      </c>
      <c r="L33" s="1">
        <v>4255</v>
      </c>
    </row>
    <row r="34" spans="2:12" x14ac:dyDescent="0.2">
      <c r="B34" t="s">
        <v>33</v>
      </c>
      <c r="F34" s="1">
        <v>1888</v>
      </c>
      <c r="I34" s="1">
        <v>2153</v>
      </c>
      <c r="J34" s="1">
        <v>2029</v>
      </c>
      <c r="K34" s="1">
        <v>2192</v>
      </c>
      <c r="L34" s="1">
        <v>2952</v>
      </c>
    </row>
    <row r="35" spans="2:12" x14ac:dyDescent="0.2">
      <c r="B35" t="s">
        <v>34</v>
      </c>
      <c r="F35" s="1">
        <v>856</v>
      </c>
      <c r="I35" s="1">
        <v>685</v>
      </c>
      <c r="J35" s="1">
        <v>729</v>
      </c>
      <c r="K35" s="1">
        <v>1135</v>
      </c>
      <c r="L35" s="1">
        <v>1148</v>
      </c>
    </row>
    <row r="36" spans="2:12" x14ac:dyDescent="0.2">
      <c r="B36" t="s">
        <v>35</v>
      </c>
      <c r="F36" s="1">
        <v>97</v>
      </c>
      <c r="I36" s="1">
        <v>91</v>
      </c>
      <c r="J36" s="1">
        <v>105</v>
      </c>
      <c r="K36" s="1">
        <v>137</v>
      </c>
      <c r="L36" s="1">
        <v>159</v>
      </c>
    </row>
    <row r="37" spans="2:12" x14ac:dyDescent="0.2">
      <c r="B37" t="s">
        <v>36</v>
      </c>
      <c r="F37" s="1">
        <v>1498</v>
      </c>
      <c r="I37" s="1">
        <v>1626</v>
      </c>
      <c r="J37" s="1">
        <v>1708</v>
      </c>
      <c r="K37" s="1">
        <v>1656</v>
      </c>
      <c r="L37" s="1">
        <v>1650</v>
      </c>
    </row>
    <row r="38" spans="2:12" x14ac:dyDescent="0.2">
      <c r="B38" t="s">
        <v>37</v>
      </c>
      <c r="F38" s="1">
        <f>3198+3409</f>
        <v>6607</v>
      </c>
      <c r="I38" s="1">
        <f>3156+3403</f>
        <v>6559</v>
      </c>
      <c r="J38" s="1">
        <f>3154+3435</f>
        <v>6589</v>
      </c>
      <c r="K38" s="1">
        <f>3155+3532</f>
        <v>6687</v>
      </c>
      <c r="L38" s="1">
        <f>3198+3565</f>
        <v>6763</v>
      </c>
    </row>
    <row r="39" spans="2:12" x14ac:dyDescent="0.2">
      <c r="B39" t="s">
        <v>38</v>
      </c>
      <c r="F39" s="1">
        <v>4358</v>
      </c>
      <c r="I39" s="1">
        <v>3853</v>
      </c>
      <c r="J39" s="1">
        <v>3822</v>
      </c>
      <c r="K39" s="1">
        <v>3653</v>
      </c>
      <c r="L39" s="1">
        <v>3675</v>
      </c>
    </row>
    <row r="40" spans="2:12" x14ac:dyDescent="0.2">
      <c r="B40" t="s">
        <v>39</v>
      </c>
      <c r="F40" s="1">
        <v>1801</v>
      </c>
      <c r="I40" s="1">
        <v>2175</v>
      </c>
      <c r="J40" s="1">
        <v>2058</v>
      </c>
      <c r="K40" s="1">
        <v>2290</v>
      </c>
      <c r="L40" s="1">
        <v>2276</v>
      </c>
    </row>
    <row r="41" spans="2:12" x14ac:dyDescent="0.2">
      <c r="B41" t="s">
        <v>40</v>
      </c>
      <c r="F41" s="1">
        <f>+SUM(F33:F40)</f>
        <v>21750</v>
      </c>
      <c r="I41" s="1">
        <f>+SUM(I33:I40)</f>
        <v>22907</v>
      </c>
      <c r="J41" s="1">
        <f>+SUM(J33:J40)</f>
        <v>22926</v>
      </c>
      <c r="K41" s="1">
        <f>+SUM(K33:K40)</f>
        <v>23161</v>
      </c>
      <c r="L41" s="1">
        <f>+SUM(L33:L40)</f>
        <v>22878</v>
      </c>
    </row>
    <row r="42" spans="2:12" x14ac:dyDescent="0.2">
      <c r="F42" s="1"/>
      <c r="I42" s="1"/>
      <c r="J42" s="1"/>
      <c r="K42" s="1"/>
      <c r="L42" s="1"/>
    </row>
    <row r="43" spans="2:12" x14ac:dyDescent="0.2">
      <c r="B43" t="s">
        <v>4</v>
      </c>
      <c r="F43" s="1">
        <v>7946</v>
      </c>
      <c r="I43" s="1">
        <f>749+7201</f>
        <v>7950</v>
      </c>
      <c r="J43" s="1">
        <f>749+7202</f>
        <v>7951</v>
      </c>
      <c r="K43" s="1">
        <f>750+7203</f>
        <v>7953</v>
      </c>
      <c r="L43" s="1">
        <f>750+7204</f>
        <v>7954</v>
      </c>
    </row>
    <row r="44" spans="2:12" x14ac:dyDescent="0.2">
      <c r="B44" t="s">
        <v>41</v>
      </c>
      <c r="F44" s="1">
        <v>1906</v>
      </c>
      <c r="I44" s="1">
        <v>2236</v>
      </c>
      <c r="J44" s="1">
        <v>2253</v>
      </c>
      <c r="K44" s="1">
        <v>2119</v>
      </c>
      <c r="L44" s="1">
        <v>2120</v>
      </c>
    </row>
    <row r="45" spans="2:12" x14ac:dyDescent="0.2">
      <c r="B45" t="s">
        <v>35</v>
      </c>
      <c r="F45" s="1">
        <v>1482</v>
      </c>
      <c r="I45" s="1">
        <v>1412</v>
      </c>
      <c r="J45" s="1">
        <v>1336</v>
      </c>
      <c r="K45" s="1">
        <v>1357</v>
      </c>
      <c r="L45" s="1">
        <v>1342</v>
      </c>
    </row>
    <row r="46" spans="2:12" x14ac:dyDescent="0.2">
      <c r="B46" t="s">
        <v>26</v>
      </c>
      <c r="F46" s="1">
        <v>305</v>
      </c>
      <c r="I46" s="1">
        <v>225</v>
      </c>
      <c r="J46" s="1">
        <v>261</v>
      </c>
      <c r="K46" s="1">
        <v>302</v>
      </c>
      <c r="L46" s="1">
        <v>172</v>
      </c>
    </row>
    <row r="47" spans="2:12" x14ac:dyDescent="0.2">
      <c r="B47" t="s">
        <v>42</v>
      </c>
      <c r="F47" s="1">
        <f>+SUM(F43:F46)</f>
        <v>11639</v>
      </c>
      <c r="I47" s="1">
        <f>+SUM(I43:I46)</f>
        <v>11823</v>
      </c>
      <c r="J47" s="1">
        <f>+SUM(J43:J46)</f>
        <v>11801</v>
      </c>
      <c r="K47" s="1">
        <f>+SUM(K43:K46)</f>
        <v>11731</v>
      </c>
      <c r="L47" s="1">
        <f>+SUM(L43:L46)</f>
        <v>11588</v>
      </c>
    </row>
    <row r="49" spans="2:12" s="1" customFormat="1" x14ac:dyDescent="0.2">
      <c r="B49" s="1" t="s">
        <v>44</v>
      </c>
      <c r="E49" s="1">
        <f t="shared" ref="E49:L49" si="10">+E22</f>
        <v>767</v>
      </c>
      <c r="F49" s="1">
        <f t="shared" si="10"/>
        <v>757</v>
      </c>
      <c r="G49" s="1">
        <f t="shared" si="10"/>
        <v>1209</v>
      </c>
      <c r="H49" s="1">
        <f t="shared" si="10"/>
        <v>294</v>
      </c>
      <c r="I49" s="1">
        <f t="shared" si="10"/>
        <v>584</v>
      </c>
      <c r="J49" s="1">
        <f t="shared" si="10"/>
        <v>510</v>
      </c>
      <c r="K49" s="1">
        <f t="shared" si="10"/>
        <v>780</v>
      </c>
      <c r="L49" s="1">
        <f t="shared" si="10"/>
        <v>8</v>
      </c>
    </row>
    <row r="50" spans="2:12" s="1" customFormat="1" x14ac:dyDescent="0.2">
      <c r="B50" s="1" t="s">
        <v>45</v>
      </c>
      <c r="E50" s="1">
        <v>917</v>
      </c>
      <c r="F50" s="1">
        <v>1062</v>
      </c>
      <c r="G50" s="1">
        <v>1117</v>
      </c>
      <c r="H50" s="1">
        <v>1347</v>
      </c>
      <c r="I50" s="1">
        <v>1929</v>
      </c>
      <c r="J50" s="1">
        <v>2201</v>
      </c>
      <c r="K50" s="1">
        <v>708</v>
      </c>
      <c r="L50" s="1">
        <v>635</v>
      </c>
    </row>
    <row r="51" spans="2:12" s="1" customFormat="1" x14ac:dyDescent="0.2">
      <c r="B51" s="1" t="s">
        <v>51</v>
      </c>
      <c r="E51" s="1">
        <v>164</v>
      </c>
      <c r="F51" s="1">
        <v>258</v>
      </c>
      <c r="G51" s="1">
        <v>68</v>
      </c>
      <c r="H51" s="1">
        <v>138</v>
      </c>
      <c r="I51" s="1">
        <v>216</v>
      </c>
      <c r="J51" s="1">
        <v>300</v>
      </c>
      <c r="K51" s="1">
        <v>79</v>
      </c>
      <c r="L51" s="1">
        <v>172</v>
      </c>
    </row>
    <row r="52" spans="2:12" s="1" customFormat="1" x14ac:dyDescent="0.2">
      <c r="B52" s="1" t="s">
        <v>46</v>
      </c>
      <c r="E52" s="1">
        <v>19</v>
      </c>
      <c r="F52" s="1">
        <v>24</v>
      </c>
      <c r="G52" s="1">
        <v>5</v>
      </c>
      <c r="H52" s="1">
        <v>11</v>
      </c>
      <c r="I52" s="1">
        <v>17</v>
      </c>
      <c r="J52" s="1">
        <v>22</v>
      </c>
      <c r="K52" s="1">
        <v>5</v>
      </c>
      <c r="L52" s="1">
        <v>9</v>
      </c>
    </row>
    <row r="53" spans="2:12" s="1" customFormat="1" x14ac:dyDescent="0.2">
      <c r="B53" s="1" t="s">
        <v>47</v>
      </c>
      <c r="E53" s="1">
        <v>9</v>
      </c>
      <c r="F53" s="1">
        <v>133</v>
      </c>
      <c r="G53" s="1">
        <v>35</v>
      </c>
      <c r="H53" s="1">
        <v>35</v>
      </c>
      <c r="I53" s="1">
        <v>35</v>
      </c>
      <c r="J53" s="1">
        <v>35</v>
      </c>
    </row>
    <row r="54" spans="2:12" s="1" customFormat="1" x14ac:dyDescent="0.2">
      <c r="B54" s="1" t="s">
        <v>48</v>
      </c>
      <c r="E54" s="1">
        <v>101</v>
      </c>
      <c r="F54" s="1">
        <v>137</v>
      </c>
      <c r="G54" s="1">
        <v>31</v>
      </c>
      <c r="H54" s="1">
        <v>75</v>
      </c>
      <c r="I54" s="1">
        <v>112</v>
      </c>
      <c r="J54" s="1">
        <v>147</v>
      </c>
      <c r="K54" s="1">
        <v>15</v>
      </c>
      <c r="L54" s="1">
        <v>47</v>
      </c>
    </row>
    <row r="55" spans="2:12" s="1" customFormat="1" x14ac:dyDescent="0.2">
      <c r="B55" s="1" t="s">
        <v>35</v>
      </c>
      <c r="E55" s="1">
        <v>345</v>
      </c>
      <c r="F55" s="1">
        <v>248</v>
      </c>
      <c r="G55" s="1">
        <v>-519</v>
      </c>
      <c r="H55" s="1">
        <v>-691</v>
      </c>
      <c r="I55" s="1">
        <v>-752</v>
      </c>
      <c r="J55" s="1">
        <v>-579</v>
      </c>
      <c r="K55" s="1">
        <v>-69</v>
      </c>
      <c r="L55" s="1">
        <v>142</v>
      </c>
    </row>
    <row r="56" spans="2:12" s="1" customFormat="1" x14ac:dyDescent="0.2">
      <c r="B56" s="1" t="s">
        <v>38</v>
      </c>
      <c r="E56" s="1">
        <v>255</v>
      </c>
      <c r="F56" s="1">
        <v>283</v>
      </c>
      <c r="G56" s="1">
        <v>391</v>
      </c>
      <c r="H56" s="1">
        <v>421</v>
      </c>
      <c r="I56" s="1">
        <v>528</v>
      </c>
      <c r="J56" s="1">
        <v>534</v>
      </c>
      <c r="K56" s="1">
        <v>168</v>
      </c>
      <c r="L56" s="1">
        <v>143</v>
      </c>
    </row>
    <row r="57" spans="2:12" s="1" customFormat="1" x14ac:dyDescent="0.2">
      <c r="B57" s="1" t="s">
        <v>33</v>
      </c>
      <c r="E57" s="1">
        <v>-395</v>
      </c>
      <c r="F57" s="1">
        <v>224</v>
      </c>
      <c r="G57" s="1">
        <v>-193</v>
      </c>
      <c r="H57" s="1">
        <v>-1011</v>
      </c>
      <c r="I57" s="1">
        <v>-382</v>
      </c>
      <c r="J57" s="1">
        <v>-269</v>
      </c>
      <c r="K57" s="1">
        <v>-174</v>
      </c>
      <c r="L57" s="1">
        <v>-940</v>
      </c>
    </row>
    <row r="58" spans="2:12" s="1" customFormat="1" x14ac:dyDescent="0.2">
      <c r="B58" s="1" t="s">
        <v>34</v>
      </c>
      <c r="E58" s="1">
        <v>167</v>
      </c>
      <c r="F58" s="1">
        <v>181</v>
      </c>
      <c r="G58" s="1">
        <v>-440</v>
      </c>
      <c r="H58" s="1">
        <v>-60</v>
      </c>
      <c r="I58" s="1">
        <v>257</v>
      </c>
      <c r="J58" s="1">
        <v>190</v>
      </c>
      <c r="K58" s="1">
        <v>-499</v>
      </c>
      <c r="L58" s="1">
        <v>-494</v>
      </c>
    </row>
    <row r="59" spans="2:12" s="1" customFormat="1" x14ac:dyDescent="0.2">
      <c r="B59" s="1" t="s">
        <v>41</v>
      </c>
      <c r="E59" s="1">
        <v>-178</v>
      </c>
      <c r="F59" s="1">
        <v>-87</v>
      </c>
      <c r="G59" s="1">
        <v>-62</v>
      </c>
      <c r="H59" s="1">
        <v>156</v>
      </c>
      <c r="I59" s="1">
        <v>88</v>
      </c>
      <c r="J59" s="1">
        <v>282</v>
      </c>
      <c r="K59" s="1">
        <v>-171</v>
      </c>
      <c r="L59" s="1">
        <v>-214</v>
      </c>
    </row>
    <row r="60" spans="2:12" s="1" customFormat="1" x14ac:dyDescent="0.2">
      <c r="B60" s="1" t="s">
        <v>49</v>
      </c>
      <c r="E60" s="1">
        <v>-59</v>
      </c>
      <c r="F60" s="1">
        <v>-98</v>
      </c>
      <c r="G60" s="1">
        <v>-166</v>
      </c>
      <c r="H60" s="1">
        <v>-184</v>
      </c>
      <c r="I60" s="1">
        <v>-182</v>
      </c>
      <c r="J60" s="1">
        <v>-224</v>
      </c>
      <c r="K60" s="1">
        <v>-33</v>
      </c>
      <c r="L60" s="1">
        <v>-156</v>
      </c>
    </row>
    <row r="61" spans="2:12" s="5" customFormat="1" ht="15" x14ac:dyDescent="0.25">
      <c r="B61" s="5" t="s">
        <v>50</v>
      </c>
      <c r="E61" s="5">
        <f t="shared" ref="E61:L61" si="11">+SUM(E50:E60)</f>
        <v>1345</v>
      </c>
      <c r="F61" s="5">
        <f t="shared" si="11"/>
        <v>2365</v>
      </c>
      <c r="G61" s="5">
        <f t="shared" si="11"/>
        <v>267</v>
      </c>
      <c r="H61" s="5">
        <f t="shared" si="11"/>
        <v>237</v>
      </c>
      <c r="I61" s="5">
        <f t="shared" si="11"/>
        <v>1866</v>
      </c>
      <c r="J61" s="5">
        <f t="shared" si="11"/>
        <v>2639</v>
      </c>
      <c r="K61" s="5">
        <f t="shared" si="11"/>
        <v>29</v>
      </c>
      <c r="L61" s="5">
        <f t="shared" si="11"/>
        <v>-656</v>
      </c>
    </row>
    <row r="62" spans="2:12" s="1" customFormat="1" x14ac:dyDescent="0.2"/>
    <row r="63" spans="2:12" s="1" customFormat="1" x14ac:dyDescent="0.2">
      <c r="B63" s="1" t="s">
        <v>52</v>
      </c>
      <c r="E63" s="1">
        <v>-192</v>
      </c>
      <c r="F63" s="1">
        <v>-359</v>
      </c>
      <c r="G63" s="1">
        <v>-117</v>
      </c>
      <c r="H63" s="1">
        <v>-242</v>
      </c>
      <c r="I63" s="1">
        <v>-333</v>
      </c>
      <c r="J63" s="1">
        <v>-484</v>
      </c>
      <c r="K63" s="1">
        <v>-53</v>
      </c>
      <c r="L63" s="1">
        <v>-121</v>
      </c>
    </row>
    <row r="64" spans="2:12" s="1" customFormat="1" x14ac:dyDescent="0.2">
      <c r="B64" s="1" t="s">
        <v>53</v>
      </c>
      <c r="E64" s="1">
        <v>-611</v>
      </c>
      <c r="F64" s="1">
        <v>-1061</v>
      </c>
      <c r="G64" s="1">
        <v>-1</v>
      </c>
      <c r="J64" s="1">
        <v>-51</v>
      </c>
      <c r="K64" s="1">
        <v>-75</v>
      </c>
      <c r="L64" s="1">
        <v>-229</v>
      </c>
    </row>
    <row r="65" spans="2:12" s="1" customFormat="1" x14ac:dyDescent="0.2">
      <c r="B65" s="1" t="s">
        <v>54</v>
      </c>
      <c r="E65" s="1">
        <v>45</v>
      </c>
      <c r="F65" s="1">
        <v>60</v>
      </c>
      <c r="I65" s="1">
        <v>93</v>
      </c>
      <c r="J65" s="1">
        <v>93</v>
      </c>
      <c r="K65" s="1">
        <v>82</v>
      </c>
      <c r="L65" s="1">
        <v>82</v>
      </c>
    </row>
    <row r="66" spans="2:12" s="1" customFormat="1" x14ac:dyDescent="0.2">
      <c r="B66" s="1" t="s">
        <v>63</v>
      </c>
      <c r="E66" s="1">
        <v>349</v>
      </c>
      <c r="F66" s="1">
        <v>349</v>
      </c>
    </row>
    <row r="67" spans="2:12" s="1" customFormat="1" x14ac:dyDescent="0.2">
      <c r="B67" s="1" t="s">
        <v>55</v>
      </c>
      <c r="F67" s="1">
        <v>-103</v>
      </c>
      <c r="G67" s="1">
        <v>-31</v>
      </c>
      <c r="H67" s="1">
        <v>-86</v>
      </c>
      <c r="I67" s="1">
        <v>-86</v>
      </c>
      <c r="J67" s="1">
        <v>-86</v>
      </c>
      <c r="K67" s="1">
        <v>-29</v>
      </c>
      <c r="L67" s="1">
        <v>-28</v>
      </c>
    </row>
    <row r="68" spans="2:12" s="1" customFormat="1" x14ac:dyDescent="0.2">
      <c r="B68" s="1" t="s">
        <v>35</v>
      </c>
      <c r="E68" s="1">
        <v>12</v>
      </c>
      <c r="F68" s="1">
        <v>14</v>
      </c>
      <c r="H68" s="1">
        <v>-1</v>
      </c>
      <c r="I68" s="1">
        <v>-3</v>
      </c>
    </row>
    <row r="69" spans="2:12" s="5" customFormat="1" ht="15" x14ac:dyDescent="0.25">
      <c r="B69" s="5" t="s">
        <v>56</v>
      </c>
      <c r="E69" s="5">
        <f t="shared" ref="E69:L69" si="12">+SUM(E63:E68)</f>
        <v>-397</v>
      </c>
      <c r="F69" s="5">
        <f t="shared" si="12"/>
        <v>-1100</v>
      </c>
      <c r="G69" s="5">
        <f t="shared" si="12"/>
        <v>-149</v>
      </c>
      <c r="H69" s="5">
        <f t="shared" si="12"/>
        <v>-329</v>
      </c>
      <c r="I69" s="5">
        <f t="shared" si="12"/>
        <v>-329</v>
      </c>
      <c r="J69" s="5">
        <f t="shared" si="12"/>
        <v>-528</v>
      </c>
      <c r="K69" s="5">
        <f t="shared" si="12"/>
        <v>-75</v>
      </c>
      <c r="L69" s="5">
        <f t="shared" si="12"/>
        <v>-296</v>
      </c>
    </row>
    <row r="70" spans="2:12" s="1" customFormat="1" x14ac:dyDescent="0.2"/>
    <row r="71" spans="2:12" s="1" customFormat="1" x14ac:dyDescent="0.2">
      <c r="B71" s="1" t="s">
        <v>64</v>
      </c>
      <c r="F71" s="1">
        <v>1191</v>
      </c>
    </row>
    <row r="72" spans="2:12" s="1" customFormat="1" x14ac:dyDescent="0.2">
      <c r="B72" s="1" t="s">
        <v>57</v>
      </c>
      <c r="E72" s="1">
        <v>-600</v>
      </c>
      <c r="F72" s="1">
        <v>-600</v>
      </c>
      <c r="G72" s="1">
        <v>-267</v>
      </c>
      <c r="H72" s="1">
        <v>-416</v>
      </c>
      <c r="I72" s="1">
        <v>-713</v>
      </c>
      <c r="J72" s="1">
        <v>-1001</v>
      </c>
      <c r="K72" s="1">
        <v>-250</v>
      </c>
      <c r="L72" s="1">
        <v>-497</v>
      </c>
    </row>
    <row r="73" spans="2:12" s="1" customFormat="1" x14ac:dyDescent="0.2">
      <c r="B73" s="1" t="s">
        <v>58</v>
      </c>
      <c r="E73" s="1">
        <v>-70</v>
      </c>
      <c r="F73" s="1">
        <v>-95</v>
      </c>
      <c r="G73" s="1">
        <v>152</v>
      </c>
      <c r="H73" s="1">
        <v>116</v>
      </c>
      <c r="I73" s="1">
        <v>113</v>
      </c>
      <c r="J73" s="1">
        <v>112</v>
      </c>
    </row>
    <row r="74" spans="2:12" s="1" customFormat="1" x14ac:dyDescent="0.2">
      <c r="B74" s="1" t="s">
        <v>59</v>
      </c>
      <c r="G74" s="1">
        <v>462</v>
      </c>
      <c r="H74" s="1">
        <v>462</v>
      </c>
      <c r="I74" s="1">
        <v>462</v>
      </c>
      <c r="J74" s="1">
        <v>462</v>
      </c>
    </row>
    <row r="75" spans="2:12" s="1" customFormat="1" x14ac:dyDescent="0.2">
      <c r="B75" s="1" t="s">
        <v>62</v>
      </c>
      <c r="E75" s="1">
        <v>-321</v>
      </c>
      <c r="F75" s="1">
        <v>-335</v>
      </c>
      <c r="G75" s="1">
        <v>-15</v>
      </c>
      <c r="H75" s="1">
        <v>-176</v>
      </c>
      <c r="I75" s="1">
        <v>-182</v>
      </c>
      <c r="J75" s="1">
        <v>-330</v>
      </c>
      <c r="K75" s="1">
        <v>-150</v>
      </c>
      <c r="L75" s="1">
        <v>-150</v>
      </c>
    </row>
    <row r="76" spans="2:12" s="1" customFormat="1" x14ac:dyDescent="0.2">
      <c r="B76" s="1" t="s">
        <v>26</v>
      </c>
      <c r="I76" s="1">
        <v>-67</v>
      </c>
      <c r="J76" s="1">
        <v>-67</v>
      </c>
    </row>
    <row r="77" spans="2:12" s="8" customFormat="1" x14ac:dyDescent="0.2">
      <c r="B77" s="8" t="s">
        <v>35</v>
      </c>
      <c r="E77" s="8">
        <v>6</v>
      </c>
      <c r="F77" s="8">
        <v>-15</v>
      </c>
      <c r="G77" s="8">
        <v>-34</v>
      </c>
      <c r="H77" s="8">
        <v>-37</v>
      </c>
      <c r="I77" s="8">
        <v>-30</v>
      </c>
      <c r="J77" s="8">
        <v>-46</v>
      </c>
      <c r="K77" s="8">
        <v>-29</v>
      </c>
      <c r="L77" s="8">
        <v>-32</v>
      </c>
    </row>
    <row r="78" spans="2:12" s="5" customFormat="1" ht="15" x14ac:dyDescent="0.25">
      <c r="B78" s="5" t="s">
        <v>60</v>
      </c>
      <c r="E78" s="5">
        <f>+SUM(E71:E77)</f>
        <v>-985</v>
      </c>
      <c r="F78" s="5">
        <f>+SUM(F71:F77)</f>
        <v>146</v>
      </c>
      <c r="G78" s="5">
        <f t="shared" ref="G78:L78" si="13">+SUM(G72:G77)</f>
        <v>298</v>
      </c>
      <c r="H78" s="5">
        <f t="shared" si="13"/>
        <v>-51</v>
      </c>
      <c r="I78" s="5">
        <f t="shared" si="13"/>
        <v>-417</v>
      </c>
      <c r="J78" s="5">
        <f t="shared" si="13"/>
        <v>-870</v>
      </c>
      <c r="K78" s="5">
        <f t="shared" si="13"/>
        <v>-429</v>
      </c>
      <c r="L78" s="5">
        <f t="shared" si="13"/>
        <v>-679</v>
      </c>
    </row>
    <row r="79" spans="2:12" s="5" customFormat="1" ht="15" x14ac:dyDescent="0.25">
      <c r="B79" s="5" t="s">
        <v>61</v>
      </c>
      <c r="E79" s="5">
        <f t="shared" ref="E79:L79" si="14">+E78+E69+E61</f>
        <v>-37</v>
      </c>
      <c r="F79" s="5">
        <f t="shared" si="14"/>
        <v>1411</v>
      </c>
      <c r="G79" s="5">
        <f t="shared" si="14"/>
        <v>416</v>
      </c>
      <c r="H79" s="5">
        <f t="shared" si="14"/>
        <v>-143</v>
      </c>
      <c r="I79" s="5">
        <f t="shared" si="14"/>
        <v>1120</v>
      </c>
      <c r="J79" s="5">
        <f t="shared" si="14"/>
        <v>1241</v>
      </c>
      <c r="K79" s="5">
        <f t="shared" si="14"/>
        <v>-475</v>
      </c>
      <c r="L79" s="5">
        <f t="shared" si="14"/>
        <v>-1631</v>
      </c>
    </row>
    <row r="81" spans="10:10" x14ac:dyDescent="0.2">
      <c r="J8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2022-04-17T16:15:11Z</dcterms:created>
  <dcterms:modified xsi:type="dcterms:W3CDTF">2022-05-02T23:08:55Z</dcterms:modified>
</cp:coreProperties>
</file>