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DACB70D2-C4AC-473E-A6FF-35F421788468}" xr6:coauthVersionLast="47" xr6:coauthVersionMax="47" xr10:uidLastSave="{00000000-0000-0000-0000-000000000000}"/>
  <bookViews>
    <workbookView xWindow="-120" yWindow="-120" windowWidth="29040" windowHeight="15840" tabRatio="594" activeTab="1" xr2:uid="{DD01418F-3BBF-4F75-BE16-E32590F70677}"/>
  </bookViews>
  <sheets>
    <sheet name="Main" sheetId="1" r:id="rId1"/>
    <sheet name="Model" sheetId="2" r:id="rId2"/>
    <sheet name="Statis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0" i="2" l="1"/>
  <c r="X42" i="2"/>
  <c r="AB30" i="2"/>
  <c r="AA30" i="2"/>
  <c r="Z30" i="2"/>
  <c r="Y30" i="2"/>
  <c r="X38" i="2"/>
  <c r="X40" i="2" s="1"/>
  <c r="X39" i="2"/>
  <c r="M44" i="2"/>
  <c r="L44" i="2"/>
  <c r="K44" i="2"/>
  <c r="J44" i="2"/>
  <c r="I44" i="2"/>
  <c r="H44" i="2"/>
  <c r="G44" i="2"/>
  <c r="N44" i="2"/>
  <c r="O49" i="2"/>
  <c r="X41" i="2" l="1"/>
  <c r="W26" i="2" l="1"/>
  <c r="W24" i="2"/>
  <c r="V24" i="2"/>
  <c r="V26" i="2"/>
  <c r="V25" i="2"/>
  <c r="V23" i="2"/>
  <c r="W25" i="2"/>
  <c r="W23" i="2"/>
  <c r="W30" i="2"/>
  <c r="V30" i="2"/>
  <c r="J30" i="2" s="1"/>
  <c r="O26" i="2"/>
  <c r="O25" i="2"/>
  <c r="O24" i="2"/>
  <c r="K16" i="2"/>
  <c r="K9" i="2"/>
  <c r="O16" i="2"/>
  <c r="O9" i="2"/>
  <c r="G39" i="2"/>
  <c r="G37" i="2"/>
  <c r="G38" i="2" s="1"/>
  <c r="G46" i="2" s="1"/>
  <c r="H39" i="2"/>
  <c r="H37" i="2"/>
  <c r="H38" i="2" s="1"/>
  <c r="H46" i="2" s="1"/>
  <c r="L49" i="2"/>
  <c r="L39" i="2"/>
  <c r="L37" i="2"/>
  <c r="L38" i="2" s="1"/>
  <c r="I107" i="2"/>
  <c r="M107" i="2"/>
  <c r="I99" i="2"/>
  <c r="M99" i="2"/>
  <c r="I93" i="2"/>
  <c r="M93" i="2"/>
  <c r="J67" i="2"/>
  <c r="J56" i="2" s="1"/>
  <c r="J65" i="2"/>
  <c r="M67" i="2"/>
  <c r="M77" i="2" s="1"/>
  <c r="M79" i="2" s="1"/>
  <c r="M65" i="2"/>
  <c r="J33" i="2"/>
  <c r="J36" i="2"/>
  <c r="J41" i="2"/>
  <c r="J35" i="2"/>
  <c r="J34" i="2"/>
  <c r="J32" i="2"/>
  <c r="J31" i="2"/>
  <c r="M49" i="2"/>
  <c r="M54" i="2"/>
  <c r="M53" i="2"/>
  <c r="M52" i="2"/>
  <c r="M51" i="2"/>
  <c r="I39" i="2"/>
  <c r="I37" i="2"/>
  <c r="I38" i="2" s="1"/>
  <c r="I46" i="2" s="1"/>
  <c r="M39" i="2"/>
  <c r="M37" i="2"/>
  <c r="M38" i="2" s="1"/>
  <c r="M46" i="2" s="1"/>
  <c r="N41" i="2"/>
  <c r="N36" i="2"/>
  <c r="N35" i="2"/>
  <c r="N34" i="2"/>
  <c r="N33" i="2"/>
  <c r="N32" i="2"/>
  <c r="N31" i="2"/>
  <c r="J12" i="3"/>
  <c r="J15" i="3" s="1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K8" i="3" s="1"/>
  <c r="K9" i="3" s="1"/>
  <c r="G6" i="3"/>
  <c r="G5" i="3"/>
  <c r="K7" i="3" s="1"/>
  <c r="F6" i="3"/>
  <c r="F7" i="3"/>
  <c r="J8" i="3" s="1"/>
  <c r="J9" i="3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5" i="3"/>
  <c r="J7" i="3" s="1"/>
  <c r="V67" i="2"/>
  <c r="V77" i="2" s="1"/>
  <c r="V79" i="2" s="1"/>
  <c r="W67" i="2"/>
  <c r="W77" i="2" s="1"/>
  <c r="W79" i="2" s="1"/>
  <c r="V65" i="2"/>
  <c r="W65" i="2"/>
  <c r="V54" i="2"/>
  <c r="V53" i="2"/>
  <c r="V52" i="2"/>
  <c r="V51" i="2"/>
  <c r="W54" i="2"/>
  <c r="W53" i="2"/>
  <c r="W52" i="2"/>
  <c r="W51" i="2"/>
  <c r="V49" i="2"/>
  <c r="U39" i="2"/>
  <c r="U36" i="2"/>
  <c r="U37" i="2" s="1"/>
  <c r="U38" i="2" s="1"/>
  <c r="U46" i="2" s="1"/>
  <c r="V39" i="2"/>
  <c r="V37" i="2"/>
  <c r="W39" i="2"/>
  <c r="W37" i="2"/>
  <c r="W38" i="2" s="1"/>
  <c r="U2" i="2"/>
  <c r="V2" i="2" s="1"/>
  <c r="W2" i="2" s="1"/>
  <c r="X2" i="2" s="1"/>
  <c r="Y2" i="2" s="1"/>
  <c r="Z2" i="2" s="1"/>
  <c r="AA2" i="2" s="1"/>
  <c r="AB2" i="2" s="1"/>
  <c r="O54" i="2"/>
  <c r="K107" i="2"/>
  <c r="O107" i="2"/>
  <c r="K99" i="2"/>
  <c r="O99" i="2"/>
  <c r="K93" i="2"/>
  <c r="O93" i="2"/>
  <c r="N67" i="2"/>
  <c r="N77" i="2" s="1"/>
  <c r="N79" i="2" s="1"/>
  <c r="O67" i="2"/>
  <c r="O77" i="2" s="1"/>
  <c r="O79" i="2" s="1"/>
  <c r="N65" i="2"/>
  <c r="O65" i="2"/>
  <c r="O53" i="2"/>
  <c r="O52" i="2"/>
  <c r="O51" i="2"/>
  <c r="K39" i="2"/>
  <c r="O43" i="2"/>
  <c r="O39" i="2"/>
  <c r="K37" i="2"/>
  <c r="O37" i="2"/>
  <c r="L9" i="1"/>
  <c r="L7" i="1"/>
  <c r="L10" i="1" s="1"/>
  <c r="J16" i="3" l="1"/>
  <c r="K16" i="3" s="1"/>
  <c r="J10" i="3"/>
  <c r="K30" i="2"/>
  <c r="K38" i="2" s="1"/>
  <c r="X46" i="2"/>
  <c r="X49" i="2"/>
  <c r="W56" i="2"/>
  <c r="W49" i="2"/>
  <c r="O22" i="2"/>
  <c r="O23" i="2"/>
  <c r="V38" i="2"/>
  <c r="V46" i="2" s="1"/>
  <c r="V56" i="2"/>
  <c r="J39" i="2"/>
  <c r="N30" i="2"/>
  <c r="N49" i="2" s="1"/>
  <c r="O30" i="2"/>
  <c r="O38" i="2"/>
  <c r="O40" i="2" s="1"/>
  <c r="J77" i="2"/>
  <c r="J79" i="2" s="1"/>
  <c r="M108" i="2"/>
  <c r="L40" i="2"/>
  <c r="L46" i="2"/>
  <c r="W40" i="2"/>
  <c r="W42" i="2" s="1"/>
  <c r="I108" i="2"/>
  <c r="G40" i="2"/>
  <c r="N54" i="2"/>
  <c r="H40" i="2"/>
  <c r="N51" i="2"/>
  <c r="N39" i="2"/>
  <c r="O56" i="2"/>
  <c r="J37" i="2"/>
  <c r="N53" i="2"/>
  <c r="N52" i="2"/>
  <c r="M56" i="2"/>
  <c r="N56" i="2"/>
  <c r="O108" i="2"/>
  <c r="K108" i="2"/>
  <c r="W46" i="2"/>
  <c r="I40" i="2"/>
  <c r="N37" i="2"/>
  <c r="M40" i="2"/>
  <c r="M47" i="2" s="1"/>
  <c r="J13" i="3"/>
  <c r="U40" i="2"/>
  <c r="O46" i="2"/>
  <c r="K46" i="2" l="1"/>
  <c r="N38" i="2"/>
  <c r="N46" i="2" s="1"/>
  <c r="V40" i="2"/>
  <c r="V42" i="2" s="1"/>
  <c r="K49" i="2"/>
  <c r="W44" i="2"/>
  <c r="X47" i="2"/>
  <c r="Y49" i="2"/>
  <c r="Y38" i="2"/>
  <c r="Y46" i="2" s="1"/>
  <c r="J38" i="2"/>
  <c r="J46" i="2" s="1"/>
  <c r="Z49" i="2"/>
  <c r="K40" i="2"/>
  <c r="K47" i="2" s="1"/>
  <c r="W47" i="2"/>
  <c r="G42" i="2"/>
  <c r="G47" i="2"/>
  <c r="L42" i="2"/>
  <c r="L47" i="2"/>
  <c r="H42" i="2"/>
  <c r="H47" i="2"/>
  <c r="I42" i="2"/>
  <c r="I81" i="2" s="1"/>
  <c r="I47" i="2"/>
  <c r="O42" i="2"/>
  <c r="O47" i="2"/>
  <c r="J40" i="2"/>
  <c r="J47" i="2" s="1"/>
  <c r="U42" i="2"/>
  <c r="U44" i="2" s="1"/>
  <c r="U47" i="2"/>
  <c r="M42" i="2"/>
  <c r="M81" i="2" s="1"/>
  <c r="V47" i="2" l="1"/>
  <c r="K42" i="2"/>
  <c r="K81" i="2" s="1"/>
  <c r="N40" i="2"/>
  <c r="N47" i="2" s="1"/>
  <c r="Z38" i="2"/>
  <c r="Z46" i="2" s="1"/>
  <c r="AA38" i="2"/>
  <c r="AA46" i="2" s="1"/>
  <c r="AA49" i="2"/>
  <c r="J42" i="2"/>
  <c r="V44" i="2"/>
  <c r="O44" i="2"/>
  <c r="O81" i="2"/>
  <c r="N42" i="2"/>
  <c r="X56" i="2" l="1"/>
  <c r="AB38" i="2"/>
  <c r="AB46" i="2" s="1"/>
  <c r="AB49" i="2"/>
  <c r="Y39" i="2" l="1"/>
  <c r="Y40" i="2" s="1"/>
  <c r="Y41" i="2" l="1"/>
  <c r="Y47" i="2" s="1"/>
  <c r="Y42" i="2" l="1"/>
  <c r="Y56" i="2" s="1"/>
  <c r="Z39" i="2" s="1"/>
  <c r="Z40" i="2" s="1"/>
  <c r="Z41" i="2" l="1"/>
  <c r="Z47" i="2" s="1"/>
  <c r="Z42" i="2"/>
  <c r="Z56" i="2" s="1"/>
  <c r="AA39" i="2" s="1"/>
  <c r="AA40" i="2" s="1"/>
  <c r="AA41" i="2" l="1"/>
  <c r="AA47" i="2" s="1"/>
  <c r="AA42" i="2"/>
  <c r="AA56" i="2" s="1"/>
  <c r="AB39" i="2" s="1"/>
  <c r="AB40" i="2" s="1"/>
  <c r="AB41" i="2" s="1"/>
  <c r="AB47" i="2" s="1"/>
  <c r="AB42" i="2" l="1"/>
  <c r="AC42" i="2" s="1"/>
  <c r="AD42" i="2" l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AB56" i="2"/>
  <c r="AE51" i="2" l="1"/>
  <c r="AE52" i="2" s="1"/>
  <c r="AE53" i="2" s="1"/>
  <c r="AE54" i="2" s="1"/>
</calcChain>
</file>

<file path=xl/sharedStrings.xml><?xml version="1.0" encoding="utf-8"?>
<sst xmlns="http://schemas.openxmlformats.org/spreadsheetml/2006/main" count="143" uniqueCount="123">
  <si>
    <t>Price</t>
  </si>
  <si>
    <t>Shares</t>
  </si>
  <si>
    <t>MC</t>
  </si>
  <si>
    <t>EV</t>
  </si>
  <si>
    <t>Debt</t>
  </si>
  <si>
    <t>Cash</t>
  </si>
  <si>
    <t>Q122</t>
  </si>
  <si>
    <t>Q123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</si>
  <si>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</si>
  <si>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</si>
  <si>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</si>
  <si>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</si>
  <si>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</si>
  <si>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</si>
  <si>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</si>
  <si>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</si>
  <si>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</si>
  <si>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</si>
  <si>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</si>
  <si>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Q223</t>
  </si>
  <si>
    <t>Q324</t>
  </si>
  <si>
    <t>Revenue</t>
  </si>
  <si>
    <t>Salaries</t>
  </si>
  <si>
    <t>Transportation</t>
  </si>
  <si>
    <t>Rentals</t>
  </si>
  <si>
    <t>Fuel</t>
  </si>
  <si>
    <t>Maintenance</t>
  </si>
  <si>
    <t>Other</t>
  </si>
  <si>
    <t>Operating Expenses</t>
  </si>
  <si>
    <t>Operating Income</t>
  </si>
  <si>
    <t>Pretax Income</t>
  </si>
  <si>
    <t>Taxes</t>
  </si>
  <si>
    <t>Net Income</t>
  </si>
  <si>
    <t>EPS</t>
  </si>
  <si>
    <t>Operating Margin %</t>
  </si>
  <si>
    <t>Revenue Growth Y/Y</t>
  </si>
  <si>
    <t>Interest Income</t>
  </si>
  <si>
    <t>Salary Cost Y/Y</t>
  </si>
  <si>
    <t>Transportation Cost Y/Y</t>
  </si>
  <si>
    <t>Rentals Y/Y</t>
  </si>
  <si>
    <t>Fuel Y/Y</t>
  </si>
  <si>
    <t>A/R</t>
  </si>
  <si>
    <t>Parts/Supplies</t>
  </si>
  <si>
    <t>Preapids</t>
  </si>
  <si>
    <t>PP&amp;E</t>
  </si>
  <si>
    <t>Operating Lease</t>
  </si>
  <si>
    <t>Intangibles</t>
  </si>
  <si>
    <t>OA</t>
  </si>
  <si>
    <t>Total Assets</t>
  </si>
  <si>
    <t>Net Cash</t>
  </si>
  <si>
    <t>Pension</t>
  </si>
  <si>
    <t>A/P</t>
  </si>
  <si>
    <t>A/E</t>
  </si>
  <si>
    <t>D/T</t>
  </si>
  <si>
    <t>Accured Salaries</t>
  </si>
  <si>
    <t xml:space="preserve">Self-Insurance </t>
  </si>
  <si>
    <t>LT Operating Lease</t>
  </si>
  <si>
    <t>OL</t>
  </si>
  <si>
    <t>Total Liabilties</t>
  </si>
  <si>
    <t>Equity</t>
  </si>
  <si>
    <t>L + S/E</t>
  </si>
  <si>
    <t>Reported NI</t>
  </si>
  <si>
    <t>Model NI</t>
  </si>
  <si>
    <t>D/A</t>
  </si>
  <si>
    <t>Uncollectible Accounts</t>
  </si>
  <si>
    <t>SBC</t>
  </si>
  <si>
    <t>Noncash Items</t>
  </si>
  <si>
    <t>Business realignment</t>
  </si>
  <si>
    <t>Receivables</t>
  </si>
  <si>
    <t>CFFO</t>
  </si>
  <si>
    <t>Capex</t>
  </si>
  <si>
    <t>Dispositions</t>
  </si>
  <si>
    <t>CFFI</t>
  </si>
  <si>
    <t>Debt Principal</t>
  </si>
  <si>
    <t>Stock Issuance</t>
  </si>
  <si>
    <t>Dividends</t>
  </si>
  <si>
    <t>Treasury Stock Purchases</t>
  </si>
  <si>
    <t>CFFF</t>
  </si>
  <si>
    <t>CF</t>
  </si>
  <si>
    <t>Tax Rate %</t>
  </si>
  <si>
    <t>SPY</t>
  </si>
  <si>
    <t>% Change</t>
  </si>
  <si>
    <t>Daily</t>
  </si>
  <si>
    <t xml:space="preserve"> Average</t>
  </si>
  <si>
    <t xml:space="preserve"> Varience</t>
  </si>
  <si>
    <t xml:space="preserve"> SD</t>
  </si>
  <si>
    <t>covarience</t>
  </si>
  <si>
    <t>correlation</t>
  </si>
  <si>
    <t>Beta</t>
  </si>
  <si>
    <t xml:space="preserve"> Sharpe</t>
  </si>
  <si>
    <t>CAPM</t>
  </si>
  <si>
    <t>rf</t>
  </si>
  <si>
    <t>FDX</t>
  </si>
  <si>
    <t>Investments</t>
  </si>
  <si>
    <t>Acquistions</t>
  </si>
  <si>
    <t>Debt Issuance</t>
  </si>
  <si>
    <t>Q424</t>
  </si>
  <si>
    <t>US Overnight</t>
  </si>
  <si>
    <t>US Overnight Envelope</t>
  </si>
  <si>
    <t>US Deferred</t>
  </si>
  <si>
    <t>International Priority</t>
  </si>
  <si>
    <t>International Economy</t>
  </si>
  <si>
    <t>International Domestic</t>
  </si>
  <si>
    <t>US</t>
  </si>
  <si>
    <t>International Airfreight</t>
  </si>
  <si>
    <t>Packaging Revenue</t>
  </si>
  <si>
    <t>Freight Revenue</t>
  </si>
  <si>
    <t>Ground Revenue</t>
  </si>
  <si>
    <t>"Express" Revenue</t>
  </si>
  <si>
    <t>Service Revenue</t>
  </si>
  <si>
    <t>Packaging Growth Y/Y</t>
  </si>
  <si>
    <t>Express Growth Y/Y</t>
  </si>
  <si>
    <t>Freight Growth Y/Y</t>
  </si>
  <si>
    <t>Ground Growth Y/Y</t>
  </si>
  <si>
    <t>Service Growth Y/Y</t>
  </si>
  <si>
    <t>Main</t>
  </si>
  <si>
    <t>ROIC</t>
  </si>
  <si>
    <t>Maturity</t>
  </si>
  <si>
    <t>Discount</t>
  </si>
  <si>
    <t>NPV</t>
  </si>
  <si>
    <t>$</t>
  </si>
  <si>
    <t>Net Chng %</t>
  </si>
  <si>
    <t>netcash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</si>
</sst>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232A3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9" fontId="2" fillId="2" borderId="0" xfId="0" applyNumberFormat="1" applyFont="1" applyFill="1"/>
    <xf numFmtId="15" fontId="4" fillId="3" borderId="1" xfId="0" applyNumberFormat="1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right" vertical="center" indent="1"/>
    </xf>
    <xf numFmtId="10" fontId="2" fillId="0" borderId="0" xfId="0" applyNumberFormat="1" applyFont="1"/>
    <xf numFmtId="0" fontId="5" fillId="0" borderId="0" xfId="1"/>
    <xf numFmtId="0" fontId="2" fillId="0" borderId="2" xfId="0" applyFont="1" applyBorder="1"/>
    <xf numFmtId="0" fontId="2" fillId="0" borderId="3" xfId="0" applyFont="1" applyBorder="1"/>
    <xf numFmtId="0" fontId="3" fillId="0" borderId="2" xfId="0" applyFont="1" applyBorder="1"/>
    <xf numFmtId="0" fontId="3" fillId="0" borderId="3" xfId="0" applyFont="1" applyBorder="1"/>
    <xf numFmtId="3" fontId="3" fillId="0" borderId="3" xfId="0" applyNumberFormat="1" applyFont="1" applyBorder="1"/>
    <xf numFmtId="0" fontId="2" fillId="0" borderId="4" xfId="0" applyFont="1" applyBorder="1"/>
    <xf numFmtId="10" fontId="2" fillId="0" borderId="5" xfId="0" applyNumberFormat="1" applyFont="1" applyBorder="1"/>
    <xf numFmtId="0" fontId="2" fillId="0" borderId="6" xfId="0" applyFont="1" applyBorder="1"/>
    <xf numFmtId="9" fontId="2" fillId="0" borderId="7" xfId="0" applyNumberFormat="1" applyFont="1" applyBorder="1"/>
    <xf numFmtId="8" fontId="2" fillId="0" borderId="7" xfId="0" applyNumberFormat="1" applyFont="1" applyBorder="1"/>
    <xf numFmtId="4" fontId="2" fillId="0" borderId="7" xfId="0" applyNumberFormat="1" applyFont="1" applyBorder="1"/>
    <xf numFmtId="0" fontId="2" fillId="0" borderId="8" xfId="0" quotePrefix="1" applyFont="1" applyBorder="1"/>
    <xf numFmtId="9" fontId="2" fillId="0" borderId="9" xfId="0" applyNumberFormat="1" applyFont="1" applyBorder="1"/>
    <xf numFmtId="0" fontId="1" fillId="0" borderId="6" xfId="0" applyFont="1" applyBorder="1"/>
    <xf numFmtId="3" fontId="2" fillId="0" borderId="7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0</xdr:row>
      <xdr:rowOff>57150</xdr:rowOff>
    </xdr:from>
    <xdr:to>
      <xdr:col>15</xdr:col>
      <xdr:colOff>47625</xdr:colOff>
      <xdr:row>59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C2D04C-6371-467A-AB85-DB188BACAE1D}"/>
            </a:ext>
          </a:extLst>
        </xdr:cNvPr>
        <xdr:cNvCxnSpPr/>
      </xdr:nvCxnSpPr>
      <xdr:spPr>
        <a:xfrm>
          <a:off x="9934575" y="57150"/>
          <a:ext cx="0" cy="5924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0</xdr:row>
      <xdr:rowOff>19050</xdr:rowOff>
    </xdr:from>
    <xdr:to>
      <xdr:col>23</xdr:col>
      <xdr:colOff>19050</xdr:colOff>
      <xdr:row>65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52DBB83-4A41-49F4-AC17-522BE80B1606}"/>
            </a:ext>
          </a:extLst>
        </xdr:cNvPr>
        <xdr:cNvCxnSpPr/>
      </xdr:nvCxnSpPr>
      <xdr:spPr>
        <a:xfrm>
          <a:off x="14678025" y="19050"/>
          <a:ext cx="0" cy="11991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92FC-0D67-49C4-9C59-246313BD48DA}">
  <dimension ref="I5:M10"/>
  <sheetViews>
    <sheetView topLeftCell="A4" workbookViewId="0">
      <selection activeCell="L6" sqref="L6"/>
    </sheetView>
  </sheetViews>
  <sheetFormatPr defaultRowHeight="14.25" x14ac:dyDescent="0.2"/>
  <cols>
    <col min="1" max="8" width="9.140625" style="1"/>
    <col min="9" max="9" width="9.140625" style="3"/>
    <col min="10" max="11" width="9.140625" style="1"/>
    <col min="12" max="12" width="19.5703125" style="1" bestFit="1" customWidth="1"/>
    <col min="13" max="16384" width="9.140625" style="1"/>
  </cols>
  <sheetData>
    <row r="5" spans="11:13" x14ac:dyDescent="0.2">
      <c r="K5" s="1" t="s">
        <v>0</v>
      </c>
      <c r="L5" s="7">
        <v>156</v>
      </c>
      <c r="M5" s="3"/>
    </row>
    <row r="6" spans="11:13" x14ac:dyDescent="0.2">
      <c r="K6" s="1" t="s">
        <v>1</v>
      </c>
      <c r="L6" s="2">
        <v>260.21979199999998</v>
      </c>
      <c r="M6" s="3" t="s">
        <v>7</v>
      </c>
    </row>
    <row r="7" spans="11:13" x14ac:dyDescent="0.2">
      <c r="K7" s="1" t="s">
        <v>2</v>
      </c>
      <c r="L7" s="2">
        <f>+L5*L6</f>
        <v>40594.287551999994</v>
      </c>
      <c r="M7" s="3"/>
    </row>
    <row r="8" spans="11:13" x14ac:dyDescent="0.2">
      <c r="K8" s="1" t="s">
        <v>5</v>
      </c>
      <c r="L8" s="2">
        <v>6850</v>
      </c>
      <c r="M8" s="3" t="s">
        <v>7</v>
      </c>
    </row>
    <row r="9" spans="11:13" x14ac:dyDescent="0.2">
      <c r="K9" s="1" t="s">
        <v>4</v>
      </c>
      <c r="L9" s="2">
        <f>139+19918</f>
        <v>20057</v>
      </c>
      <c r="M9" s="3" t="s">
        <v>7</v>
      </c>
    </row>
    <row r="10" spans="11:13" x14ac:dyDescent="0.2">
      <c r="K10" s="1" t="s">
        <v>3</v>
      </c>
      <c r="L10" s="2">
        <f>+L7-L8+L9</f>
        <v>53801.287551999994</v>
      </c>
      <c r="M10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B51B-E579-4277-86A7-973511DC6C9C}">
  <dimension ref="A1:DN108"/>
  <sheetViews>
    <sheetView tabSelected="1" zoomScaleNormal="100" workbookViewId="0">
      <pane xSplit="2" ySplit="2" topLeftCell="E41" activePane="bottomRight" state="frozen"/>
      <selection pane="topRight" activeCell="C1" sqref="C1"/>
      <selection pane="bottomLeft" activeCell="A3" sqref="A3"/>
      <selection pane="bottomRight" activeCell="U52" sqref="U52"/>
    </sheetView>
  </sheetViews>
  <sheetFormatPr defaultRowHeight="14.25" x14ac:dyDescent="0.2"/>
  <cols>
    <col min="1" max="1" width="5.42578125" style="1" bestFit="1" customWidth="1"/>
    <col min="2" max="2" width="20.28515625" style="1" bestFit="1" customWidth="1"/>
    <col min="3" max="17" width="9.140625" style="1"/>
    <col min="18" max="18" width="8.7109375" style="1" customWidth="1"/>
    <col min="19" max="21" width="9.140625" style="1"/>
    <col min="22" max="22" width="11.28515625" style="1" bestFit="1" customWidth="1"/>
    <col min="23" max="16384" width="9.140625" style="1"/>
  </cols>
  <sheetData>
    <row r="1" spans="1:28" ht="15" x14ac:dyDescent="0.25">
      <c r="A1" s="12" t="s">
        <v>115</v>
      </c>
    </row>
    <row r="2" spans="1:28" s="14" customFormat="1" x14ac:dyDescent="0.2">
      <c r="A2" s="13"/>
      <c r="C2" s="14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4" t="s">
        <v>14</v>
      </c>
      <c r="J2" s="14" t="s">
        <v>15</v>
      </c>
      <c r="K2" s="14" t="s">
        <v>6</v>
      </c>
      <c r="L2" s="14" t="s">
        <v>16</v>
      </c>
      <c r="M2" s="14" t="s">
        <v>17</v>
      </c>
      <c r="N2" s="14" t="s">
        <v>18</v>
      </c>
      <c r="O2" s="14" t="s">
        <v>7</v>
      </c>
      <c r="P2" s="14" t="s">
        <v>19</v>
      </c>
      <c r="Q2" s="14" t="s">
        <v>20</v>
      </c>
      <c r="R2" s="14" t="s">
        <v>96</v>
      </c>
      <c r="T2" s="14">
        <v>2019</v>
      </c>
      <c r="U2" s="14">
        <f>+T2+1</f>
        <v>2020</v>
      </c>
      <c r="V2" s="14">
        <f t="shared" ref="V2:AA2" si="0">+U2+1</f>
        <v>2021</v>
      </c>
      <c r="W2" s="14">
        <f t="shared" si="0"/>
        <v>2022</v>
      </c>
      <c r="X2" s="14">
        <f t="shared" si="0"/>
        <v>2023</v>
      </c>
      <c r="Y2" s="14">
        <f t="shared" si="0"/>
        <v>2024</v>
      </c>
      <c r="Z2" s="14">
        <f t="shared" si="0"/>
        <v>2025</v>
      </c>
      <c r="AA2" s="14">
        <f t="shared" si="0"/>
        <v>2026</v>
      </c>
      <c r="AB2" s="14">
        <f t="shared" ref="AB2" si="1">+AA2+1</f>
        <v>2027</v>
      </c>
    </row>
    <row r="3" spans="1:28" s="2" customFormat="1" x14ac:dyDescent="0.2">
      <c r="B3" s="2" t="s">
        <v>97</v>
      </c>
      <c r="K3" s="2">
        <v>2170</v>
      </c>
      <c r="O3" s="2">
        <v>2316</v>
      </c>
    </row>
    <row r="4" spans="1:28" s="2" customFormat="1" x14ac:dyDescent="0.2">
      <c r="B4" s="2" t="s">
        <v>98</v>
      </c>
      <c r="K4" s="2">
        <v>482</v>
      </c>
      <c r="O4" s="2">
        <v>525</v>
      </c>
    </row>
    <row r="5" spans="1:28" s="2" customFormat="1" x14ac:dyDescent="0.2">
      <c r="B5" s="2" t="s">
        <v>99</v>
      </c>
      <c r="K5" s="2">
        <v>1231</v>
      </c>
      <c r="O5" s="2">
        <v>1287</v>
      </c>
    </row>
    <row r="6" spans="1:28" s="2" customFormat="1" x14ac:dyDescent="0.2">
      <c r="B6" s="2" t="s">
        <v>100</v>
      </c>
      <c r="K6" s="2">
        <v>2839</v>
      </c>
      <c r="O6" s="2">
        <v>2897</v>
      </c>
    </row>
    <row r="7" spans="1:28" s="2" customFormat="1" x14ac:dyDescent="0.2">
      <c r="B7" s="2" t="s">
        <v>101</v>
      </c>
      <c r="K7" s="2">
        <v>669</v>
      </c>
      <c r="O7" s="2">
        <v>707</v>
      </c>
    </row>
    <row r="8" spans="1:28" s="2" customFormat="1" x14ac:dyDescent="0.2">
      <c r="B8" s="2" t="s">
        <v>102</v>
      </c>
      <c r="K8" s="2">
        <v>1114</v>
      </c>
      <c r="O8" s="2">
        <v>974</v>
      </c>
    </row>
    <row r="9" spans="1:28" s="5" customFormat="1" ht="15" x14ac:dyDescent="0.25">
      <c r="B9" s="5" t="s">
        <v>105</v>
      </c>
      <c r="K9" s="5">
        <f>+SUM(K3:K8)</f>
        <v>8505</v>
      </c>
      <c r="O9" s="5">
        <f>+SUM(O3:O8)</f>
        <v>8706</v>
      </c>
    </row>
    <row r="10" spans="1:28" s="2" customFormat="1" x14ac:dyDescent="0.2"/>
    <row r="11" spans="1:28" s="2" customFormat="1" x14ac:dyDescent="0.2">
      <c r="B11" s="2" t="s">
        <v>103</v>
      </c>
      <c r="K11" s="2">
        <v>775</v>
      </c>
      <c r="O11" s="2">
        <v>796</v>
      </c>
    </row>
    <row r="12" spans="1:28" s="2" customFormat="1" x14ac:dyDescent="0.2">
      <c r="B12" s="2" t="s">
        <v>100</v>
      </c>
      <c r="K12" s="2">
        <v>873</v>
      </c>
      <c r="O12" s="2">
        <v>888</v>
      </c>
    </row>
    <row r="13" spans="1:28" s="2" customFormat="1" x14ac:dyDescent="0.2">
      <c r="B13" s="2" t="s">
        <v>101</v>
      </c>
      <c r="K13" s="2">
        <v>414</v>
      </c>
      <c r="O13" s="2">
        <v>377</v>
      </c>
    </row>
    <row r="14" spans="1:28" s="2" customFormat="1" x14ac:dyDescent="0.2">
      <c r="B14" s="2" t="s">
        <v>104</v>
      </c>
      <c r="K14" s="2">
        <v>47</v>
      </c>
      <c r="O14" s="2">
        <v>41</v>
      </c>
    </row>
    <row r="15" spans="1:28" s="2" customFormat="1" x14ac:dyDescent="0.2">
      <c r="B15" s="2" t="s">
        <v>27</v>
      </c>
      <c r="K15" s="2">
        <v>352</v>
      </c>
      <c r="O15" s="2">
        <v>319</v>
      </c>
    </row>
    <row r="16" spans="1:28" s="5" customFormat="1" ht="15" x14ac:dyDescent="0.25">
      <c r="B16" s="5" t="s">
        <v>108</v>
      </c>
      <c r="K16" s="5">
        <f>+SUM(K11:K15)</f>
        <v>2461</v>
      </c>
      <c r="O16" s="5">
        <f>+SUM(O11:O15)</f>
        <v>2421</v>
      </c>
      <c r="U16" s="5">
        <v>35513</v>
      </c>
      <c r="V16" s="5">
        <v>42078</v>
      </c>
      <c r="W16" s="5">
        <v>45814</v>
      </c>
    </row>
    <row r="17" spans="2:28" s="5" customFormat="1" ht="15" x14ac:dyDescent="0.25">
      <c r="B17" s="5" t="s">
        <v>107</v>
      </c>
      <c r="K17" s="5">
        <v>7677</v>
      </c>
      <c r="O17" s="5">
        <v>8160</v>
      </c>
      <c r="U17" s="5">
        <v>22733</v>
      </c>
      <c r="V17" s="5">
        <v>30496</v>
      </c>
      <c r="W17" s="5">
        <v>33232</v>
      </c>
    </row>
    <row r="18" spans="2:28" s="5" customFormat="1" ht="15" x14ac:dyDescent="0.25">
      <c r="B18" s="5" t="s">
        <v>106</v>
      </c>
      <c r="K18" s="5">
        <v>2251</v>
      </c>
      <c r="O18" s="5">
        <v>2723</v>
      </c>
      <c r="U18" s="5">
        <v>7102</v>
      </c>
      <c r="V18" s="5">
        <v>7833</v>
      </c>
      <c r="W18" s="5">
        <v>9532</v>
      </c>
    </row>
    <row r="19" spans="2:28" s="5" customFormat="1" ht="15" x14ac:dyDescent="0.25">
      <c r="B19" s="5" t="s">
        <v>109</v>
      </c>
      <c r="K19" s="5">
        <v>35</v>
      </c>
      <c r="O19" s="5">
        <v>70</v>
      </c>
      <c r="U19" s="5">
        <v>22</v>
      </c>
      <c r="V19" s="5">
        <v>32</v>
      </c>
      <c r="W19" s="5">
        <v>253</v>
      </c>
    </row>
    <row r="20" spans="2:28" s="5" customFormat="1" ht="15" x14ac:dyDescent="0.25">
      <c r="B20" s="5" t="s">
        <v>27</v>
      </c>
      <c r="K20" s="5">
        <v>1074</v>
      </c>
      <c r="O20" s="5">
        <v>1162</v>
      </c>
      <c r="U20" s="5">
        <v>3847</v>
      </c>
      <c r="V20" s="5">
        <v>3520</v>
      </c>
      <c r="W20" s="5">
        <v>4681</v>
      </c>
    </row>
    <row r="21" spans="2:28" s="5" customFormat="1" ht="15" x14ac:dyDescent="0.25"/>
    <row r="22" spans="2:28" s="2" customFormat="1" x14ac:dyDescent="0.2">
      <c r="B22" s="2" t="s">
        <v>110</v>
      </c>
      <c r="O22" s="6">
        <f>+O9/K9-1</f>
        <v>2.3633156966490265E-2</v>
      </c>
      <c r="W22" s="6"/>
    </row>
    <row r="23" spans="2:28" s="2" customFormat="1" x14ac:dyDescent="0.2">
      <c r="B23" s="2" t="s">
        <v>111</v>
      </c>
      <c r="O23" s="6">
        <f>+O16/K16-1</f>
        <v>-1.6253555465257974E-2</v>
      </c>
      <c r="U23" s="6"/>
      <c r="V23" s="6">
        <f t="shared" ref="V23" si="2">+V16/U16-1</f>
        <v>0.18486188156449757</v>
      </c>
      <c r="W23" s="6">
        <f>+W16/V16-1</f>
        <v>8.8787489899710081E-2</v>
      </c>
    </row>
    <row r="24" spans="2:28" s="2" customFormat="1" x14ac:dyDescent="0.2">
      <c r="B24" s="2" t="s">
        <v>113</v>
      </c>
      <c r="O24" s="6">
        <f t="shared" ref="O24:O25" si="3">+O17/K17-1</f>
        <v>6.291520125048855E-2</v>
      </c>
      <c r="U24" s="6"/>
      <c r="V24" s="6">
        <f>+V17/U17-1</f>
        <v>0.3414859455417234</v>
      </c>
      <c r="W24" s="6">
        <f>+W17/V17-1</f>
        <v>8.9716684155298987E-2</v>
      </c>
    </row>
    <row r="25" spans="2:28" s="2" customFormat="1" x14ac:dyDescent="0.2">
      <c r="B25" s="2" t="s">
        <v>112</v>
      </c>
      <c r="O25" s="6">
        <f t="shared" si="3"/>
        <v>0.20968458462905382</v>
      </c>
      <c r="U25" s="6"/>
      <c r="V25" s="6">
        <f t="shared" ref="V25:W25" si="4">+V18/U18-1</f>
        <v>0.10292875246409472</v>
      </c>
      <c r="W25" s="6">
        <f t="shared" si="4"/>
        <v>0.21690284692965656</v>
      </c>
    </row>
    <row r="26" spans="2:28" s="2" customFormat="1" x14ac:dyDescent="0.2">
      <c r="B26" s="2" t="s">
        <v>114</v>
      </c>
      <c r="O26" s="6">
        <f>+O19/K19-1</f>
        <v>1</v>
      </c>
      <c r="U26" s="6"/>
      <c r="V26" s="6">
        <f t="shared" ref="V26" si="5">+V19/U19-1</f>
        <v>0.45454545454545459</v>
      </c>
      <c r="W26" s="6">
        <f>+W19/V19-1</f>
        <v>6.90625</v>
      </c>
    </row>
    <row r="27" spans="2:28" s="5" customFormat="1" ht="15" x14ac:dyDescent="0.25"/>
    <row r="28" spans="2:28" x14ac:dyDescent="0.2">
      <c r="K28" s="2"/>
    </row>
    <row r="30" spans="2:28" s="5" customFormat="1" ht="15" x14ac:dyDescent="0.25">
      <c r="B30" s="5" t="s">
        <v>21</v>
      </c>
      <c r="G30" s="5">
        <v>19321</v>
      </c>
      <c r="H30" s="5">
        <v>20563</v>
      </c>
      <c r="I30" s="5">
        <v>21510</v>
      </c>
      <c r="J30" s="5">
        <f>+V30-SUM(G30:I30)</f>
        <v>22565</v>
      </c>
      <c r="K30" s="5">
        <f>+SUM(K16:K20)+K9</f>
        <v>22003</v>
      </c>
      <c r="L30" s="5">
        <v>23747</v>
      </c>
      <c r="M30" s="5">
        <v>23641</v>
      </c>
      <c r="N30" s="5">
        <f>+W30-SUM(K30:M30)</f>
        <v>24121</v>
      </c>
      <c r="O30" s="5">
        <f>+SUM(O16:O20)+O9</f>
        <v>23242</v>
      </c>
      <c r="U30" s="5">
        <v>69217</v>
      </c>
      <c r="V30" s="5">
        <f>+SUM(V16:V20)</f>
        <v>83959</v>
      </c>
      <c r="W30" s="5">
        <f>+SUM(W16:W20)</f>
        <v>93512</v>
      </c>
      <c r="X30" s="5">
        <f>+W30*0.82</f>
        <v>76679.839999999997</v>
      </c>
      <c r="Y30" s="5">
        <f>+X30*0.86</f>
        <v>65944.662400000001</v>
      </c>
      <c r="Z30" s="5">
        <f>+Y30*0.87</f>
        <v>57371.856288000003</v>
      </c>
      <c r="AA30" s="5">
        <f>+Z30*0.94</f>
        <v>53929.544910719997</v>
      </c>
      <c r="AB30" s="5">
        <f>+AA30*0.94</f>
        <v>50693.772216076795</v>
      </c>
    </row>
    <row r="31" spans="2:28" s="2" customFormat="1" x14ac:dyDescent="0.2">
      <c r="B31" s="2" t="s">
        <v>22</v>
      </c>
      <c r="G31" s="2">
        <v>6852</v>
      </c>
      <c r="H31" s="2">
        <v>7443</v>
      </c>
      <c r="I31" s="2">
        <v>8010</v>
      </c>
      <c r="J31" s="2">
        <f t="shared" ref="J31:J42" si="6">+V31-SUM(G31:I31)</f>
        <v>7868</v>
      </c>
      <c r="K31" s="2">
        <v>7776</v>
      </c>
      <c r="L31" s="2">
        <v>8135</v>
      </c>
      <c r="M31" s="2">
        <v>8244</v>
      </c>
      <c r="N31" s="2">
        <f t="shared" ref="N31:N42" si="7">+W31-SUM(K31:M31)</f>
        <v>7903</v>
      </c>
      <c r="O31" s="2">
        <v>7859</v>
      </c>
      <c r="U31" s="2">
        <v>25031</v>
      </c>
      <c r="V31" s="2">
        <v>30173</v>
      </c>
      <c r="W31" s="2">
        <v>32058</v>
      </c>
    </row>
    <row r="32" spans="2:28" s="2" customFormat="1" x14ac:dyDescent="0.2">
      <c r="B32" s="2" t="s">
        <v>23</v>
      </c>
      <c r="G32" s="2">
        <v>4977</v>
      </c>
      <c r="H32" s="2">
        <v>5407</v>
      </c>
      <c r="I32" s="2">
        <v>5660</v>
      </c>
      <c r="J32" s="2">
        <f t="shared" si="6"/>
        <v>5630</v>
      </c>
      <c r="K32" s="2">
        <v>5659</v>
      </c>
      <c r="L32" s="2">
        <v>6241</v>
      </c>
      <c r="M32" s="2">
        <v>6272</v>
      </c>
      <c r="N32" s="2">
        <f t="shared" si="7"/>
        <v>5946</v>
      </c>
      <c r="O32" s="2">
        <v>5767</v>
      </c>
      <c r="U32" s="2">
        <v>17466</v>
      </c>
      <c r="V32" s="2">
        <v>21674</v>
      </c>
      <c r="W32" s="2">
        <v>24118</v>
      </c>
    </row>
    <row r="33" spans="1:118" s="2" customFormat="1" x14ac:dyDescent="0.2">
      <c r="B33" s="2" t="s">
        <v>24</v>
      </c>
      <c r="G33" s="2">
        <v>936</v>
      </c>
      <c r="H33" s="2">
        <v>1006</v>
      </c>
      <c r="I33" s="2">
        <v>1131</v>
      </c>
      <c r="J33" s="2">
        <f>+V33-SUM(G33:I33)</f>
        <v>1082</v>
      </c>
      <c r="K33" s="2">
        <v>1133</v>
      </c>
      <c r="L33" s="2">
        <v>1177</v>
      </c>
      <c r="M33" s="2">
        <v>1225</v>
      </c>
      <c r="N33" s="2">
        <f t="shared" si="7"/>
        <v>1177</v>
      </c>
      <c r="O33" s="2">
        <v>1159</v>
      </c>
      <c r="U33" s="2">
        <v>3712</v>
      </c>
      <c r="V33" s="2">
        <v>4155</v>
      </c>
      <c r="W33" s="2">
        <v>4712</v>
      </c>
    </row>
    <row r="34" spans="1:118" s="2" customFormat="1" x14ac:dyDescent="0.2">
      <c r="B34" s="2" t="s">
        <v>25</v>
      </c>
      <c r="G34" s="2">
        <v>565</v>
      </c>
      <c r="H34" s="2">
        <v>625</v>
      </c>
      <c r="I34" s="2">
        <v>756</v>
      </c>
      <c r="J34" s="2">
        <f t="shared" si="6"/>
        <v>936</v>
      </c>
      <c r="K34" s="2">
        <v>1009</v>
      </c>
      <c r="L34" s="2">
        <v>1145</v>
      </c>
      <c r="M34" s="2">
        <v>1201</v>
      </c>
      <c r="N34" s="2">
        <f t="shared" si="7"/>
        <v>1760</v>
      </c>
      <c r="O34" s="2">
        <v>1822</v>
      </c>
      <c r="U34" s="2">
        <v>3156</v>
      </c>
      <c r="V34" s="2">
        <v>2882</v>
      </c>
      <c r="W34" s="2">
        <v>5115</v>
      </c>
    </row>
    <row r="35" spans="1:118" s="2" customFormat="1" x14ac:dyDescent="0.2">
      <c r="B35" s="2" t="s">
        <v>26</v>
      </c>
      <c r="G35" s="2">
        <v>806</v>
      </c>
      <c r="H35" s="2">
        <v>815</v>
      </c>
      <c r="I35" s="2">
        <v>822</v>
      </c>
      <c r="J35" s="2">
        <f t="shared" si="6"/>
        <v>885</v>
      </c>
      <c r="K35" s="2">
        <v>869</v>
      </c>
      <c r="L35" s="2">
        <v>839</v>
      </c>
      <c r="M35" s="2">
        <v>822</v>
      </c>
      <c r="N35" s="2">
        <f t="shared" si="7"/>
        <v>842</v>
      </c>
      <c r="O35" s="2">
        <v>904</v>
      </c>
      <c r="U35" s="2">
        <v>2893</v>
      </c>
      <c r="V35" s="2">
        <v>3328</v>
      </c>
      <c r="W35" s="2">
        <v>3372</v>
      </c>
    </row>
    <row r="36" spans="1:118" s="2" customFormat="1" x14ac:dyDescent="0.2">
      <c r="B36" s="2" t="s">
        <v>27</v>
      </c>
      <c r="G36" s="2">
        <v>2669</v>
      </c>
      <c r="H36" s="2">
        <v>2866</v>
      </c>
      <c r="I36" s="2">
        <v>3160</v>
      </c>
      <c r="J36" s="2">
        <f>+V36-SUM(G36:I36)</f>
        <v>3286</v>
      </c>
      <c r="K36" s="2">
        <v>3121</v>
      </c>
      <c r="L36" s="2">
        <v>3301</v>
      </c>
      <c r="M36" s="2">
        <v>3458</v>
      </c>
      <c r="N36" s="2">
        <f t="shared" si="7"/>
        <v>3764</v>
      </c>
      <c r="O36" s="2">
        <v>3478</v>
      </c>
      <c r="U36" s="2">
        <f>435+10492</f>
        <v>10927</v>
      </c>
      <c r="V36" s="2">
        <v>11981</v>
      </c>
      <c r="W36" s="2">
        <v>13644</v>
      </c>
    </row>
    <row r="37" spans="1:118" s="2" customFormat="1" x14ac:dyDescent="0.2">
      <c r="B37" s="2" t="s">
        <v>28</v>
      </c>
      <c r="G37" s="2">
        <f>+SUM(G31:G36)</f>
        <v>16805</v>
      </c>
      <c r="H37" s="2">
        <f>+SUM(H31:H36)</f>
        <v>18162</v>
      </c>
      <c r="I37" s="2">
        <f>+SUM(I31:I36)</f>
        <v>19539</v>
      </c>
      <c r="J37" s="2">
        <f t="shared" si="6"/>
        <v>19687</v>
      </c>
      <c r="K37" s="2">
        <f>+SUM(K31:K36)</f>
        <v>19567</v>
      </c>
      <c r="L37" s="2">
        <f>+SUM(L31:L36)</f>
        <v>20838</v>
      </c>
      <c r="M37" s="2">
        <f>+SUM(M31:M36)</f>
        <v>21222</v>
      </c>
      <c r="N37" s="2">
        <f t="shared" si="7"/>
        <v>21392</v>
      </c>
      <c r="O37" s="2">
        <f>+SUM(O31:O36)</f>
        <v>20989</v>
      </c>
      <c r="U37" s="2">
        <f>+SUM(U31:U36)</f>
        <v>63185</v>
      </c>
      <c r="V37" s="2">
        <f>+SUM(V31:V36)</f>
        <v>74193</v>
      </c>
      <c r="W37" s="2">
        <f>+SUM(W31:W36)</f>
        <v>83019</v>
      </c>
    </row>
    <row r="38" spans="1:118" s="2" customFormat="1" x14ac:dyDescent="0.2">
      <c r="B38" s="2" t="s">
        <v>29</v>
      </c>
      <c r="G38" s="2">
        <f>+G30-G37</f>
        <v>2516</v>
      </c>
      <c r="H38" s="2">
        <f>+H30-H37</f>
        <v>2401</v>
      </c>
      <c r="I38" s="2">
        <f>+I30-I37</f>
        <v>1971</v>
      </c>
      <c r="J38" s="2">
        <f t="shared" si="6"/>
        <v>2878</v>
      </c>
      <c r="K38" s="2">
        <f>+K30-K37</f>
        <v>2436</v>
      </c>
      <c r="L38" s="2">
        <f>+L30-L37</f>
        <v>2909</v>
      </c>
      <c r="M38" s="2">
        <f>+M30-M37</f>
        <v>2419</v>
      </c>
      <c r="N38" s="2">
        <f t="shared" si="7"/>
        <v>2729</v>
      </c>
      <c r="O38" s="2">
        <f>+O30-O37</f>
        <v>2253</v>
      </c>
      <c r="U38" s="2">
        <f>+U30-U37</f>
        <v>6032</v>
      </c>
      <c r="V38" s="2">
        <f>+V30-V37</f>
        <v>9766</v>
      </c>
      <c r="W38" s="2">
        <f>+W30-W37</f>
        <v>10493</v>
      </c>
      <c r="X38" s="2">
        <f>+X30*0.11</f>
        <v>8434.7824000000001</v>
      </c>
      <c r="Y38" s="2">
        <f t="shared" ref="Y38:AA38" si="8">+Y30*0.11</f>
        <v>7253.9128639999999</v>
      </c>
      <c r="Z38" s="2">
        <f t="shared" si="8"/>
        <v>6310.9041916800006</v>
      </c>
      <c r="AA38" s="2">
        <f t="shared" si="8"/>
        <v>5932.2499401791993</v>
      </c>
      <c r="AB38" s="2">
        <f t="shared" ref="AB38" si="9">+AB30*0.11</f>
        <v>5576.3149437684478</v>
      </c>
    </row>
    <row r="39" spans="1:118" x14ac:dyDescent="0.2">
      <c r="B39" s="1" t="s">
        <v>36</v>
      </c>
      <c r="G39" s="1">
        <f>+-184+201+-1</f>
        <v>16</v>
      </c>
      <c r="H39" s="1">
        <f>+-184+150+-25</f>
        <v>-59</v>
      </c>
      <c r="I39" s="1">
        <f>+-187+202+29</f>
        <v>44</v>
      </c>
      <c r="J39" s="2">
        <f>+V39-SUM(G39:I39)</f>
        <v>816</v>
      </c>
      <c r="K39" s="1">
        <f>+-160+216+3</f>
        <v>59</v>
      </c>
      <c r="L39" s="1">
        <f>+-155+-47+-15</f>
        <v>-217</v>
      </c>
      <c r="M39" s="1">
        <f>+-163+211+1</f>
        <v>49</v>
      </c>
      <c r="N39" s="2">
        <f t="shared" si="7"/>
        <v>-1250</v>
      </c>
      <c r="O39" s="1">
        <f>+-142+101+4</f>
        <v>-37</v>
      </c>
      <c r="U39" s="1">
        <f>+-672+55+-122</f>
        <v>-739</v>
      </c>
      <c r="V39" s="1">
        <f>+-793+52+1983+-393+-32</f>
        <v>817</v>
      </c>
      <c r="W39" s="1">
        <f>+-689+53+-736+13</f>
        <v>-1359</v>
      </c>
      <c r="X39" s="2">
        <f>+W56*0.05</f>
        <v>-668.35</v>
      </c>
      <c r="Y39" s="2">
        <f>+X56*0.05</f>
        <v>-318.86054200000007</v>
      </c>
      <c r="Z39" s="2">
        <f t="shared" ref="Y39:AB39" si="10">+Y56*0.05</f>
        <v>-6.7831875100000616</v>
      </c>
      <c r="AA39" s="2">
        <f t="shared" si="10"/>
        <v>276.90225767764997</v>
      </c>
      <c r="AB39" s="2">
        <f t="shared" si="10"/>
        <v>556.31410658120819</v>
      </c>
    </row>
    <row r="40" spans="1:118" x14ac:dyDescent="0.2">
      <c r="B40" s="1" t="s">
        <v>30</v>
      </c>
      <c r="G40" s="2">
        <f>+G38+G39</f>
        <v>2532</v>
      </c>
      <c r="H40" s="2">
        <f>+H38+H39</f>
        <v>2342</v>
      </c>
      <c r="I40" s="2">
        <f>+I38+I39</f>
        <v>2015</v>
      </c>
      <c r="J40" s="2">
        <f t="shared" si="6"/>
        <v>3694</v>
      </c>
      <c r="K40" s="2">
        <f>+K38+K39</f>
        <v>2495</v>
      </c>
      <c r="L40" s="2">
        <f>+L38+L39</f>
        <v>2692</v>
      </c>
      <c r="M40" s="2">
        <f>+M38+M39</f>
        <v>2468</v>
      </c>
      <c r="N40" s="2">
        <f t="shared" si="7"/>
        <v>1479</v>
      </c>
      <c r="O40" s="2">
        <f>+O38+O39</f>
        <v>2216</v>
      </c>
      <c r="U40" s="2">
        <f>+U38+U39</f>
        <v>5293</v>
      </c>
      <c r="V40" s="2">
        <f>+V38+V39</f>
        <v>10583</v>
      </c>
      <c r="W40" s="2">
        <f>+W38+W39</f>
        <v>9134</v>
      </c>
      <c r="X40" s="2">
        <f>+X38+X39</f>
        <v>7766.4323999999997</v>
      </c>
      <c r="Y40" s="2">
        <f t="shared" ref="Y40:AA40" si="11">+Y38+Y39</f>
        <v>6935.0523219999995</v>
      </c>
      <c r="Z40" s="2">
        <f t="shared" si="11"/>
        <v>6304.1210041700006</v>
      </c>
      <c r="AA40" s="2">
        <f t="shared" si="11"/>
        <v>6209.1521978568489</v>
      </c>
      <c r="AB40" s="2">
        <f t="shared" ref="AB40" si="12">+AB38+AB39</f>
        <v>6132.6290503496557</v>
      </c>
    </row>
    <row r="41" spans="1:118" s="2" customFormat="1" x14ac:dyDescent="0.2">
      <c r="B41" s="2" t="s">
        <v>31</v>
      </c>
      <c r="G41" s="2">
        <v>361</v>
      </c>
      <c r="H41" s="2">
        <v>180</v>
      </c>
      <c r="I41" s="2">
        <v>157</v>
      </c>
      <c r="J41" s="2">
        <f>+V41-SUM(G41:I41)</f>
        <v>745</v>
      </c>
      <c r="K41" s="2">
        <v>345</v>
      </c>
      <c r="L41" s="2">
        <v>336</v>
      </c>
      <c r="M41" s="2">
        <v>263</v>
      </c>
      <c r="N41" s="2">
        <f t="shared" si="7"/>
        <v>126</v>
      </c>
      <c r="O41" s="2">
        <v>279</v>
      </c>
      <c r="U41" s="2">
        <v>383</v>
      </c>
      <c r="V41" s="2">
        <v>1443</v>
      </c>
      <c r="W41" s="2">
        <v>1070</v>
      </c>
      <c r="X41" s="2">
        <f>+X40*0.1</f>
        <v>776.64323999999999</v>
      </c>
      <c r="Y41" s="2">
        <f t="shared" ref="Y41:AA41" si="13">+Y40*0.1</f>
        <v>693.50523220000002</v>
      </c>
      <c r="Z41" s="2">
        <f t="shared" si="13"/>
        <v>630.41210041700015</v>
      </c>
      <c r="AA41" s="2">
        <f t="shared" si="13"/>
        <v>620.91521978568494</v>
      </c>
      <c r="AB41" s="2">
        <f t="shared" ref="AB41" si="14">+AB40*0.1</f>
        <v>613.26290503496557</v>
      </c>
    </row>
    <row r="42" spans="1:118" s="16" customFormat="1" ht="15" x14ac:dyDescent="0.25">
      <c r="A42" s="15"/>
      <c r="B42" s="16" t="s">
        <v>32</v>
      </c>
      <c r="G42" s="17">
        <f>+G40-G41</f>
        <v>2171</v>
      </c>
      <c r="H42" s="17">
        <f>+H40-H41</f>
        <v>2162</v>
      </c>
      <c r="I42" s="17">
        <f>+I40-I41</f>
        <v>1858</v>
      </c>
      <c r="J42" s="17">
        <f t="shared" si="6"/>
        <v>2949</v>
      </c>
      <c r="K42" s="17">
        <f>+K40-K41</f>
        <v>2150</v>
      </c>
      <c r="L42" s="17">
        <f>+L40-L41</f>
        <v>2356</v>
      </c>
      <c r="M42" s="17">
        <f>+M40-M41</f>
        <v>2205</v>
      </c>
      <c r="N42" s="17">
        <f t="shared" si="7"/>
        <v>1353</v>
      </c>
      <c r="O42" s="17">
        <f>+O40-O41</f>
        <v>1937</v>
      </c>
      <c r="U42" s="17">
        <f>+U40-U41</f>
        <v>4910</v>
      </c>
      <c r="V42" s="17">
        <f>+V40-V41</f>
        <v>9140</v>
      </c>
      <c r="W42" s="17">
        <f>+W40-W41</f>
        <v>8064</v>
      </c>
      <c r="X42" s="17">
        <f>+X40-X41</f>
        <v>6989.7891599999994</v>
      </c>
      <c r="Y42" s="17">
        <f t="shared" ref="Y42:AA42" si="15">+Y40-Y41</f>
        <v>6241.5470897999994</v>
      </c>
      <c r="Z42" s="17">
        <f t="shared" si="15"/>
        <v>5673.7089037530004</v>
      </c>
      <c r="AA42" s="17">
        <f t="shared" si="15"/>
        <v>5588.2369780711642</v>
      </c>
      <c r="AB42" s="17">
        <f t="shared" ref="AB42" si="16">+AB40-AB41</f>
        <v>5519.3661453146906</v>
      </c>
      <c r="AC42" s="17">
        <f>+AB42*(0.95)</f>
        <v>5243.3978380489561</v>
      </c>
      <c r="AD42" s="17">
        <f t="shared" ref="AD42:BK42" si="17">+AC42*(0.95)</f>
        <v>4981.2279461465077</v>
      </c>
      <c r="AE42" s="17">
        <f t="shared" si="17"/>
        <v>4732.1665488391818</v>
      </c>
      <c r="AF42" s="17">
        <f t="shared" si="17"/>
        <v>4495.558221397223</v>
      </c>
      <c r="AG42" s="17">
        <f t="shared" si="17"/>
        <v>4270.7803103273618</v>
      </c>
      <c r="AH42" s="17">
        <f t="shared" si="17"/>
        <v>4057.2412948109936</v>
      </c>
      <c r="AI42" s="17">
        <f t="shared" si="17"/>
        <v>3854.3792300704436</v>
      </c>
      <c r="AJ42" s="17">
        <f t="shared" si="17"/>
        <v>3661.6602685669213</v>
      </c>
      <c r="AK42" s="17">
        <f t="shared" si="17"/>
        <v>3478.5772551385753</v>
      </c>
      <c r="AL42" s="17">
        <f t="shared" si="17"/>
        <v>3304.6483923816463</v>
      </c>
      <c r="AM42" s="17">
        <f t="shared" si="17"/>
        <v>3139.4159727625638</v>
      </c>
      <c r="AN42" s="17">
        <f t="shared" si="17"/>
        <v>2982.4451741244357</v>
      </c>
      <c r="AO42" s="17">
        <f t="shared" si="17"/>
        <v>2833.3229154182136</v>
      </c>
      <c r="AP42" s="17">
        <f t="shared" si="17"/>
        <v>2691.656769647303</v>
      </c>
      <c r="AQ42" s="17">
        <f t="shared" si="17"/>
        <v>2557.0739311649377</v>
      </c>
      <c r="AR42" s="17">
        <f t="shared" si="17"/>
        <v>2429.2202346066906</v>
      </c>
      <c r="AS42" s="17">
        <f t="shared" si="17"/>
        <v>2307.759222876356</v>
      </c>
      <c r="AT42" s="17">
        <f t="shared" si="17"/>
        <v>2192.3712617325382</v>
      </c>
      <c r="AU42" s="17">
        <f t="shared" si="17"/>
        <v>2082.7526986459111</v>
      </c>
      <c r="AV42" s="17">
        <f t="shared" si="17"/>
        <v>1978.6150637136154</v>
      </c>
      <c r="AW42" s="17">
        <f t="shared" si="17"/>
        <v>1879.6843105279345</v>
      </c>
      <c r="AX42" s="17">
        <f t="shared" si="17"/>
        <v>1785.7000950015376</v>
      </c>
      <c r="AY42" s="17">
        <f t="shared" si="17"/>
        <v>1696.4150902514607</v>
      </c>
      <c r="AZ42" s="17">
        <f t="shared" si="17"/>
        <v>1611.5943357388876</v>
      </c>
      <c r="BA42" s="17">
        <f t="shared" si="17"/>
        <v>1531.0146189519432</v>
      </c>
      <c r="BB42" s="17">
        <f t="shared" si="17"/>
        <v>1454.463888004346</v>
      </c>
      <c r="BC42" s="17">
        <f t="shared" si="17"/>
        <v>1381.7406936041286</v>
      </c>
      <c r="BD42" s="17">
        <f t="shared" si="17"/>
        <v>1312.6536589239222</v>
      </c>
      <c r="BE42" s="17">
        <f t="shared" si="17"/>
        <v>1247.020975977726</v>
      </c>
      <c r="BF42" s="17">
        <f t="shared" si="17"/>
        <v>1184.6699271788398</v>
      </c>
      <c r="BG42" s="17">
        <f t="shared" si="17"/>
        <v>1125.4364308198976</v>
      </c>
      <c r="BH42" s="17">
        <f t="shared" si="17"/>
        <v>1069.1646092789026</v>
      </c>
      <c r="BI42" s="17">
        <f t="shared" si="17"/>
        <v>1015.7063788149575</v>
      </c>
      <c r="BJ42" s="17">
        <f t="shared" si="17"/>
        <v>964.9210598742095</v>
      </c>
      <c r="BK42" s="17">
        <f t="shared" si="17"/>
        <v>916.67500688049904</v>
      </c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</row>
    <row r="43" spans="1:118" x14ac:dyDescent="0.2">
      <c r="B43" s="1" t="s">
        <v>1</v>
      </c>
      <c r="G43" s="2">
        <v>260</v>
      </c>
      <c r="H43" s="2">
        <v>260</v>
      </c>
      <c r="I43" s="2">
        <v>260</v>
      </c>
      <c r="J43" s="2">
        <v>260</v>
      </c>
      <c r="K43" s="2">
        <v>260</v>
      </c>
      <c r="L43" s="2">
        <v>260</v>
      </c>
      <c r="M43" s="2">
        <v>260</v>
      </c>
      <c r="N43" s="2">
        <v>260</v>
      </c>
      <c r="O43" s="2">
        <f>+Main!L6</f>
        <v>260.21979199999998</v>
      </c>
      <c r="U43" s="2">
        <v>262</v>
      </c>
      <c r="V43" s="7">
        <v>268.94600000000003</v>
      </c>
      <c r="W43" s="2">
        <v>266.99200000000002</v>
      </c>
    </row>
    <row r="44" spans="1:118" x14ac:dyDescent="0.2">
      <c r="B44" s="1" t="s">
        <v>33</v>
      </c>
      <c r="G44" s="7">
        <f t="shared" ref="G44:M44" si="18">+G42/G43</f>
        <v>8.35</v>
      </c>
      <c r="H44" s="7">
        <f t="shared" si="18"/>
        <v>8.315384615384616</v>
      </c>
      <c r="I44" s="7">
        <f t="shared" si="18"/>
        <v>7.1461538461538465</v>
      </c>
      <c r="J44" s="7">
        <f t="shared" si="18"/>
        <v>11.342307692307692</v>
      </c>
      <c r="K44" s="7">
        <f t="shared" si="18"/>
        <v>8.2692307692307701</v>
      </c>
      <c r="L44" s="7">
        <f t="shared" si="18"/>
        <v>9.0615384615384613</v>
      </c>
      <c r="M44" s="7">
        <f t="shared" si="18"/>
        <v>8.4807692307692299</v>
      </c>
      <c r="N44" s="7">
        <f>+N42/N43</f>
        <v>5.203846153846154</v>
      </c>
      <c r="O44" s="7">
        <f>+O42/O43</f>
        <v>7.4437074332916238</v>
      </c>
      <c r="U44" s="7">
        <f>+U42/U43</f>
        <v>18.740458015267176</v>
      </c>
      <c r="V44" s="7">
        <f>+V42/V43</f>
        <v>33.984517338052989</v>
      </c>
      <c r="W44" s="7">
        <f>+W42/W43</f>
        <v>30.203152154371665</v>
      </c>
    </row>
    <row r="46" spans="1:118" x14ac:dyDescent="0.2">
      <c r="B46" s="1" t="s">
        <v>34</v>
      </c>
      <c r="G46" s="6">
        <f t="shared" ref="G46:O46" si="19">+G38/G30</f>
        <v>0.13022100305367218</v>
      </c>
      <c r="H46" s="6">
        <f t="shared" si="19"/>
        <v>0.11676311822204931</v>
      </c>
      <c r="I46" s="6">
        <f t="shared" si="19"/>
        <v>9.1631799163179914E-2</v>
      </c>
      <c r="J46" s="6">
        <f t="shared" si="19"/>
        <v>0.12754265455351207</v>
      </c>
      <c r="K46" s="6">
        <f t="shared" si="19"/>
        <v>0.11071217561241649</v>
      </c>
      <c r="L46" s="6">
        <f t="shared" si="19"/>
        <v>0.12249968417063208</v>
      </c>
      <c r="M46" s="6">
        <f t="shared" si="19"/>
        <v>0.10232223679201387</v>
      </c>
      <c r="N46" s="6">
        <f t="shared" si="19"/>
        <v>0.11313792960490858</v>
      </c>
      <c r="O46" s="6">
        <f t="shared" si="19"/>
        <v>9.6936580328715258E-2</v>
      </c>
      <c r="U46" s="6">
        <f>+U38/U30</f>
        <v>8.7146221304014906E-2</v>
      </c>
      <c r="V46" s="6">
        <f>+V38/V30</f>
        <v>0.11631867935539966</v>
      </c>
      <c r="W46" s="6">
        <f>+W38/W30</f>
        <v>0.11221019762169561</v>
      </c>
      <c r="X46" s="6">
        <f>+X38/X30</f>
        <v>0.11</v>
      </c>
      <c r="Y46" s="6">
        <f t="shared" ref="Y46:AB46" si="20">+Y38/Y30</f>
        <v>0.11</v>
      </c>
      <c r="Z46" s="6">
        <f t="shared" si="20"/>
        <v>0.11</v>
      </c>
      <c r="AA46" s="6">
        <f t="shared" si="20"/>
        <v>0.10999999999999999</v>
      </c>
      <c r="AB46" s="6">
        <f t="shared" si="20"/>
        <v>0.11</v>
      </c>
    </row>
    <row r="47" spans="1:118" x14ac:dyDescent="0.2">
      <c r="B47" s="1" t="s">
        <v>79</v>
      </c>
      <c r="G47" s="6">
        <f t="shared" ref="G47:O47" si="21">+G41/G40</f>
        <v>0.14257503949447078</v>
      </c>
      <c r="H47" s="6">
        <f t="shared" si="21"/>
        <v>7.6857386848847145E-2</v>
      </c>
      <c r="I47" s="6">
        <f t="shared" si="21"/>
        <v>7.7915632754342434E-2</v>
      </c>
      <c r="J47" s="6">
        <f t="shared" si="21"/>
        <v>0.20167839740119112</v>
      </c>
      <c r="K47" s="6">
        <f t="shared" si="21"/>
        <v>0.13827655310621242</v>
      </c>
      <c r="L47" s="6">
        <f t="shared" si="21"/>
        <v>0.12481426448736999</v>
      </c>
      <c r="M47" s="6">
        <f t="shared" si="21"/>
        <v>0.10656401944894651</v>
      </c>
      <c r="N47" s="6">
        <f t="shared" si="21"/>
        <v>8.5192697768762676E-2</v>
      </c>
      <c r="O47" s="6">
        <f t="shared" si="21"/>
        <v>0.12590252707581229</v>
      </c>
      <c r="U47" s="6">
        <f>+U41/U40</f>
        <v>7.2359720385414703E-2</v>
      </c>
      <c r="V47" s="6">
        <f>+V41/V40</f>
        <v>0.13635075120476237</v>
      </c>
      <c r="W47" s="6">
        <f>+W41/W40</f>
        <v>0.11714473396102475</v>
      </c>
      <c r="X47" s="6">
        <f>+X41/X40</f>
        <v>0.1</v>
      </c>
      <c r="Y47" s="6">
        <f t="shared" ref="Y47:AB47" si="22">+Y41/Y40</f>
        <v>0.1</v>
      </c>
      <c r="Z47" s="6">
        <f t="shared" si="22"/>
        <v>0.10000000000000002</v>
      </c>
      <c r="AA47" s="6">
        <f t="shared" si="22"/>
        <v>0.1</v>
      </c>
      <c r="AB47" s="6">
        <f t="shared" si="22"/>
        <v>0.1</v>
      </c>
    </row>
    <row r="48" spans="1:118" x14ac:dyDescent="0.2">
      <c r="AD48" s="18" t="s">
        <v>116</v>
      </c>
      <c r="AE48" s="19">
        <v>5.0000000000000001E-3</v>
      </c>
    </row>
    <row r="49" spans="2:31" x14ac:dyDescent="0.2">
      <c r="B49" s="1" t="s">
        <v>35</v>
      </c>
      <c r="I49" s="6"/>
      <c r="J49" s="6"/>
      <c r="K49" s="6">
        <f>+K30/G30-1</f>
        <v>0.13881269085451065</v>
      </c>
      <c r="L49" s="6">
        <f>+L30/H30-1</f>
        <v>0.15484121966639108</v>
      </c>
      <c r="M49" s="6">
        <f>+M30/I30-1</f>
        <v>9.907019990702004E-2</v>
      </c>
      <c r="N49" s="6">
        <f>+N30/J30-1</f>
        <v>6.8956348327055217E-2</v>
      </c>
      <c r="O49" s="6">
        <f>+O30/K30-1</f>
        <v>5.6310503113211841E-2</v>
      </c>
      <c r="V49" s="6">
        <f>+V30/U30-1</f>
        <v>0.21298235982489855</v>
      </c>
      <c r="W49" s="6">
        <f>+W30/V30-1</f>
        <v>0.11378172679522147</v>
      </c>
      <c r="X49" s="6">
        <f>+X30/W30-1</f>
        <v>-0.18000000000000005</v>
      </c>
      <c r="Y49" s="6">
        <f t="shared" ref="Y49:AB49" si="23">+Y30/X30-1</f>
        <v>-0.1399999999999999</v>
      </c>
      <c r="Z49" s="6">
        <f t="shared" si="23"/>
        <v>-0.13</v>
      </c>
      <c r="AA49" s="6">
        <f t="shared" si="23"/>
        <v>-6.0000000000000053E-2</v>
      </c>
      <c r="AB49" s="6">
        <f t="shared" si="23"/>
        <v>-6.0000000000000053E-2</v>
      </c>
      <c r="AD49" s="20" t="s">
        <v>117</v>
      </c>
      <c r="AE49" s="21">
        <v>-0.05</v>
      </c>
    </row>
    <row r="50" spans="2:31" x14ac:dyDescent="0.2">
      <c r="AD50" s="20" t="s">
        <v>118</v>
      </c>
      <c r="AE50" s="21">
        <v>7.0000000000000007E-2</v>
      </c>
    </row>
    <row r="51" spans="2:31" x14ac:dyDescent="0.2">
      <c r="B51" s="1" t="s">
        <v>37</v>
      </c>
      <c r="M51" s="6">
        <f t="shared" ref="M51" si="24">+M31/I31-1</f>
        <v>2.9213483146067309E-2</v>
      </c>
      <c r="N51" s="6">
        <f t="shared" ref="N51:O54" si="25">+N31/J31-1</f>
        <v>4.4483985765124689E-3</v>
      </c>
      <c r="O51" s="6">
        <f t="shared" si="25"/>
        <v>1.0673868312757184E-2</v>
      </c>
      <c r="V51" s="6">
        <f t="shared" ref="V51" si="26">+V31/U31-1</f>
        <v>0.20542527266189925</v>
      </c>
      <c r="W51" s="6">
        <f>+W31/V31-1</f>
        <v>6.2473071951745007E-2</v>
      </c>
      <c r="X51" s="6"/>
      <c r="AD51" s="20" t="s">
        <v>119</v>
      </c>
      <c r="AE51" s="22">
        <f>+NPV(AE50,Model!X42:BK42)</f>
        <v>55483.32207682501</v>
      </c>
    </row>
    <row r="52" spans="2:31" x14ac:dyDescent="0.2">
      <c r="B52" s="1" t="s">
        <v>38</v>
      </c>
      <c r="M52" s="6">
        <f t="shared" ref="M52" si="27">+M32/I32-1</f>
        <v>0.10812720848056534</v>
      </c>
      <c r="N52" s="6">
        <f t="shared" si="25"/>
        <v>5.612788632326815E-2</v>
      </c>
      <c r="O52" s="6">
        <f t="shared" si="25"/>
        <v>1.908464393002296E-2</v>
      </c>
      <c r="V52" s="6">
        <f t="shared" ref="V52:W54" si="28">+V32/U32-1</f>
        <v>0.24092522615367007</v>
      </c>
      <c r="W52" s="6">
        <f t="shared" si="28"/>
        <v>0.11276183445603016</v>
      </c>
      <c r="X52" s="6"/>
      <c r="AD52" s="26" t="s">
        <v>122</v>
      </c>
      <c r="AE52" s="27">
        <f>+AE51+Model!O56</f>
        <v>42276.32207682501</v>
      </c>
    </row>
    <row r="53" spans="2:31" x14ac:dyDescent="0.2">
      <c r="B53" s="1" t="s">
        <v>39</v>
      </c>
      <c r="M53" s="6">
        <f t="shared" ref="M53" si="29">+M33/I33-1</f>
        <v>8.3112290008841683E-2</v>
      </c>
      <c r="N53" s="6">
        <f t="shared" si="25"/>
        <v>8.7800369685766988E-2</v>
      </c>
      <c r="O53" s="6">
        <f t="shared" si="25"/>
        <v>2.2947925860547169E-2</v>
      </c>
      <c r="V53" s="6">
        <f t="shared" si="28"/>
        <v>0.11934267241379315</v>
      </c>
      <c r="W53" s="6">
        <f t="shared" si="28"/>
        <v>0.13405535499398313</v>
      </c>
      <c r="X53" s="6"/>
      <c r="AD53" s="20" t="s">
        <v>120</v>
      </c>
      <c r="AE53" s="23">
        <f>+AE52/Main!L6</f>
        <v>162.46389927490608</v>
      </c>
    </row>
    <row r="54" spans="2:31" x14ac:dyDescent="0.2">
      <c r="B54" s="1" t="s">
        <v>40</v>
      </c>
      <c r="M54" s="6">
        <f t="shared" ref="M54" si="30">+M34/I34-1</f>
        <v>0.58862433862433861</v>
      </c>
      <c r="N54" s="6">
        <f t="shared" si="25"/>
        <v>0.88034188034188032</v>
      </c>
      <c r="O54" s="6">
        <f t="shared" si="25"/>
        <v>0.80574826560951429</v>
      </c>
      <c r="S54" s="2"/>
      <c r="V54" s="6">
        <f t="shared" si="28"/>
        <v>-8.6818757921419465E-2</v>
      </c>
      <c r="W54" s="8">
        <f t="shared" si="28"/>
        <v>0.77480916030534353</v>
      </c>
      <c r="X54" s="6"/>
      <c r="AD54" s="24" t="s">
        <v>121</v>
      </c>
      <c r="AE54" s="25">
        <f>+AE53/Main!L5-1</f>
        <v>4.1435251762218517E-2</v>
      </c>
    </row>
    <row r="55" spans="2:31" x14ac:dyDescent="0.2">
      <c r="O55" s="6"/>
    </row>
    <row r="56" spans="2:31" s="4" customFormat="1" ht="15" x14ac:dyDescent="0.25">
      <c r="B56" s="4" t="s">
        <v>49</v>
      </c>
      <c r="J56" s="5">
        <f>+J57-J67</f>
        <v>-13792</v>
      </c>
      <c r="M56" s="5">
        <f>+M57-M67</f>
        <v>-14444</v>
      </c>
      <c r="N56" s="5">
        <f>+N57-N67</f>
        <v>-13367</v>
      </c>
      <c r="O56" s="5">
        <f>+O57-O67</f>
        <v>-13207</v>
      </c>
      <c r="V56" s="5">
        <f>+V57-V67</f>
        <v>-13792</v>
      </c>
      <c r="W56" s="5">
        <f>+W57-W67</f>
        <v>-13367</v>
      </c>
      <c r="X56" s="5">
        <f>+W56+X42</f>
        <v>-6377.2108400000006</v>
      </c>
      <c r="Y56" s="5">
        <f t="shared" ref="Y56:AB56" si="31">+X56+Y42</f>
        <v>-135.66375020000123</v>
      </c>
      <c r="Z56" s="5">
        <f t="shared" si="31"/>
        <v>5538.0451535529992</v>
      </c>
      <c r="AA56" s="5">
        <f t="shared" si="31"/>
        <v>11126.282131624164</v>
      </c>
      <c r="AB56" s="5">
        <f t="shared" si="31"/>
        <v>16645.648276938853</v>
      </c>
    </row>
    <row r="57" spans="2:31" s="2" customFormat="1" x14ac:dyDescent="0.2">
      <c r="B57" s="2" t="s">
        <v>5</v>
      </c>
      <c r="J57" s="2">
        <v>7087</v>
      </c>
      <c r="M57" s="2">
        <v>6065</v>
      </c>
      <c r="N57" s="2">
        <v>6897</v>
      </c>
      <c r="O57" s="2">
        <v>6850</v>
      </c>
      <c r="V57" s="2">
        <v>7087</v>
      </c>
      <c r="W57" s="2">
        <v>6897</v>
      </c>
    </row>
    <row r="58" spans="2:31" s="2" customFormat="1" x14ac:dyDescent="0.2">
      <c r="B58" s="2" t="s">
        <v>41</v>
      </c>
      <c r="J58" s="2">
        <v>12069</v>
      </c>
      <c r="M58" s="2">
        <v>11668</v>
      </c>
      <c r="N58" s="2">
        <v>11863</v>
      </c>
      <c r="O58" s="2">
        <v>11055</v>
      </c>
      <c r="V58" s="2">
        <v>12069</v>
      </c>
      <c r="W58" s="2">
        <v>11863</v>
      </c>
    </row>
    <row r="59" spans="2:31" s="2" customFormat="1" x14ac:dyDescent="0.2">
      <c r="B59" s="2" t="s">
        <v>42</v>
      </c>
      <c r="J59" s="2">
        <v>587</v>
      </c>
      <c r="M59" s="2">
        <v>611</v>
      </c>
      <c r="N59" s="2">
        <v>637</v>
      </c>
      <c r="O59" s="2">
        <v>647</v>
      </c>
      <c r="V59" s="2">
        <v>587</v>
      </c>
      <c r="W59" s="2">
        <v>637</v>
      </c>
    </row>
    <row r="60" spans="2:31" s="2" customFormat="1" x14ac:dyDescent="0.2">
      <c r="B60" s="2" t="s">
        <v>43</v>
      </c>
      <c r="J60" s="2">
        <v>837</v>
      </c>
      <c r="M60" s="2">
        <v>1122</v>
      </c>
      <c r="N60" s="2">
        <v>968</v>
      </c>
      <c r="O60" s="2">
        <v>1054</v>
      </c>
      <c r="V60" s="2">
        <v>837</v>
      </c>
      <c r="W60" s="2">
        <v>968</v>
      </c>
    </row>
    <row r="61" spans="2:31" s="2" customFormat="1" x14ac:dyDescent="0.2">
      <c r="B61" s="2" t="s">
        <v>44</v>
      </c>
      <c r="J61" s="2">
        <v>35752</v>
      </c>
      <c r="M61" s="2">
        <v>37376</v>
      </c>
      <c r="N61" s="2">
        <v>38091</v>
      </c>
      <c r="O61" s="2">
        <v>38806</v>
      </c>
      <c r="V61" s="2">
        <v>35752</v>
      </c>
      <c r="W61" s="2">
        <v>38091</v>
      </c>
    </row>
    <row r="62" spans="2:31" s="2" customFormat="1" x14ac:dyDescent="0.2">
      <c r="B62" s="2" t="s">
        <v>45</v>
      </c>
      <c r="J62" s="2">
        <v>15383</v>
      </c>
      <c r="M62" s="2">
        <v>16605</v>
      </c>
      <c r="N62" s="2">
        <v>16613</v>
      </c>
      <c r="O62" s="2">
        <v>17219</v>
      </c>
      <c r="V62" s="2">
        <v>15383</v>
      </c>
      <c r="W62" s="2">
        <v>16613</v>
      </c>
    </row>
    <row r="63" spans="2:31" s="2" customFormat="1" x14ac:dyDescent="0.2">
      <c r="B63" s="2" t="s">
        <v>46</v>
      </c>
      <c r="J63" s="2">
        <v>6992</v>
      </c>
      <c r="M63" s="2">
        <v>6755</v>
      </c>
      <c r="N63" s="2">
        <v>6544</v>
      </c>
      <c r="O63" s="2">
        <v>6316</v>
      </c>
      <c r="V63" s="2">
        <v>6992</v>
      </c>
      <c r="W63" s="2">
        <v>6544</v>
      </c>
    </row>
    <row r="64" spans="2:31" s="2" customFormat="1" x14ac:dyDescent="0.2">
      <c r="B64" s="2" t="s">
        <v>47</v>
      </c>
      <c r="J64" s="2">
        <v>4070</v>
      </c>
      <c r="M64" s="2">
        <v>3906</v>
      </c>
      <c r="N64" s="2">
        <v>4381</v>
      </c>
      <c r="O64" s="2">
        <v>3879</v>
      </c>
      <c r="V64" s="2">
        <v>4070</v>
      </c>
      <c r="W64" s="2">
        <v>4381</v>
      </c>
    </row>
    <row r="65" spans="2:23" s="5" customFormat="1" ht="15" x14ac:dyDescent="0.25">
      <c r="B65" s="5" t="s">
        <v>48</v>
      </c>
      <c r="J65" s="5">
        <f>+SUM(J57:J64)</f>
        <v>82777</v>
      </c>
      <c r="M65" s="5">
        <f>+SUM(M57:M64)</f>
        <v>84108</v>
      </c>
      <c r="N65" s="5">
        <f>+SUM(N57:N64)</f>
        <v>85994</v>
      </c>
      <c r="O65" s="5">
        <f>+SUM(O57:O64)</f>
        <v>85826</v>
      </c>
      <c r="V65" s="5">
        <f>+SUM(V57:V64)</f>
        <v>82777</v>
      </c>
      <c r="W65" s="5">
        <f>+SUM(W57:W64)</f>
        <v>85994</v>
      </c>
    </row>
    <row r="67" spans="2:23" s="2" customFormat="1" x14ac:dyDescent="0.2">
      <c r="B67" s="2" t="s">
        <v>4</v>
      </c>
      <c r="J67" s="2">
        <f>146+20733</f>
        <v>20879</v>
      </c>
      <c r="M67" s="2">
        <f>116+20393</f>
        <v>20509</v>
      </c>
      <c r="N67" s="2">
        <f>82+20182</f>
        <v>20264</v>
      </c>
      <c r="O67" s="2">
        <f>139+19918</f>
        <v>20057</v>
      </c>
      <c r="V67" s="2">
        <f>146+20733</f>
        <v>20879</v>
      </c>
      <c r="W67" s="2">
        <f>82+20182</f>
        <v>20264</v>
      </c>
    </row>
    <row r="68" spans="2:23" s="2" customFormat="1" x14ac:dyDescent="0.2">
      <c r="B68" s="2" t="s">
        <v>54</v>
      </c>
      <c r="J68" s="2">
        <v>2903</v>
      </c>
      <c r="M68" s="2">
        <v>2489</v>
      </c>
      <c r="N68" s="2">
        <v>2531</v>
      </c>
      <c r="O68" s="2">
        <v>2263</v>
      </c>
      <c r="V68" s="2">
        <v>2903</v>
      </c>
      <c r="W68" s="2">
        <v>2531</v>
      </c>
    </row>
    <row r="69" spans="2:23" s="2" customFormat="1" x14ac:dyDescent="0.2">
      <c r="B69" s="2" t="s">
        <v>51</v>
      </c>
      <c r="J69" s="2">
        <v>3841</v>
      </c>
      <c r="M69" s="2">
        <v>4187</v>
      </c>
      <c r="N69" s="2">
        <v>4030</v>
      </c>
      <c r="O69" s="2">
        <v>4167</v>
      </c>
      <c r="V69" s="2">
        <v>3841</v>
      </c>
      <c r="W69" s="2">
        <v>4030</v>
      </c>
    </row>
    <row r="70" spans="2:23" s="2" customFormat="1" x14ac:dyDescent="0.2">
      <c r="B70" s="2" t="s">
        <v>45</v>
      </c>
      <c r="J70" s="2">
        <v>2208</v>
      </c>
      <c r="M70" s="2">
        <v>2395</v>
      </c>
      <c r="N70" s="2">
        <v>2443</v>
      </c>
      <c r="O70" s="2">
        <v>2470</v>
      </c>
      <c r="V70" s="2">
        <v>2208</v>
      </c>
      <c r="W70" s="2">
        <v>2443</v>
      </c>
    </row>
    <row r="71" spans="2:23" s="2" customFormat="1" x14ac:dyDescent="0.2">
      <c r="B71" s="2" t="s">
        <v>52</v>
      </c>
      <c r="J71" s="2">
        <v>4562</v>
      </c>
      <c r="M71" s="2">
        <v>4803</v>
      </c>
      <c r="N71" s="2">
        <v>5188</v>
      </c>
      <c r="O71" s="2">
        <v>4726</v>
      </c>
      <c r="V71" s="2">
        <v>4562</v>
      </c>
      <c r="W71" s="2">
        <v>5188</v>
      </c>
    </row>
    <row r="72" spans="2:23" s="2" customFormat="1" x14ac:dyDescent="0.2">
      <c r="B72" s="2" t="s">
        <v>53</v>
      </c>
      <c r="J72" s="2">
        <v>3927</v>
      </c>
      <c r="M72" s="2">
        <v>4331</v>
      </c>
      <c r="N72" s="2">
        <v>4093</v>
      </c>
      <c r="O72" s="2">
        <v>4134</v>
      </c>
      <c r="V72" s="2">
        <v>3927</v>
      </c>
      <c r="W72" s="2">
        <v>4093</v>
      </c>
    </row>
    <row r="73" spans="2:23" s="2" customFormat="1" x14ac:dyDescent="0.2">
      <c r="B73" s="2" t="s">
        <v>50</v>
      </c>
      <c r="J73" s="2">
        <v>3501</v>
      </c>
      <c r="M73" s="2">
        <v>3100</v>
      </c>
      <c r="N73" s="2">
        <v>4448</v>
      </c>
      <c r="O73" s="2">
        <v>4055</v>
      </c>
      <c r="V73" s="2">
        <v>3501</v>
      </c>
      <c r="W73" s="2">
        <v>4448</v>
      </c>
    </row>
    <row r="74" spans="2:23" s="2" customFormat="1" x14ac:dyDescent="0.2">
      <c r="B74" s="2" t="s">
        <v>55</v>
      </c>
      <c r="J74" s="2">
        <v>2430</v>
      </c>
      <c r="M74" s="2">
        <v>2597</v>
      </c>
      <c r="N74" s="2">
        <v>2889</v>
      </c>
      <c r="O74" s="2">
        <v>3042</v>
      </c>
      <c r="V74" s="2">
        <v>2430</v>
      </c>
      <c r="W74" s="2">
        <v>2889</v>
      </c>
    </row>
    <row r="75" spans="2:23" s="2" customFormat="1" x14ac:dyDescent="0.2">
      <c r="B75" s="2" t="s">
        <v>56</v>
      </c>
      <c r="J75" s="2">
        <v>13375</v>
      </c>
      <c r="M75" s="2">
        <v>14450</v>
      </c>
      <c r="N75" s="2">
        <v>14487</v>
      </c>
      <c r="O75" s="2">
        <v>15118</v>
      </c>
      <c r="V75" s="2">
        <v>13375</v>
      </c>
      <c r="W75" s="2">
        <v>14487</v>
      </c>
    </row>
    <row r="76" spans="2:23" s="2" customFormat="1" x14ac:dyDescent="0.2">
      <c r="B76" s="2" t="s">
        <v>57</v>
      </c>
      <c r="J76" s="2">
        <v>983</v>
      </c>
      <c r="M76" s="2">
        <v>721</v>
      </c>
      <c r="N76" s="2">
        <v>682</v>
      </c>
      <c r="O76" s="2">
        <v>654</v>
      </c>
      <c r="V76" s="2">
        <v>983</v>
      </c>
      <c r="W76" s="2">
        <v>682</v>
      </c>
    </row>
    <row r="77" spans="2:23" s="5" customFormat="1" ht="15" x14ac:dyDescent="0.25">
      <c r="B77" s="5" t="s">
        <v>58</v>
      </c>
      <c r="J77" s="5">
        <f>+SUM(J67:J76)</f>
        <v>58609</v>
      </c>
      <c r="M77" s="5">
        <f>+SUM(M67:M76)</f>
        <v>59582</v>
      </c>
      <c r="N77" s="5">
        <f>+SUM(N67:N76)</f>
        <v>61055</v>
      </c>
      <c r="O77" s="5">
        <f>+SUM(O67:O76)</f>
        <v>60686</v>
      </c>
      <c r="V77" s="5">
        <f>+SUM(V67:V76)</f>
        <v>58609</v>
      </c>
      <c r="W77" s="5">
        <f>+SUM(W67:W76)</f>
        <v>61055</v>
      </c>
    </row>
    <row r="78" spans="2:23" s="2" customFormat="1" x14ac:dyDescent="0.2">
      <c r="B78" s="2" t="s">
        <v>59</v>
      </c>
      <c r="J78" s="2">
        <v>24168</v>
      </c>
      <c r="M78" s="2">
        <v>24526</v>
      </c>
      <c r="N78" s="2">
        <v>24939</v>
      </c>
      <c r="O78" s="2">
        <v>25140</v>
      </c>
      <c r="V78" s="2">
        <v>24168</v>
      </c>
      <c r="W78" s="2">
        <v>24939</v>
      </c>
    </row>
    <row r="79" spans="2:23" s="2" customFormat="1" x14ac:dyDescent="0.2">
      <c r="B79" s="2" t="s">
        <v>60</v>
      </c>
      <c r="J79" s="2">
        <f>+SUM(J77:J78)</f>
        <v>82777</v>
      </c>
      <c r="M79" s="2">
        <f>+SUM(M77:M78)</f>
        <v>84108</v>
      </c>
      <c r="N79" s="2">
        <f>+SUM(N77:N78)</f>
        <v>85994</v>
      </c>
      <c r="O79" s="2">
        <f>+SUM(O77:O78)</f>
        <v>85826</v>
      </c>
      <c r="V79" s="2">
        <f>+SUM(V77:V78)</f>
        <v>82777</v>
      </c>
      <c r="W79" s="2">
        <f>+SUM(W77:W78)</f>
        <v>85994</v>
      </c>
    </row>
    <row r="81" spans="2:15" s="2" customFormat="1" x14ac:dyDescent="0.2">
      <c r="B81" s="2" t="s">
        <v>62</v>
      </c>
      <c r="I81" s="2">
        <f>+I42</f>
        <v>1858</v>
      </c>
      <c r="K81" s="2">
        <f>+K42</f>
        <v>2150</v>
      </c>
      <c r="M81" s="2">
        <f>+M42</f>
        <v>2205</v>
      </c>
      <c r="O81" s="2">
        <f>+O42</f>
        <v>1937</v>
      </c>
    </row>
    <row r="82" spans="2:15" s="2" customFormat="1" x14ac:dyDescent="0.2">
      <c r="B82" s="2" t="s">
        <v>61</v>
      </c>
      <c r="I82" s="2">
        <v>3363</v>
      </c>
      <c r="K82" s="2">
        <v>1112</v>
      </c>
      <c r="M82" s="2">
        <v>3268</v>
      </c>
      <c r="O82" s="2">
        <v>875</v>
      </c>
    </row>
    <row r="83" spans="2:15" s="2" customFormat="1" x14ac:dyDescent="0.2">
      <c r="B83" s="2" t="s">
        <v>63</v>
      </c>
      <c r="I83" s="2">
        <v>2818</v>
      </c>
      <c r="K83" s="2">
        <v>971</v>
      </c>
      <c r="M83" s="2">
        <v>2952</v>
      </c>
      <c r="O83" s="2">
        <v>1024</v>
      </c>
    </row>
    <row r="84" spans="2:15" s="2" customFormat="1" x14ac:dyDescent="0.2">
      <c r="B84" s="2" t="s">
        <v>64</v>
      </c>
      <c r="I84" s="2">
        <v>428</v>
      </c>
      <c r="K84" s="2">
        <v>117</v>
      </c>
      <c r="M84" s="2">
        <v>327</v>
      </c>
      <c r="O84" s="2">
        <v>245</v>
      </c>
    </row>
    <row r="85" spans="2:15" s="2" customFormat="1" x14ac:dyDescent="0.2">
      <c r="B85" s="2" t="s">
        <v>65</v>
      </c>
      <c r="I85" s="2">
        <v>161</v>
      </c>
      <c r="K85" s="2">
        <v>69</v>
      </c>
      <c r="M85" s="2">
        <v>151</v>
      </c>
      <c r="O85" s="2">
        <v>68</v>
      </c>
    </row>
    <row r="86" spans="2:15" s="2" customFormat="1" x14ac:dyDescent="0.2">
      <c r="B86" s="2" t="s">
        <v>50</v>
      </c>
      <c r="I86" s="2">
        <v>52</v>
      </c>
      <c r="M86" s="2">
        <v>260</v>
      </c>
    </row>
    <row r="87" spans="2:15" s="2" customFormat="1" x14ac:dyDescent="0.2">
      <c r="B87" s="2" t="s">
        <v>66</v>
      </c>
      <c r="I87" s="2">
        <v>2020</v>
      </c>
      <c r="K87" s="2">
        <v>884</v>
      </c>
      <c r="M87" s="2">
        <v>2498</v>
      </c>
      <c r="O87" s="2">
        <v>774</v>
      </c>
    </row>
    <row r="88" spans="2:15" s="2" customFormat="1" x14ac:dyDescent="0.2">
      <c r="B88" s="2" t="s">
        <v>67</v>
      </c>
      <c r="K88" s="2">
        <v>36</v>
      </c>
      <c r="M88" s="2">
        <v>128</v>
      </c>
      <c r="O88" s="2">
        <v>-14</v>
      </c>
    </row>
    <row r="89" spans="2:15" s="2" customFormat="1" x14ac:dyDescent="0.2">
      <c r="B89" s="2" t="s">
        <v>68</v>
      </c>
      <c r="I89" s="2">
        <v>-1187</v>
      </c>
      <c r="K89" s="2">
        <v>726</v>
      </c>
      <c r="M89" s="2">
        <v>-66</v>
      </c>
      <c r="O89" s="2">
        <v>259</v>
      </c>
    </row>
    <row r="90" spans="2:15" s="2" customFormat="1" x14ac:dyDescent="0.2">
      <c r="B90" s="2" t="s">
        <v>47</v>
      </c>
      <c r="I90" s="2">
        <v>-165</v>
      </c>
      <c r="K90" s="2">
        <v>-171</v>
      </c>
      <c r="M90" s="2">
        <v>-235</v>
      </c>
      <c r="O90" s="2">
        <v>-170</v>
      </c>
    </row>
    <row r="91" spans="2:15" s="2" customFormat="1" x14ac:dyDescent="0.2">
      <c r="B91" s="2" t="s">
        <v>51</v>
      </c>
      <c r="I91" s="2">
        <v>63</v>
      </c>
      <c r="K91" s="2">
        <v>-1616</v>
      </c>
      <c r="M91" s="2">
        <v>-2892</v>
      </c>
      <c r="O91" s="2">
        <v>-1473</v>
      </c>
    </row>
    <row r="92" spans="2:15" s="2" customFormat="1" x14ac:dyDescent="0.2">
      <c r="B92" s="2" t="s">
        <v>27</v>
      </c>
      <c r="I92" s="2">
        <v>-161</v>
      </c>
      <c r="K92" s="2">
        <v>-44</v>
      </c>
      <c r="M92" s="2">
        <v>-61</v>
      </c>
      <c r="O92" s="2">
        <v>19</v>
      </c>
    </row>
    <row r="93" spans="2:15" s="5" customFormat="1" ht="15" x14ac:dyDescent="0.25">
      <c r="B93" s="5" t="s">
        <v>69</v>
      </c>
      <c r="I93" s="5">
        <f>+SUM(I82:I92)</f>
        <v>7392</v>
      </c>
      <c r="K93" s="5">
        <f>+SUM(K82:K92)</f>
        <v>2084</v>
      </c>
      <c r="M93" s="5">
        <f>+SUM(M82:M92)</f>
        <v>6330</v>
      </c>
      <c r="O93" s="5">
        <f>+SUM(O82:O92)</f>
        <v>1607</v>
      </c>
    </row>
    <row r="95" spans="2:15" s="2" customFormat="1" x14ac:dyDescent="0.2">
      <c r="B95" s="2" t="s">
        <v>70</v>
      </c>
      <c r="I95" s="2">
        <v>-4202</v>
      </c>
      <c r="K95" s="2">
        <v>-1570</v>
      </c>
      <c r="M95" s="2">
        <v>-4379</v>
      </c>
      <c r="O95" s="2">
        <v>-1284</v>
      </c>
    </row>
    <row r="96" spans="2:15" s="2" customFormat="1" x14ac:dyDescent="0.2">
      <c r="B96" s="2" t="s">
        <v>94</v>
      </c>
      <c r="I96" s="2">
        <v>-225</v>
      </c>
    </row>
    <row r="97" spans="2:22" s="2" customFormat="1" x14ac:dyDescent="0.2">
      <c r="B97" s="2" t="s">
        <v>93</v>
      </c>
      <c r="M97" s="2">
        <v>-145</v>
      </c>
      <c r="O97" s="2">
        <v>-35</v>
      </c>
    </row>
    <row r="98" spans="2:22" s="2" customFormat="1" x14ac:dyDescent="0.2">
      <c r="B98" s="2" t="s">
        <v>71</v>
      </c>
      <c r="I98" s="2">
        <v>88</v>
      </c>
      <c r="K98" s="2">
        <v>20</v>
      </c>
      <c r="M98" s="2">
        <v>71</v>
      </c>
      <c r="O98" s="2">
        <v>10</v>
      </c>
    </row>
    <row r="99" spans="2:22" s="5" customFormat="1" ht="15" x14ac:dyDescent="0.25">
      <c r="B99" s="5" t="s">
        <v>72</v>
      </c>
      <c r="I99" s="5">
        <f>+SUM(I95:I98)</f>
        <v>-4339</v>
      </c>
      <c r="K99" s="5">
        <f>+SUM(K95:K98)</f>
        <v>-1550</v>
      </c>
      <c r="M99" s="5">
        <f>+SUM(M95:M98)</f>
        <v>-4453</v>
      </c>
      <c r="O99" s="5">
        <f>+SUM(O95:O98)</f>
        <v>-1309</v>
      </c>
    </row>
    <row r="101" spans="2:22" x14ac:dyDescent="0.2">
      <c r="B101" s="1" t="s">
        <v>73</v>
      </c>
      <c r="I101" s="1">
        <v>-105</v>
      </c>
      <c r="K101" s="1">
        <v>-64</v>
      </c>
      <c r="M101" s="1">
        <v>-113</v>
      </c>
      <c r="O101" s="1">
        <v>-29</v>
      </c>
    </row>
    <row r="102" spans="2:22" x14ac:dyDescent="0.2">
      <c r="B102" s="1" t="s">
        <v>95</v>
      </c>
      <c r="I102" s="1">
        <v>970</v>
      </c>
    </row>
    <row r="103" spans="2:22" x14ac:dyDescent="0.2">
      <c r="B103" s="1" t="s">
        <v>74</v>
      </c>
      <c r="I103" s="1">
        <v>482</v>
      </c>
      <c r="K103" s="1">
        <v>84</v>
      </c>
      <c r="M103" s="1">
        <v>151</v>
      </c>
      <c r="O103" s="1">
        <v>81</v>
      </c>
    </row>
    <row r="104" spans="2:22" x14ac:dyDescent="0.2">
      <c r="B104" s="1" t="s">
        <v>75</v>
      </c>
      <c r="I104" s="1">
        <v>-513</v>
      </c>
      <c r="K104" s="1">
        <v>-200</v>
      </c>
      <c r="M104" s="1">
        <v>-598</v>
      </c>
      <c r="O104" s="1">
        <v>-299</v>
      </c>
    </row>
    <row r="105" spans="2:22" x14ac:dyDescent="0.2">
      <c r="B105" s="1" t="s">
        <v>76</v>
      </c>
      <c r="K105" s="1">
        <v>-549</v>
      </c>
      <c r="M105" s="1">
        <v>-2248</v>
      </c>
    </row>
    <row r="106" spans="2:22" x14ac:dyDescent="0.2">
      <c r="B106" s="1" t="s">
        <v>27</v>
      </c>
      <c r="I106" s="1">
        <v>-13</v>
      </c>
      <c r="K106" s="1">
        <v>-1</v>
      </c>
    </row>
    <row r="107" spans="2:22" s="4" customFormat="1" ht="15" x14ac:dyDescent="0.25">
      <c r="B107" s="4" t="s">
        <v>77</v>
      </c>
      <c r="I107" s="4">
        <f>+SUM(I101:I106)</f>
        <v>821</v>
      </c>
      <c r="K107" s="4">
        <f>+SUM(K101:K106)</f>
        <v>-730</v>
      </c>
      <c r="M107" s="4">
        <f>+SUM(M101:M106)</f>
        <v>-2808</v>
      </c>
      <c r="O107" s="4">
        <f>+SUM(O101:O106)</f>
        <v>-247</v>
      </c>
    </row>
    <row r="108" spans="2:22" s="4" customFormat="1" ht="15" x14ac:dyDescent="0.25">
      <c r="B108" s="4" t="s">
        <v>78</v>
      </c>
      <c r="I108" s="5">
        <f>+I93+I99+I107</f>
        <v>3874</v>
      </c>
      <c r="K108" s="5">
        <f>+K93+K99+K107</f>
        <v>-196</v>
      </c>
      <c r="M108" s="5">
        <f>+M93+M99+M107</f>
        <v>-931</v>
      </c>
      <c r="O108" s="5">
        <f>+O93+O99+O107</f>
        <v>51</v>
      </c>
      <c r="U108" s="5"/>
      <c r="V108" s="5"/>
    </row>
  </sheetData>
  <hyperlinks>
    <hyperlink ref="A1" location="Main!A1" display="Main" xr:uid="{8427EF3B-F61C-4FBB-BD5C-6F3C2F472E77}"/>
  </hyperlink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0D2E-B786-4038-9229-353CD33052B2}">
  <dimension ref="B2:K257"/>
  <sheetViews>
    <sheetView workbookViewId="0">
      <selection activeCell="L21" sqref="L21"/>
    </sheetView>
  </sheetViews>
  <sheetFormatPr defaultRowHeight="14.25" x14ac:dyDescent="0.2"/>
  <cols>
    <col min="1" max="1" width="9.140625" style="1"/>
    <col min="2" max="2" width="11" style="1" bestFit="1" customWidth="1"/>
    <col min="3" max="4" width="9.140625" style="1"/>
    <col min="5" max="5" width="4.42578125" style="1" customWidth="1"/>
    <col min="6" max="7" width="9.140625" style="1"/>
    <col min="8" max="8" width="4.140625" style="1" customWidth="1"/>
    <col min="9" max="9" width="11.140625" style="1" customWidth="1"/>
    <col min="10" max="16384" width="9.140625" style="1"/>
  </cols>
  <sheetData>
    <row r="2" spans="2:11" x14ac:dyDescent="0.2">
      <c r="F2" s="1" t="s">
        <v>81</v>
      </c>
    </row>
    <row r="3" spans="2:11" x14ac:dyDescent="0.2">
      <c r="C3" s="1" t="s">
        <v>80</v>
      </c>
      <c r="D3" s="1" t="s">
        <v>92</v>
      </c>
      <c r="F3" s="1" t="s">
        <v>80</v>
      </c>
      <c r="G3" s="1" t="s">
        <v>92</v>
      </c>
      <c r="I3" s="1" t="s">
        <v>91</v>
      </c>
      <c r="J3" s="11">
        <v>3.3700000000000001E-2</v>
      </c>
    </row>
    <row r="4" spans="2:11" ht="15" thickBot="1" x14ac:dyDescent="0.25"/>
    <row r="5" spans="2:11" ht="15" thickBot="1" x14ac:dyDescent="0.25">
      <c r="B5" s="9">
        <v>44831</v>
      </c>
      <c r="C5" s="10">
        <v>365.23</v>
      </c>
      <c r="D5" s="10">
        <v>142.97999999999999</v>
      </c>
      <c r="F5" s="1">
        <f>+C5/C6-1</f>
        <v>2.5253218412890632E-3</v>
      </c>
      <c r="G5" s="1">
        <f>+D5/D6-1</f>
        <v>5.5983205038478978E-4</v>
      </c>
      <c r="J5" s="1" t="s">
        <v>80</v>
      </c>
      <c r="K5" s="1" t="s">
        <v>92</v>
      </c>
    </row>
    <row r="6" spans="2:11" ht="15" thickBot="1" x14ac:dyDescent="0.25">
      <c r="B6" s="9">
        <v>44830</v>
      </c>
      <c r="C6" s="10">
        <v>364.31</v>
      </c>
      <c r="D6" s="10">
        <v>142.9</v>
      </c>
      <c r="F6" s="1">
        <f t="shared" ref="F6:G69" si="0">+C6/C7-1</f>
        <v>-9.892648457670794E-3</v>
      </c>
      <c r="G6" s="1">
        <f t="shared" si="0"/>
        <v>-4.3058996852608389E-2</v>
      </c>
      <c r="I6" s="1" t="s">
        <v>82</v>
      </c>
    </row>
    <row r="7" spans="2:11" ht="15" thickBot="1" x14ac:dyDescent="0.25">
      <c r="B7" s="9">
        <v>44827</v>
      </c>
      <c r="C7" s="10">
        <v>367.95</v>
      </c>
      <c r="D7" s="10">
        <v>149.33000000000001</v>
      </c>
      <c r="F7" s="1">
        <f t="shared" si="0"/>
        <v>-1.6754850088183559E-2</v>
      </c>
      <c r="G7" s="1">
        <f t="shared" si="0"/>
        <v>-3.3712954574867227E-2</v>
      </c>
      <c r="I7" s="1" t="s">
        <v>83</v>
      </c>
      <c r="J7" s="1">
        <f>+AVERAGE(F5:F256)</f>
        <v>-6.0889301971208743E-4</v>
      </c>
      <c r="K7" s="1">
        <f>+AVERAGE(G5:G256)</f>
        <v>-1.4066735939803022E-3</v>
      </c>
    </row>
    <row r="8" spans="2:11" ht="15" thickBot="1" x14ac:dyDescent="0.25">
      <c r="B8" s="9">
        <v>44826</v>
      </c>
      <c r="C8" s="10">
        <v>374.22</v>
      </c>
      <c r="D8" s="10">
        <v>154.54</v>
      </c>
      <c r="F8" s="1">
        <f t="shared" si="0"/>
        <v>-8.3997986168153904E-3</v>
      </c>
      <c r="G8" s="1">
        <f t="shared" si="0"/>
        <v>8.417618270799343E-3</v>
      </c>
      <c r="I8" s="1" t="s">
        <v>84</v>
      </c>
      <c r="J8" s="1">
        <f>+_xlfn.VAR.S(F5:F256)</f>
        <v>1.8811177498974932E-4</v>
      </c>
      <c r="K8" s="1">
        <f>+_xlfn.VAR.S(G5:G256)</f>
        <v>6.7910355936671649E-4</v>
      </c>
    </row>
    <row r="9" spans="2:11" ht="15" thickBot="1" x14ac:dyDescent="0.25">
      <c r="B9" s="9">
        <v>44825</v>
      </c>
      <c r="C9" s="10">
        <v>377.39</v>
      </c>
      <c r="D9" s="10">
        <v>153.25</v>
      </c>
      <c r="F9" s="1">
        <f t="shared" si="0"/>
        <v>-1.744382826941604E-2</v>
      </c>
      <c r="G9" s="1">
        <f t="shared" si="0"/>
        <v>-2.63659466327828E-2</v>
      </c>
      <c r="I9" s="1" t="s">
        <v>85</v>
      </c>
      <c r="J9" s="1">
        <f>+SQRT(J8)</f>
        <v>1.371538460961811E-2</v>
      </c>
      <c r="K9" s="1">
        <f>+SQRT(K8)</f>
        <v>2.6059615487698903E-2</v>
      </c>
    </row>
    <row r="10" spans="2:11" ht="15" thickBot="1" x14ac:dyDescent="0.25">
      <c r="B10" s="9">
        <v>44824</v>
      </c>
      <c r="C10" s="10">
        <v>384.09</v>
      </c>
      <c r="D10" s="10">
        <v>157.4</v>
      </c>
      <c r="F10" s="1">
        <f t="shared" si="0"/>
        <v>-1.1478574186076562E-2</v>
      </c>
      <c r="G10" s="1">
        <f t="shared" si="0"/>
        <v>-3.3763044812768594E-2</v>
      </c>
      <c r="I10" s="1" t="s">
        <v>89</v>
      </c>
      <c r="J10" s="7">
        <f>+J7/J9</f>
        <v>-4.4394892089653283E-2</v>
      </c>
    </row>
    <row r="11" spans="2:11" ht="15" thickBot="1" x14ac:dyDescent="0.25">
      <c r="B11" s="9">
        <v>44823</v>
      </c>
      <c r="C11" s="10">
        <v>388.55</v>
      </c>
      <c r="D11" s="10">
        <v>162.9</v>
      </c>
      <c r="F11" s="1">
        <f t="shared" si="0"/>
        <v>7.7549538333852031E-3</v>
      </c>
      <c r="G11" s="1">
        <f t="shared" si="0"/>
        <v>1.1675568252391022E-2</v>
      </c>
    </row>
    <row r="12" spans="2:11" ht="15" thickBot="1" x14ac:dyDescent="0.25">
      <c r="B12" s="9">
        <v>44820</v>
      </c>
      <c r="C12" s="10">
        <v>385.56</v>
      </c>
      <c r="D12" s="10">
        <v>161.02000000000001</v>
      </c>
      <c r="F12" s="1">
        <f t="shared" si="0"/>
        <v>-7.6186554102748438E-3</v>
      </c>
      <c r="G12" s="1">
        <f t="shared" si="0"/>
        <v>-0.21403817054717622</v>
      </c>
      <c r="I12" s="1" t="s">
        <v>86</v>
      </c>
      <c r="J12" s="1">
        <f>+_xlfn.COVARIANCE.S(F5:F256,G5:G256)</f>
        <v>1.9961712416411508E-4</v>
      </c>
    </row>
    <row r="13" spans="2:11" ht="15" thickBot="1" x14ac:dyDescent="0.25">
      <c r="B13" s="9">
        <v>44819</v>
      </c>
      <c r="C13" s="10">
        <v>388.52</v>
      </c>
      <c r="D13" s="10">
        <v>204.87</v>
      </c>
      <c r="F13" s="1">
        <f t="shared" si="0"/>
        <v>-1.1374335224814902E-2</v>
      </c>
      <c r="G13" s="1">
        <f t="shared" si="0"/>
        <v>-6.8289351738937132E-4</v>
      </c>
      <c r="I13" s="1" t="s">
        <v>87</v>
      </c>
      <c r="J13" s="7">
        <f>+J12/PRODUCT(J9:K9)</f>
        <v>0.55849822921468417</v>
      </c>
    </row>
    <row r="14" spans="2:11" ht="15" thickBot="1" x14ac:dyDescent="0.25">
      <c r="B14" s="9">
        <v>44818</v>
      </c>
      <c r="C14" s="10">
        <v>392.99</v>
      </c>
      <c r="D14" s="10">
        <v>205.01</v>
      </c>
      <c r="F14" s="1">
        <f t="shared" si="0"/>
        <v>3.8315154920942618E-3</v>
      </c>
      <c r="G14" s="1">
        <f t="shared" si="0"/>
        <v>-1.6070906788741013E-3</v>
      </c>
    </row>
    <row r="15" spans="2:11" ht="15" thickBot="1" x14ac:dyDescent="0.25">
      <c r="B15" s="9">
        <v>44817</v>
      </c>
      <c r="C15" s="10">
        <v>391.49</v>
      </c>
      <c r="D15" s="10">
        <v>205.34</v>
      </c>
      <c r="F15" s="1">
        <f t="shared" si="0"/>
        <v>-4.3489946004055868E-2</v>
      </c>
      <c r="G15" s="1">
        <f t="shared" si="0"/>
        <v>-3.9749345304900818E-2</v>
      </c>
      <c r="I15" s="1" t="s">
        <v>88</v>
      </c>
      <c r="J15" s="7">
        <f>+J12/J8</f>
        <v>1.0611623019079626</v>
      </c>
    </row>
    <row r="16" spans="2:11" ht="15" thickBot="1" x14ac:dyDescent="0.25">
      <c r="B16" s="9">
        <v>44816</v>
      </c>
      <c r="C16" s="10">
        <v>409.29</v>
      </c>
      <c r="D16" s="10">
        <v>213.84</v>
      </c>
      <c r="F16" s="1">
        <f t="shared" si="0"/>
        <v>1.0742332197362536E-2</v>
      </c>
      <c r="G16" s="1">
        <f t="shared" si="0"/>
        <v>2.2815325010761889E-2</v>
      </c>
      <c r="I16" s="1" t="s">
        <v>90</v>
      </c>
      <c r="J16" s="11">
        <f>+J3+J15*(J7-J3)</f>
        <v>-2.7073038927117044E-3</v>
      </c>
      <c r="K16" s="6">
        <f>+((J16+1)^252)-1</f>
        <v>-0.49498430322729436</v>
      </c>
    </row>
    <row r="17" spans="2:7" ht="15" thickBot="1" x14ac:dyDescent="0.25">
      <c r="B17" s="9">
        <v>44813</v>
      </c>
      <c r="C17" s="10">
        <v>404.94</v>
      </c>
      <c r="D17" s="10">
        <v>209.07</v>
      </c>
      <c r="F17" s="1">
        <f t="shared" si="0"/>
        <v>1.5548979284746967E-2</v>
      </c>
      <c r="G17" s="1">
        <f t="shared" si="0"/>
        <v>3.0561443288805501E-2</v>
      </c>
    </row>
    <row r="18" spans="2:7" ht="15" thickBot="1" x14ac:dyDescent="0.25">
      <c r="B18" s="9">
        <v>44812</v>
      </c>
      <c r="C18" s="10">
        <v>398.74</v>
      </c>
      <c r="D18" s="10">
        <v>202.87</v>
      </c>
      <c r="F18" s="1">
        <f t="shared" si="0"/>
        <v>6.5379275526946667E-3</v>
      </c>
      <c r="G18" s="1">
        <f t="shared" si="0"/>
        <v>6.1997817676817668E-3</v>
      </c>
    </row>
    <row r="19" spans="2:7" ht="15" thickBot="1" x14ac:dyDescent="0.25">
      <c r="B19" s="9">
        <v>44811</v>
      </c>
      <c r="C19" s="10">
        <v>396.15</v>
      </c>
      <c r="D19" s="10">
        <v>201.62</v>
      </c>
      <c r="F19" s="1">
        <f t="shared" si="0"/>
        <v>1.7961763798951536E-2</v>
      </c>
      <c r="G19" s="1">
        <f t="shared" si="0"/>
        <v>-1.2489592006660999E-2</v>
      </c>
    </row>
    <row r="20" spans="2:7" ht="15" thickBot="1" x14ac:dyDescent="0.25">
      <c r="B20" s="9">
        <v>44810</v>
      </c>
      <c r="C20" s="10">
        <v>389.16</v>
      </c>
      <c r="D20" s="10">
        <v>204.17</v>
      </c>
      <c r="F20" s="1">
        <f t="shared" si="0"/>
        <v>-3.7886545156664564E-3</v>
      </c>
      <c r="G20" s="1">
        <f t="shared" si="0"/>
        <v>-2.1799540053660471E-2</v>
      </c>
    </row>
    <row r="21" spans="2:7" ht="15" thickBot="1" x14ac:dyDescent="0.25">
      <c r="B21" s="9">
        <v>44806</v>
      </c>
      <c r="C21" s="10">
        <v>390.64</v>
      </c>
      <c r="D21" s="10">
        <v>208.72</v>
      </c>
      <c r="F21" s="1">
        <f t="shared" si="0"/>
        <v>-1.0536980749746738E-2</v>
      </c>
      <c r="G21" s="1">
        <f t="shared" si="0"/>
        <v>-1.4821108279052253E-2</v>
      </c>
    </row>
    <row r="22" spans="2:7" ht="15" thickBot="1" x14ac:dyDescent="0.25">
      <c r="B22" s="9">
        <v>44805</v>
      </c>
      <c r="C22" s="10">
        <v>394.8</v>
      </c>
      <c r="D22" s="10">
        <v>211.86</v>
      </c>
      <c r="F22" s="1">
        <f t="shared" si="0"/>
        <v>3.1507266998678229E-3</v>
      </c>
      <c r="G22" s="1">
        <f t="shared" si="0"/>
        <v>1.0493179433368471E-2</v>
      </c>
    </row>
    <row r="23" spans="2:7" ht="15" thickBot="1" x14ac:dyDescent="0.25">
      <c r="B23" s="9">
        <v>44804</v>
      </c>
      <c r="C23" s="10">
        <v>393.56</v>
      </c>
      <c r="D23" s="10">
        <v>209.66</v>
      </c>
      <c r="F23" s="1">
        <f t="shared" si="0"/>
        <v>-7.6151091835190421E-3</v>
      </c>
      <c r="G23" s="1">
        <f t="shared" si="0"/>
        <v>-1.2528259231348926E-2</v>
      </c>
    </row>
    <row r="24" spans="2:7" ht="15" thickBot="1" x14ac:dyDescent="0.25">
      <c r="B24" s="9">
        <v>44803</v>
      </c>
      <c r="C24" s="10">
        <v>396.58</v>
      </c>
      <c r="D24" s="10">
        <v>212.32</v>
      </c>
      <c r="F24" s="1">
        <f t="shared" si="0"/>
        <v>-1.0973115866128036E-2</v>
      </c>
      <c r="G24" s="1">
        <f t="shared" si="0"/>
        <v>-1.4984922291811698E-2</v>
      </c>
    </row>
    <row r="25" spans="2:7" ht="15" thickBot="1" x14ac:dyDescent="0.25">
      <c r="B25" s="9">
        <v>44802</v>
      </c>
      <c r="C25" s="10">
        <v>400.98</v>
      </c>
      <c r="D25" s="10">
        <v>215.55</v>
      </c>
      <c r="F25" s="1">
        <f t="shared" si="0"/>
        <v>-6.6146413972499873E-3</v>
      </c>
      <c r="G25" s="1">
        <f t="shared" si="0"/>
        <v>-6.5446835968105965E-3</v>
      </c>
    </row>
    <row r="26" spans="2:7" ht="15" thickBot="1" x14ac:dyDescent="0.25">
      <c r="B26" s="9">
        <v>44799</v>
      </c>
      <c r="C26" s="10">
        <v>403.65</v>
      </c>
      <c r="D26" s="10">
        <v>216.97</v>
      </c>
      <c r="F26" s="1">
        <f t="shared" si="0"/>
        <v>-3.3844754541755506E-2</v>
      </c>
      <c r="G26" s="1">
        <f t="shared" si="0"/>
        <v>-4.3299969134441563E-2</v>
      </c>
    </row>
    <row r="27" spans="2:7" ht="15" thickBot="1" x14ac:dyDescent="0.25">
      <c r="B27" s="9">
        <v>44798</v>
      </c>
      <c r="C27" s="10">
        <v>417.79</v>
      </c>
      <c r="D27" s="10">
        <v>226.79</v>
      </c>
      <c r="F27" s="1">
        <f t="shared" si="0"/>
        <v>1.4102626341084612E-2</v>
      </c>
      <c r="G27" s="1">
        <f t="shared" si="0"/>
        <v>8.7176978161276342E-3</v>
      </c>
    </row>
    <row r="28" spans="2:7" ht="15" thickBot="1" x14ac:dyDescent="0.25">
      <c r="B28" s="9">
        <v>44797</v>
      </c>
      <c r="C28" s="10">
        <v>411.98</v>
      </c>
      <c r="D28" s="10">
        <v>224.83</v>
      </c>
      <c r="F28" s="1">
        <f t="shared" si="0"/>
        <v>3.2143378950957313E-3</v>
      </c>
      <c r="G28" s="1">
        <f t="shared" si="0"/>
        <v>3.5709503191536651E-3</v>
      </c>
    </row>
    <row r="29" spans="2:7" ht="15" thickBot="1" x14ac:dyDescent="0.25">
      <c r="B29" s="9">
        <v>44796</v>
      </c>
      <c r="C29" s="10">
        <v>410.66</v>
      </c>
      <c r="D29" s="10">
        <v>224.03</v>
      </c>
      <c r="F29" s="1">
        <f t="shared" si="0"/>
        <v>-2.4291891366662322E-3</v>
      </c>
      <c r="G29" s="1">
        <f t="shared" si="0"/>
        <v>7.5556554980886759E-3</v>
      </c>
    </row>
    <row r="30" spans="2:7" ht="15" thickBot="1" x14ac:dyDescent="0.25">
      <c r="B30" s="9">
        <v>44795</v>
      </c>
      <c r="C30" s="10">
        <v>411.66</v>
      </c>
      <c r="D30" s="10">
        <v>222.35</v>
      </c>
      <c r="F30" s="1">
        <f t="shared" si="0"/>
        <v>-2.081301586546469E-2</v>
      </c>
      <c r="G30" s="1">
        <f t="shared" si="0"/>
        <v>-3.5232351282162511E-2</v>
      </c>
    </row>
    <row r="31" spans="2:7" ht="15" thickBot="1" x14ac:dyDescent="0.25">
      <c r="B31" s="9">
        <v>44792</v>
      </c>
      <c r="C31" s="10">
        <v>420.41</v>
      </c>
      <c r="D31" s="10">
        <v>230.47</v>
      </c>
      <c r="F31" s="1">
        <f t="shared" si="0"/>
        <v>-1.3446285258365664E-2</v>
      </c>
      <c r="G31" s="1">
        <f t="shared" si="0"/>
        <v>-1.3356736161650784E-2</v>
      </c>
    </row>
    <row r="32" spans="2:7" ht="15" thickBot="1" x14ac:dyDescent="0.25">
      <c r="B32" s="9">
        <v>44791</v>
      </c>
      <c r="C32" s="10">
        <v>426.14</v>
      </c>
      <c r="D32" s="10">
        <v>233.59</v>
      </c>
      <c r="F32" s="1">
        <f t="shared" si="0"/>
        <v>2.9183337255824782E-3</v>
      </c>
      <c r="G32" s="1">
        <f t="shared" si="0"/>
        <v>6.2028860650440443E-3</v>
      </c>
    </row>
    <row r="33" spans="2:7" ht="15" thickBot="1" x14ac:dyDescent="0.25">
      <c r="B33" s="9">
        <v>44790</v>
      </c>
      <c r="C33" s="10">
        <v>424.9</v>
      </c>
      <c r="D33" s="10">
        <v>232.15</v>
      </c>
      <c r="F33" s="1">
        <f t="shared" si="0"/>
        <v>-7.1037995980745006E-3</v>
      </c>
      <c r="G33" s="1">
        <f t="shared" si="0"/>
        <v>-2.0133378355562948E-2</v>
      </c>
    </row>
    <row r="34" spans="2:7" ht="15" thickBot="1" x14ac:dyDescent="0.25">
      <c r="B34" s="9">
        <v>44789</v>
      </c>
      <c r="C34" s="10">
        <v>427.94</v>
      </c>
      <c r="D34" s="10">
        <v>236.92</v>
      </c>
      <c r="F34" s="1">
        <f t="shared" si="0"/>
        <v>1.9432932968086458E-3</v>
      </c>
      <c r="G34" s="1">
        <f t="shared" si="0"/>
        <v>2.1471070104337242E-2</v>
      </c>
    </row>
    <row r="35" spans="2:7" ht="15" thickBot="1" x14ac:dyDescent="0.25">
      <c r="B35" s="9">
        <v>44788</v>
      </c>
      <c r="C35" s="10">
        <v>427.11</v>
      </c>
      <c r="D35" s="10">
        <v>231.94</v>
      </c>
      <c r="F35" s="1">
        <f t="shared" si="0"/>
        <v>4.1377688962032089E-3</v>
      </c>
      <c r="G35" s="1">
        <f t="shared" si="0"/>
        <v>1.0984221079243461E-2</v>
      </c>
    </row>
    <row r="36" spans="2:7" ht="15" thickBot="1" x14ac:dyDescent="0.25">
      <c r="B36" s="9">
        <v>44785</v>
      </c>
      <c r="C36" s="10">
        <v>425.35</v>
      </c>
      <c r="D36" s="10">
        <v>229.42</v>
      </c>
      <c r="F36" s="1">
        <f t="shared" si="0"/>
        <v>1.692686542185684E-2</v>
      </c>
      <c r="G36" s="1">
        <f t="shared" si="0"/>
        <v>6.2722049212684539E-3</v>
      </c>
    </row>
    <row r="37" spans="2:7" ht="15" thickBot="1" x14ac:dyDescent="0.25">
      <c r="B37" s="9">
        <v>44784</v>
      </c>
      <c r="C37" s="10">
        <v>418.27</v>
      </c>
      <c r="D37" s="10">
        <v>227.99</v>
      </c>
      <c r="F37" s="1">
        <f t="shared" si="0"/>
        <v>0</v>
      </c>
      <c r="G37" s="1">
        <f t="shared" si="0"/>
        <v>-1.379877152002762E-2</v>
      </c>
    </row>
    <row r="38" spans="2:7" ht="15" thickBot="1" x14ac:dyDescent="0.25">
      <c r="B38" s="9">
        <v>44783</v>
      </c>
      <c r="C38" s="10">
        <v>418.27</v>
      </c>
      <c r="D38" s="10">
        <v>231.18</v>
      </c>
      <c r="F38" s="1">
        <f t="shared" si="0"/>
        <v>2.099250616349746E-2</v>
      </c>
      <c r="G38" s="1">
        <f t="shared" si="0"/>
        <v>3.3252882810404838E-2</v>
      </c>
    </row>
    <row r="39" spans="2:7" ht="15" thickBot="1" x14ac:dyDescent="0.25">
      <c r="B39" s="9">
        <v>44782</v>
      </c>
      <c r="C39" s="10">
        <v>409.67</v>
      </c>
      <c r="D39" s="10">
        <v>223.74</v>
      </c>
      <c r="F39" s="1">
        <f t="shared" si="0"/>
        <v>-3.9630440068076922E-3</v>
      </c>
      <c r="G39" s="1">
        <f t="shared" si="0"/>
        <v>-1.7693287087851783E-2</v>
      </c>
    </row>
    <row r="40" spans="2:7" ht="15" thickBot="1" x14ac:dyDescent="0.25">
      <c r="B40" s="9">
        <v>44781</v>
      </c>
      <c r="C40" s="10">
        <v>411.3</v>
      </c>
      <c r="D40" s="10">
        <v>227.77</v>
      </c>
      <c r="F40" s="1">
        <f t="shared" si="0"/>
        <v>-1.1656709893631545E-3</v>
      </c>
      <c r="G40" s="1">
        <f t="shared" si="0"/>
        <v>-2.499892984033214E-2</v>
      </c>
    </row>
    <row r="41" spans="2:7" ht="15" thickBot="1" x14ac:dyDescent="0.25">
      <c r="B41" s="9">
        <v>44778</v>
      </c>
      <c r="C41" s="10">
        <v>411.78</v>
      </c>
      <c r="D41" s="10">
        <v>233.61</v>
      </c>
      <c r="F41" s="1">
        <f t="shared" si="0"/>
        <v>-1.6970519782778526E-3</v>
      </c>
      <c r="G41" s="1">
        <f t="shared" si="0"/>
        <v>-5.1105148843745285E-3</v>
      </c>
    </row>
    <row r="42" spans="2:7" ht="15" thickBot="1" x14ac:dyDescent="0.25">
      <c r="B42" s="9">
        <v>44777</v>
      </c>
      <c r="C42" s="10">
        <v>412.48</v>
      </c>
      <c r="D42" s="10">
        <v>234.81</v>
      </c>
      <c r="F42" s="1">
        <f t="shared" si="0"/>
        <v>-6.5414900060567494E-4</v>
      </c>
      <c r="G42" s="1">
        <f t="shared" si="0"/>
        <v>1.2461193515005187E-2</v>
      </c>
    </row>
    <row r="43" spans="2:7" ht="15" thickBot="1" x14ac:dyDescent="0.25">
      <c r="B43" s="9">
        <v>44776</v>
      </c>
      <c r="C43" s="10">
        <v>412.75</v>
      </c>
      <c r="D43" s="10">
        <v>231.92</v>
      </c>
      <c r="F43" s="1">
        <f t="shared" si="0"/>
        <v>1.5649991387583384E-2</v>
      </c>
      <c r="G43" s="1">
        <f t="shared" si="0"/>
        <v>-3.4482758620690834E-4</v>
      </c>
    </row>
    <row r="44" spans="2:7" ht="15" thickBot="1" x14ac:dyDescent="0.25">
      <c r="B44" s="9">
        <v>44775</v>
      </c>
      <c r="C44" s="10">
        <v>406.39</v>
      </c>
      <c r="D44" s="10">
        <v>232</v>
      </c>
      <c r="F44" s="1">
        <f t="shared" si="0"/>
        <v>-6.6000146666992388E-3</v>
      </c>
      <c r="G44" s="1">
        <f t="shared" si="0"/>
        <v>-1.8612521150592198E-2</v>
      </c>
    </row>
    <row r="45" spans="2:7" ht="15" thickBot="1" x14ac:dyDescent="0.25">
      <c r="B45" s="9">
        <v>44774</v>
      </c>
      <c r="C45" s="10">
        <v>409.09</v>
      </c>
      <c r="D45" s="10">
        <v>236.4</v>
      </c>
      <c r="F45" s="1">
        <f t="shared" si="0"/>
        <v>-2.9490616621984378E-3</v>
      </c>
      <c r="G45" s="1">
        <f t="shared" si="0"/>
        <v>1.9756707790527184E-2</v>
      </c>
    </row>
    <row r="46" spans="2:7" ht="15" thickBot="1" x14ac:dyDescent="0.25">
      <c r="B46" s="9">
        <v>44771</v>
      </c>
      <c r="C46" s="10">
        <v>410.3</v>
      </c>
      <c r="D46" s="10">
        <v>231.82</v>
      </c>
      <c r="F46" s="1">
        <f t="shared" si="0"/>
        <v>1.4564427190227658E-2</v>
      </c>
      <c r="G46" s="1">
        <f t="shared" si="0"/>
        <v>1.4263213160657928E-2</v>
      </c>
    </row>
    <row r="47" spans="2:7" ht="15" thickBot="1" x14ac:dyDescent="0.25">
      <c r="B47" s="9">
        <v>44770</v>
      </c>
      <c r="C47" s="10">
        <v>404.41</v>
      </c>
      <c r="D47" s="10">
        <v>228.56</v>
      </c>
      <c r="F47" s="1">
        <f t="shared" si="0"/>
        <v>1.2543815723585539E-2</v>
      </c>
      <c r="G47" s="1">
        <f t="shared" si="0"/>
        <v>9.5852290295508347E-3</v>
      </c>
    </row>
    <row r="48" spans="2:7" ht="15" thickBot="1" x14ac:dyDescent="0.25">
      <c r="B48" s="9">
        <v>44769</v>
      </c>
      <c r="C48" s="10">
        <v>399.4</v>
      </c>
      <c r="D48" s="10">
        <v>226.39</v>
      </c>
      <c r="F48" s="1">
        <f t="shared" si="0"/>
        <v>2.5970356289655383E-2</v>
      </c>
      <c r="G48" s="1">
        <f t="shared" si="0"/>
        <v>1.2296548023609466E-2</v>
      </c>
    </row>
    <row r="49" spans="2:7" ht="15" thickBot="1" x14ac:dyDescent="0.25">
      <c r="B49" s="9">
        <v>44768</v>
      </c>
      <c r="C49" s="10">
        <v>389.29</v>
      </c>
      <c r="D49" s="10">
        <v>223.64</v>
      </c>
      <c r="F49" s="1">
        <f t="shared" si="0"/>
        <v>-1.1828912298514904E-2</v>
      </c>
      <c r="G49" s="1">
        <f t="shared" si="0"/>
        <v>-1.4497862777067883E-2</v>
      </c>
    </row>
    <row r="50" spans="2:7" ht="15" thickBot="1" x14ac:dyDescent="0.25">
      <c r="B50" s="9">
        <v>44767</v>
      </c>
      <c r="C50" s="10">
        <v>393.95</v>
      </c>
      <c r="D50" s="10">
        <v>226.93</v>
      </c>
      <c r="F50" s="1">
        <f t="shared" si="0"/>
        <v>1.2199151142398001E-3</v>
      </c>
      <c r="G50" s="1">
        <f t="shared" si="0"/>
        <v>3.8485357869593173E-3</v>
      </c>
    </row>
    <row r="51" spans="2:7" ht="15" thickBot="1" x14ac:dyDescent="0.25">
      <c r="B51" s="9">
        <v>44764</v>
      </c>
      <c r="C51" s="10">
        <v>393.47</v>
      </c>
      <c r="D51" s="10">
        <v>226.06</v>
      </c>
      <c r="F51" s="1">
        <f t="shared" si="0"/>
        <v>-9.2909658575889287E-3</v>
      </c>
      <c r="G51" s="1">
        <f t="shared" si="0"/>
        <v>-1.5899655507463084E-3</v>
      </c>
    </row>
    <row r="52" spans="2:7" ht="15" thickBot="1" x14ac:dyDescent="0.25">
      <c r="B52" s="9">
        <v>44763</v>
      </c>
      <c r="C52" s="10">
        <v>397.16</v>
      </c>
      <c r="D52" s="10">
        <v>226.42</v>
      </c>
      <c r="F52" s="1">
        <f t="shared" si="0"/>
        <v>1.0199669337403128E-2</v>
      </c>
      <c r="G52" s="1">
        <f t="shared" si="0"/>
        <v>0</v>
      </c>
    </row>
    <row r="53" spans="2:7" ht="15" thickBot="1" x14ac:dyDescent="0.25">
      <c r="B53" s="9">
        <v>44762</v>
      </c>
      <c r="C53" s="10">
        <v>393.15</v>
      </c>
      <c r="D53" s="10">
        <v>226.42</v>
      </c>
      <c r="F53" s="1">
        <f t="shared" si="0"/>
        <v>6.3480687024852767E-3</v>
      </c>
      <c r="G53" s="1">
        <f t="shared" si="0"/>
        <v>9.9018733273863457E-3</v>
      </c>
    </row>
    <row r="54" spans="2:7" ht="15" thickBot="1" x14ac:dyDescent="0.25">
      <c r="B54" s="9">
        <v>44761</v>
      </c>
      <c r="C54" s="10">
        <v>390.67</v>
      </c>
      <c r="D54" s="10">
        <v>224.2</v>
      </c>
      <c r="F54" s="1">
        <f t="shared" si="0"/>
        <v>2.7024895501984947E-2</v>
      </c>
      <c r="G54" s="1">
        <f t="shared" si="0"/>
        <v>3.4180543382997364E-2</v>
      </c>
    </row>
    <row r="55" spans="2:7" ht="15" thickBot="1" x14ac:dyDescent="0.25">
      <c r="B55" s="9">
        <v>44760</v>
      </c>
      <c r="C55" s="10">
        <v>380.39</v>
      </c>
      <c r="D55" s="10">
        <v>216.79</v>
      </c>
      <c r="F55" s="1">
        <f t="shared" si="0"/>
        <v>-8.2388215356538064E-3</v>
      </c>
      <c r="G55" s="1">
        <f t="shared" si="0"/>
        <v>6.9239290989653313E-4</v>
      </c>
    </row>
    <row r="56" spans="2:7" ht="15" thickBot="1" x14ac:dyDescent="0.25">
      <c r="B56" s="9">
        <v>44757</v>
      </c>
      <c r="C56" s="10">
        <v>383.55</v>
      </c>
      <c r="D56" s="10">
        <v>216.64</v>
      </c>
      <c r="F56" s="1">
        <f t="shared" si="0"/>
        <v>1.910404931448606E-2</v>
      </c>
      <c r="G56" s="1">
        <f t="shared" si="0"/>
        <v>1.6516516516516422E-2</v>
      </c>
    </row>
    <row r="57" spans="2:7" ht="15" thickBot="1" x14ac:dyDescent="0.25">
      <c r="B57" s="9">
        <v>44756</v>
      </c>
      <c r="C57" s="10">
        <v>376.36</v>
      </c>
      <c r="D57" s="10">
        <v>213.12</v>
      </c>
      <c r="F57" s="1">
        <f t="shared" si="0"/>
        <v>-2.438507209499452E-3</v>
      </c>
      <c r="G57" s="1">
        <f t="shared" si="0"/>
        <v>-8.5136078157710404E-3</v>
      </c>
    </row>
    <row r="58" spans="2:7" ht="15" thickBot="1" x14ac:dyDescent="0.25">
      <c r="B58" s="9">
        <v>44755</v>
      </c>
      <c r="C58" s="10">
        <v>377.28</v>
      </c>
      <c r="D58" s="10">
        <v>214.95</v>
      </c>
      <c r="F58" s="1">
        <f t="shared" si="0"/>
        <v>-5.2469217180373118E-3</v>
      </c>
      <c r="G58" s="1">
        <f t="shared" si="0"/>
        <v>-3.0708874458874491E-2</v>
      </c>
    </row>
    <row r="59" spans="2:7" ht="15" thickBot="1" x14ac:dyDescent="0.25">
      <c r="B59" s="9">
        <v>44754</v>
      </c>
      <c r="C59" s="10">
        <v>379.27</v>
      </c>
      <c r="D59" s="10">
        <v>221.76</v>
      </c>
      <c r="F59" s="1">
        <f t="shared" si="0"/>
        <v>-8.8590393560864511E-3</v>
      </c>
      <c r="G59" s="1">
        <f t="shared" si="0"/>
        <v>-5.4267390231870216E-3</v>
      </c>
    </row>
    <row r="60" spans="2:7" ht="15" thickBot="1" x14ac:dyDescent="0.25">
      <c r="B60" s="9">
        <v>44753</v>
      </c>
      <c r="C60" s="10">
        <v>382.66</v>
      </c>
      <c r="D60" s="10">
        <v>222.97</v>
      </c>
      <c r="F60" s="1">
        <f t="shared" si="0"/>
        <v>-1.1418828149219684E-2</v>
      </c>
      <c r="G60" s="1">
        <f t="shared" si="0"/>
        <v>-2.7308816472538466E-2</v>
      </c>
    </row>
    <row r="61" spans="2:7" ht="15" thickBot="1" x14ac:dyDescent="0.25">
      <c r="B61" s="9">
        <v>44750</v>
      </c>
      <c r="C61" s="10">
        <v>387.08</v>
      </c>
      <c r="D61" s="10">
        <v>229.23</v>
      </c>
      <c r="F61" s="1">
        <f t="shared" si="0"/>
        <v>-8.2601961796591183E-4</v>
      </c>
      <c r="G61" s="1">
        <f t="shared" si="0"/>
        <v>-3.7376678690947962E-3</v>
      </c>
    </row>
    <row r="62" spans="2:7" ht="15" thickBot="1" x14ac:dyDescent="0.25">
      <c r="B62" s="9">
        <v>44749</v>
      </c>
      <c r="C62" s="10">
        <v>387.4</v>
      </c>
      <c r="D62" s="10">
        <v>230.09</v>
      </c>
      <c r="F62" s="1">
        <f t="shared" si="0"/>
        <v>1.4986376021798309E-2</v>
      </c>
      <c r="G62" s="1">
        <f t="shared" si="0"/>
        <v>1.5939597315436371E-2</v>
      </c>
    </row>
    <row r="63" spans="2:7" ht="15" thickBot="1" x14ac:dyDescent="0.25">
      <c r="B63" s="9">
        <v>44748</v>
      </c>
      <c r="C63" s="10">
        <v>381.68</v>
      </c>
      <c r="D63" s="10">
        <v>226.48</v>
      </c>
      <c r="F63" s="1">
        <f t="shared" si="0"/>
        <v>3.3648790746583224E-3</v>
      </c>
      <c r="G63" s="1">
        <f t="shared" si="0"/>
        <v>-8.2326151690315097E-3</v>
      </c>
    </row>
    <row r="64" spans="2:7" ht="15" thickBot="1" x14ac:dyDescent="0.25">
      <c r="B64" s="9">
        <v>44747</v>
      </c>
      <c r="C64" s="10">
        <v>380.4</v>
      </c>
      <c r="D64" s="10">
        <v>228.36</v>
      </c>
      <c r="F64" s="1">
        <f t="shared" si="0"/>
        <v>1.8963337547408532E-3</v>
      </c>
      <c r="G64" s="1">
        <f t="shared" si="0"/>
        <v>2.6844732227168544E-2</v>
      </c>
    </row>
    <row r="65" spans="2:7" ht="15" thickBot="1" x14ac:dyDescent="0.25">
      <c r="B65" s="9">
        <v>44743</v>
      </c>
      <c r="C65" s="10">
        <v>379.68</v>
      </c>
      <c r="D65" s="10">
        <v>222.39</v>
      </c>
      <c r="F65" s="1">
        <f t="shared" si="0"/>
        <v>1.0566660456202914E-2</v>
      </c>
      <c r="G65" s="1">
        <f t="shared" si="0"/>
        <v>-1.3660353927351765E-2</v>
      </c>
    </row>
    <row r="66" spans="2:7" ht="15" thickBot="1" x14ac:dyDescent="0.25">
      <c r="B66" s="9">
        <v>44742</v>
      </c>
      <c r="C66" s="10">
        <v>375.71</v>
      </c>
      <c r="D66" s="10">
        <v>225.47</v>
      </c>
      <c r="F66" s="1">
        <f t="shared" si="0"/>
        <v>-8.1049685833465279E-3</v>
      </c>
      <c r="G66" s="1">
        <f t="shared" si="0"/>
        <v>-3.0361673762525299E-2</v>
      </c>
    </row>
    <row r="67" spans="2:7" ht="15" thickBot="1" x14ac:dyDescent="0.25">
      <c r="B67" s="9">
        <v>44741</v>
      </c>
      <c r="C67" s="10">
        <v>378.78</v>
      </c>
      <c r="D67" s="10">
        <v>232.53</v>
      </c>
      <c r="F67" s="1">
        <f t="shared" si="0"/>
        <v>-8.1774776438314767E-4</v>
      </c>
      <c r="G67" s="1">
        <f t="shared" si="0"/>
        <v>-2.6174721500963227E-2</v>
      </c>
    </row>
    <row r="68" spans="2:7" ht="15" thickBot="1" x14ac:dyDescent="0.25">
      <c r="B68" s="9">
        <v>44740</v>
      </c>
      <c r="C68" s="10">
        <v>379.09</v>
      </c>
      <c r="D68" s="10">
        <v>238.78</v>
      </c>
      <c r="F68" s="1">
        <f t="shared" si="0"/>
        <v>-2.0439276485788138E-2</v>
      </c>
      <c r="G68" s="1">
        <f t="shared" si="0"/>
        <v>-1.5888944639571578E-3</v>
      </c>
    </row>
    <row r="69" spans="2:7" ht="15" thickBot="1" x14ac:dyDescent="0.25">
      <c r="B69" s="9">
        <v>44739</v>
      </c>
      <c r="C69" s="10">
        <v>387</v>
      </c>
      <c r="D69" s="10">
        <v>239.16</v>
      </c>
      <c r="F69" s="1">
        <f t="shared" si="0"/>
        <v>-3.8097199341021737E-3</v>
      </c>
      <c r="G69" s="1">
        <f t="shared" si="0"/>
        <v>-1.1367864081683221E-2</v>
      </c>
    </row>
    <row r="70" spans="2:7" ht="15" thickBot="1" x14ac:dyDescent="0.25">
      <c r="B70" s="9">
        <v>44736</v>
      </c>
      <c r="C70" s="10">
        <v>388.48</v>
      </c>
      <c r="D70" s="10">
        <v>241.91</v>
      </c>
      <c r="F70" s="1">
        <f t="shared" ref="F70:G133" si="1">+C70/C71-1</f>
        <v>3.179198427664609E-2</v>
      </c>
      <c r="G70" s="1">
        <f t="shared" si="1"/>
        <v>7.163108000354379E-2</v>
      </c>
    </row>
    <row r="71" spans="2:7" ht="15" thickBot="1" x14ac:dyDescent="0.25">
      <c r="B71" s="9">
        <v>44735</v>
      </c>
      <c r="C71" s="10">
        <v>376.51</v>
      </c>
      <c r="D71" s="10">
        <v>225.74</v>
      </c>
      <c r="F71" s="1">
        <f t="shared" si="1"/>
        <v>9.7891970176473553E-3</v>
      </c>
      <c r="G71" s="1">
        <f t="shared" si="1"/>
        <v>-3.8831524137322715E-3</v>
      </c>
    </row>
    <row r="72" spans="2:7" ht="15" thickBot="1" x14ac:dyDescent="0.25">
      <c r="B72" s="9">
        <v>44734</v>
      </c>
      <c r="C72" s="10">
        <v>372.86</v>
      </c>
      <c r="D72" s="10">
        <v>226.62</v>
      </c>
      <c r="F72" s="1">
        <f t="shared" si="1"/>
        <v>-1.8204208384644538E-3</v>
      </c>
      <c r="G72" s="1">
        <f t="shared" si="1"/>
        <v>-6.5319363464995117E-3</v>
      </c>
    </row>
    <row r="73" spans="2:7" ht="15" thickBot="1" x14ac:dyDescent="0.25">
      <c r="B73" s="9">
        <v>44733</v>
      </c>
      <c r="C73" s="10">
        <v>373.54</v>
      </c>
      <c r="D73" s="10">
        <v>228.11</v>
      </c>
      <c r="F73" s="1">
        <f t="shared" si="1"/>
        <v>2.5194862224173997E-2</v>
      </c>
      <c r="G73" s="1">
        <f t="shared" si="1"/>
        <v>2.7253945228362664E-3</v>
      </c>
    </row>
    <row r="74" spans="2:7" ht="15" thickBot="1" x14ac:dyDescent="0.25">
      <c r="B74" s="9">
        <v>44729</v>
      </c>
      <c r="C74" s="10">
        <v>364.36</v>
      </c>
      <c r="D74" s="10">
        <v>227.49</v>
      </c>
      <c r="F74" s="1">
        <f t="shared" si="1"/>
        <v>2.1453325265416989E-3</v>
      </c>
      <c r="G74" s="1">
        <f t="shared" si="1"/>
        <v>2.0363310159228654E-2</v>
      </c>
    </row>
    <row r="75" spans="2:7" ht="15" thickBot="1" x14ac:dyDescent="0.25">
      <c r="B75" s="9">
        <v>44728</v>
      </c>
      <c r="C75" s="10">
        <v>363.58</v>
      </c>
      <c r="D75" s="10">
        <v>222.95</v>
      </c>
      <c r="F75" s="1">
        <f t="shared" si="1"/>
        <v>-3.3083346630498389E-2</v>
      </c>
      <c r="G75" s="1">
        <f t="shared" si="1"/>
        <v>-3.2083007727706891E-2</v>
      </c>
    </row>
    <row r="76" spans="2:7" ht="15" thickBot="1" x14ac:dyDescent="0.25">
      <c r="B76" s="9">
        <v>44727</v>
      </c>
      <c r="C76" s="10">
        <v>376.02</v>
      </c>
      <c r="D76" s="10">
        <v>230.34</v>
      </c>
      <c r="F76" s="1">
        <f t="shared" si="1"/>
        <v>1.4241786696876479E-2</v>
      </c>
      <c r="G76" s="1">
        <f t="shared" si="1"/>
        <v>1.2305528698250967E-2</v>
      </c>
    </row>
    <row r="77" spans="2:7" ht="15" thickBot="1" x14ac:dyDescent="0.25">
      <c r="B77" s="9">
        <v>44726</v>
      </c>
      <c r="C77" s="10">
        <v>370.74</v>
      </c>
      <c r="D77" s="10">
        <v>227.54</v>
      </c>
      <c r="F77" s="1">
        <f t="shared" si="1"/>
        <v>-3.0118861937288299E-3</v>
      </c>
      <c r="G77" s="1">
        <f t="shared" si="1"/>
        <v>0.14410699919549486</v>
      </c>
    </row>
    <row r="78" spans="2:7" ht="15" thickBot="1" x14ac:dyDescent="0.25">
      <c r="B78" s="9">
        <v>44725</v>
      </c>
      <c r="C78" s="10">
        <v>371.86</v>
      </c>
      <c r="D78" s="10">
        <v>198.88</v>
      </c>
      <c r="F78" s="1">
        <f t="shared" si="1"/>
        <v>-3.7977958296683378E-2</v>
      </c>
      <c r="G78" s="1">
        <f t="shared" si="1"/>
        <v>-2.8004496358926878E-2</v>
      </c>
    </row>
    <row r="79" spans="2:7" ht="15" thickBot="1" x14ac:dyDescent="0.25">
      <c r="B79" s="9">
        <v>44722</v>
      </c>
      <c r="C79" s="10">
        <v>386.54</v>
      </c>
      <c r="D79" s="10">
        <v>204.61</v>
      </c>
      <c r="F79" s="1">
        <f t="shared" si="1"/>
        <v>-2.8989147909967761E-2</v>
      </c>
      <c r="G79" s="1">
        <f t="shared" si="1"/>
        <v>-4.7128952638196719E-2</v>
      </c>
    </row>
    <row r="80" spans="2:7" ht="15" thickBot="1" x14ac:dyDescent="0.25">
      <c r="B80" s="9">
        <v>44721</v>
      </c>
      <c r="C80" s="10">
        <v>398.08</v>
      </c>
      <c r="D80" s="10">
        <v>214.73</v>
      </c>
      <c r="F80" s="1">
        <f t="shared" si="1"/>
        <v>-2.3787336308793927E-2</v>
      </c>
      <c r="G80" s="1">
        <f t="shared" si="1"/>
        <v>-7.9106561191255587E-4</v>
      </c>
    </row>
    <row r="81" spans="2:7" ht="15" thickBot="1" x14ac:dyDescent="0.25">
      <c r="B81" s="9">
        <v>44720</v>
      </c>
      <c r="C81" s="10">
        <v>407.78</v>
      </c>
      <c r="D81" s="10">
        <v>214.9</v>
      </c>
      <c r="F81" s="1">
        <f t="shared" si="1"/>
        <v>-1.0866928637267792E-2</v>
      </c>
      <c r="G81" s="1">
        <f t="shared" si="1"/>
        <v>-1.8945446245149489E-2</v>
      </c>
    </row>
    <row r="82" spans="2:7" ht="15" thickBot="1" x14ac:dyDescent="0.25">
      <c r="B82" s="9">
        <v>44719</v>
      </c>
      <c r="C82" s="10">
        <v>412.26</v>
      </c>
      <c r="D82" s="10">
        <v>219.05</v>
      </c>
      <c r="F82" s="1">
        <f t="shared" si="1"/>
        <v>9.5998432678650047E-3</v>
      </c>
      <c r="G82" s="1">
        <f t="shared" si="1"/>
        <v>-6.6660620351896016E-3</v>
      </c>
    </row>
    <row r="83" spans="2:7" ht="15" thickBot="1" x14ac:dyDescent="0.25">
      <c r="B83" s="9">
        <v>44718</v>
      </c>
      <c r="C83" s="10">
        <v>408.34</v>
      </c>
      <c r="D83" s="10">
        <v>220.52</v>
      </c>
      <c r="F83" s="1">
        <f t="shared" si="1"/>
        <v>3.0459346597886405E-3</v>
      </c>
      <c r="G83" s="1">
        <f t="shared" si="1"/>
        <v>1.899172866318577E-2</v>
      </c>
    </row>
    <row r="84" spans="2:7" ht="15" thickBot="1" x14ac:dyDescent="0.25">
      <c r="B84" s="9">
        <v>44715</v>
      </c>
      <c r="C84" s="10">
        <v>407.1</v>
      </c>
      <c r="D84" s="10">
        <v>216.41</v>
      </c>
      <c r="F84" s="1">
        <f t="shared" si="1"/>
        <v>-1.6405325086375488E-2</v>
      </c>
      <c r="G84" s="1">
        <f t="shared" si="1"/>
        <v>-1.2728102189780932E-2</v>
      </c>
    </row>
    <row r="85" spans="2:7" ht="15" thickBot="1" x14ac:dyDescent="0.25">
      <c r="B85" s="9">
        <v>44714</v>
      </c>
      <c r="C85" s="10">
        <v>413.89</v>
      </c>
      <c r="D85" s="10">
        <v>219.2</v>
      </c>
      <c r="F85" s="1">
        <f t="shared" si="1"/>
        <v>1.9031908607445303E-2</v>
      </c>
      <c r="G85" s="1">
        <f t="shared" si="1"/>
        <v>1.3032627784453243E-2</v>
      </c>
    </row>
    <row r="86" spans="2:7" ht="15" thickBot="1" x14ac:dyDescent="0.25">
      <c r="B86" s="9">
        <v>44713</v>
      </c>
      <c r="C86" s="10">
        <v>406.16</v>
      </c>
      <c r="D86" s="10">
        <v>216.38</v>
      </c>
      <c r="F86" s="1">
        <f t="shared" si="1"/>
        <v>-8.0836202896427123E-3</v>
      </c>
      <c r="G86" s="1">
        <f t="shared" si="1"/>
        <v>-2.6324078657246952E-2</v>
      </c>
    </row>
    <row r="87" spans="2:7" ht="15" thickBot="1" x14ac:dyDescent="0.25">
      <c r="B87" s="9">
        <v>44712</v>
      </c>
      <c r="C87" s="10">
        <v>409.47</v>
      </c>
      <c r="D87" s="10">
        <v>222.23</v>
      </c>
      <c r="F87" s="1">
        <f t="shared" si="1"/>
        <v>-5.6097916363104794E-3</v>
      </c>
      <c r="G87" s="1">
        <f t="shared" si="1"/>
        <v>2.2358191102727965E-2</v>
      </c>
    </row>
    <row r="88" spans="2:7" ht="15" thickBot="1" x14ac:dyDescent="0.25">
      <c r="B88" s="9">
        <v>44708</v>
      </c>
      <c r="C88" s="10">
        <v>411.78</v>
      </c>
      <c r="D88" s="10">
        <v>217.37</v>
      </c>
      <c r="F88" s="1">
        <f t="shared" si="1"/>
        <v>2.4532245222929738E-2</v>
      </c>
      <c r="G88" s="1">
        <f t="shared" si="1"/>
        <v>3.4750321321464384E-2</v>
      </c>
    </row>
    <row r="89" spans="2:7" ht="15" thickBot="1" x14ac:dyDescent="0.25">
      <c r="B89" s="9">
        <v>44707</v>
      </c>
      <c r="C89" s="10">
        <v>401.92</v>
      </c>
      <c r="D89" s="10">
        <v>210.07</v>
      </c>
      <c r="F89" s="1">
        <f t="shared" si="1"/>
        <v>1.9997969749264044E-2</v>
      </c>
      <c r="G89" s="1">
        <f t="shared" si="1"/>
        <v>3.9076025127368075E-2</v>
      </c>
    </row>
    <row r="90" spans="2:7" ht="15" thickBot="1" x14ac:dyDescent="0.25">
      <c r="B90" s="9">
        <v>44706</v>
      </c>
      <c r="C90" s="10">
        <v>394.04</v>
      </c>
      <c r="D90" s="10">
        <v>202.17</v>
      </c>
      <c r="F90" s="1">
        <f t="shared" si="1"/>
        <v>8.8327914181112188E-3</v>
      </c>
      <c r="G90" s="1">
        <f t="shared" si="1"/>
        <v>-4.5790251107828972E-3</v>
      </c>
    </row>
    <row r="91" spans="2:7" ht="15" thickBot="1" x14ac:dyDescent="0.25">
      <c r="B91" s="9">
        <v>44705</v>
      </c>
      <c r="C91" s="10">
        <v>390.59</v>
      </c>
      <c r="D91" s="10">
        <v>203.1</v>
      </c>
      <c r="F91" s="1">
        <f t="shared" si="1"/>
        <v>-7.647357723577386E-3</v>
      </c>
      <c r="G91" s="1">
        <f t="shared" si="1"/>
        <v>2.7153789187854827E-3</v>
      </c>
    </row>
    <row r="92" spans="2:7" ht="15" thickBot="1" x14ac:dyDescent="0.25">
      <c r="B92" s="9">
        <v>44704</v>
      </c>
      <c r="C92" s="10">
        <v>393.6</v>
      </c>
      <c r="D92" s="10">
        <v>202.55</v>
      </c>
      <c r="F92" s="1">
        <f t="shared" si="1"/>
        <v>1.8712632968398202E-2</v>
      </c>
      <c r="G92" s="1">
        <f t="shared" si="1"/>
        <v>1.8863179074446679E-2</v>
      </c>
    </row>
    <row r="93" spans="2:7" ht="15" thickBot="1" x14ac:dyDescent="0.25">
      <c r="B93" s="9">
        <v>44701</v>
      </c>
      <c r="C93" s="10">
        <v>386.37</v>
      </c>
      <c r="D93" s="10">
        <v>198.8</v>
      </c>
      <c r="F93" s="1">
        <f t="shared" si="1"/>
        <v>4.4018643190057993E-4</v>
      </c>
      <c r="G93" s="1">
        <f t="shared" si="1"/>
        <v>9.2907549373002496E-3</v>
      </c>
    </row>
    <row r="94" spans="2:7" ht="15" thickBot="1" x14ac:dyDescent="0.25">
      <c r="B94" s="9">
        <v>44700</v>
      </c>
      <c r="C94" s="10">
        <v>386.2</v>
      </c>
      <c r="D94" s="10">
        <v>196.97</v>
      </c>
      <c r="F94" s="1">
        <f t="shared" si="1"/>
        <v>-6.1248648926861549E-3</v>
      </c>
      <c r="G94" s="1">
        <f t="shared" si="1"/>
        <v>-2.2190230341540884E-2</v>
      </c>
    </row>
    <row r="95" spans="2:7" ht="15" thickBot="1" x14ac:dyDescent="0.25">
      <c r="B95" s="9">
        <v>44699</v>
      </c>
      <c r="C95" s="10">
        <v>388.58</v>
      </c>
      <c r="D95" s="10">
        <v>201.44</v>
      </c>
      <c r="F95" s="1">
        <f t="shared" si="1"/>
        <v>-4.0306248456408955E-2</v>
      </c>
      <c r="G95" s="1">
        <f t="shared" si="1"/>
        <v>-8.0938041792134374E-2</v>
      </c>
    </row>
    <row r="96" spans="2:7" ht="15" thickBot="1" x14ac:dyDescent="0.25">
      <c r="B96" s="9">
        <v>44698</v>
      </c>
      <c r="C96" s="10">
        <v>404.9</v>
      </c>
      <c r="D96" s="10">
        <v>219.18</v>
      </c>
      <c r="F96" s="1">
        <f t="shared" si="1"/>
        <v>2.0567626153148E-2</v>
      </c>
      <c r="G96" s="1">
        <f t="shared" si="1"/>
        <v>5.6187355435620701E-2</v>
      </c>
    </row>
    <row r="97" spans="2:7" ht="15" thickBot="1" x14ac:dyDescent="0.25">
      <c r="B97" s="9">
        <v>44697</v>
      </c>
      <c r="C97" s="10">
        <v>396.74</v>
      </c>
      <c r="D97" s="10">
        <v>207.52</v>
      </c>
      <c r="F97" s="1">
        <f t="shared" si="1"/>
        <v>-4.0666733607792604E-3</v>
      </c>
      <c r="G97" s="1">
        <f t="shared" si="1"/>
        <v>-7.461258848287744E-3</v>
      </c>
    </row>
    <row r="98" spans="2:7" ht="15" thickBot="1" x14ac:dyDescent="0.25">
      <c r="B98" s="9">
        <v>44694</v>
      </c>
      <c r="C98" s="10">
        <v>398.36</v>
      </c>
      <c r="D98" s="10">
        <v>209.08</v>
      </c>
      <c r="F98" s="1">
        <f t="shared" si="1"/>
        <v>2.3930086107184279E-2</v>
      </c>
      <c r="G98" s="1">
        <f t="shared" si="1"/>
        <v>1.4852926900301044E-2</v>
      </c>
    </row>
    <row r="99" spans="2:7" ht="15" thickBot="1" x14ac:dyDescent="0.25">
      <c r="B99" s="9">
        <v>44693</v>
      </c>
      <c r="C99" s="10">
        <v>389.05</v>
      </c>
      <c r="D99" s="10">
        <v>206.02</v>
      </c>
      <c r="F99" s="1">
        <f t="shared" si="1"/>
        <v>-1.0527396908539544E-3</v>
      </c>
      <c r="G99" s="1">
        <f t="shared" si="1"/>
        <v>4.8285616739014436E-3</v>
      </c>
    </row>
    <row r="100" spans="2:7" ht="15" thickBot="1" x14ac:dyDescent="0.25">
      <c r="B100" s="9">
        <v>44692</v>
      </c>
      <c r="C100" s="10">
        <v>389.46</v>
      </c>
      <c r="D100" s="10">
        <v>205.03</v>
      </c>
      <c r="F100" s="1">
        <f t="shared" si="1"/>
        <v>-1.5893872394188269E-2</v>
      </c>
      <c r="G100" s="1">
        <f t="shared" si="1"/>
        <v>-4.1286186127841296E-3</v>
      </c>
    </row>
    <row r="101" spans="2:7" ht="15" thickBot="1" x14ac:dyDescent="0.25">
      <c r="B101" s="9">
        <v>44691</v>
      </c>
      <c r="C101" s="10">
        <v>395.75</v>
      </c>
      <c r="D101" s="10">
        <v>205.88</v>
      </c>
      <c r="F101" s="1">
        <f t="shared" si="1"/>
        <v>2.3047310302908297E-3</v>
      </c>
      <c r="G101" s="1">
        <f t="shared" si="1"/>
        <v>-1.0189722936581047E-3</v>
      </c>
    </row>
    <row r="102" spans="2:7" ht="15" thickBot="1" x14ac:dyDescent="0.25">
      <c r="B102" s="9">
        <v>44690</v>
      </c>
      <c r="C102" s="10">
        <v>394.84</v>
      </c>
      <c r="D102" s="10">
        <v>206.09</v>
      </c>
      <c r="F102" s="1">
        <f t="shared" si="1"/>
        <v>-3.2017651385143453E-2</v>
      </c>
      <c r="G102" s="1">
        <f t="shared" si="1"/>
        <v>-9.2303254651218136E-3</v>
      </c>
    </row>
    <row r="103" spans="2:7" ht="15" thickBot="1" x14ac:dyDescent="0.25">
      <c r="B103" s="9">
        <v>44687</v>
      </c>
      <c r="C103" s="10">
        <v>407.9</v>
      </c>
      <c r="D103" s="10">
        <v>208.01</v>
      </c>
      <c r="F103" s="1">
        <f t="shared" si="1"/>
        <v>-5.9462884437295749E-3</v>
      </c>
      <c r="G103" s="1">
        <f t="shared" si="1"/>
        <v>1.4336568001170225E-2</v>
      </c>
    </row>
    <row r="104" spans="2:7" ht="15" thickBot="1" x14ac:dyDescent="0.25">
      <c r="B104" s="9">
        <v>44686</v>
      </c>
      <c r="C104" s="10">
        <v>410.34</v>
      </c>
      <c r="D104" s="10">
        <v>205.07</v>
      </c>
      <c r="F104" s="1">
        <f t="shared" si="1"/>
        <v>-3.5560674078078502E-2</v>
      </c>
      <c r="G104" s="1">
        <f t="shared" si="1"/>
        <v>-1.0757356488181435E-2</v>
      </c>
    </row>
    <row r="105" spans="2:7" ht="15" thickBot="1" x14ac:dyDescent="0.25">
      <c r="B105" s="9">
        <v>44685</v>
      </c>
      <c r="C105" s="10">
        <v>425.47</v>
      </c>
      <c r="D105" s="10">
        <v>207.3</v>
      </c>
      <c r="F105" s="1">
        <f t="shared" si="1"/>
        <v>3.0468163433360118E-2</v>
      </c>
      <c r="G105" s="1">
        <f t="shared" si="1"/>
        <v>5.0418039016975058E-2</v>
      </c>
    </row>
    <row r="106" spans="2:7" ht="15" thickBot="1" x14ac:dyDescent="0.25">
      <c r="B106" s="9">
        <v>44684</v>
      </c>
      <c r="C106" s="10">
        <v>412.89</v>
      </c>
      <c r="D106" s="10">
        <v>197.35</v>
      </c>
      <c r="F106" s="1">
        <f t="shared" si="1"/>
        <v>4.5740979538211324E-3</v>
      </c>
      <c r="G106" s="1">
        <f t="shared" si="1"/>
        <v>1.2310848935624508E-2</v>
      </c>
    </row>
    <row r="107" spans="2:7" ht="15" thickBot="1" x14ac:dyDescent="0.25">
      <c r="B107" s="9">
        <v>44683</v>
      </c>
      <c r="C107" s="10">
        <v>411.01</v>
      </c>
      <c r="D107" s="10">
        <v>194.95</v>
      </c>
      <c r="F107" s="1">
        <f t="shared" si="1"/>
        <v>6.0212948231550545E-3</v>
      </c>
      <c r="G107" s="1">
        <f t="shared" si="1"/>
        <v>-8.6952100071189253E-3</v>
      </c>
    </row>
    <row r="108" spans="2:7" ht="15" thickBot="1" x14ac:dyDescent="0.25">
      <c r="B108" s="9">
        <v>44680</v>
      </c>
      <c r="C108" s="10">
        <v>408.55</v>
      </c>
      <c r="D108" s="10">
        <v>196.66</v>
      </c>
      <c r="F108" s="1">
        <f t="shared" si="1"/>
        <v>-3.6961082431699821E-2</v>
      </c>
      <c r="G108" s="1">
        <f t="shared" si="1"/>
        <v>-3.9183115106507738E-2</v>
      </c>
    </row>
    <row r="109" spans="2:7" ht="15" thickBot="1" x14ac:dyDescent="0.25">
      <c r="B109" s="9">
        <v>44679</v>
      </c>
      <c r="C109" s="10">
        <v>424.23</v>
      </c>
      <c r="D109" s="10">
        <v>204.68</v>
      </c>
      <c r="F109" s="1">
        <f t="shared" si="1"/>
        <v>2.5254966407269652E-2</v>
      </c>
      <c r="G109" s="1">
        <f t="shared" si="1"/>
        <v>3.8088958766546721E-2</v>
      </c>
    </row>
    <row r="110" spans="2:7" ht="15" thickBot="1" x14ac:dyDescent="0.25">
      <c r="B110" s="9">
        <v>44678</v>
      </c>
      <c r="C110" s="10">
        <v>413.78</v>
      </c>
      <c r="D110" s="10">
        <v>197.17</v>
      </c>
      <c r="F110" s="1">
        <f t="shared" si="1"/>
        <v>2.8113033784109565E-3</v>
      </c>
      <c r="G110" s="1">
        <f t="shared" si="1"/>
        <v>-3.7390733161538625E-3</v>
      </c>
    </row>
    <row r="111" spans="2:7" ht="15" thickBot="1" x14ac:dyDescent="0.25">
      <c r="B111" s="9">
        <v>44677</v>
      </c>
      <c r="C111" s="10">
        <v>412.62</v>
      </c>
      <c r="D111" s="10">
        <v>197.91</v>
      </c>
      <c r="F111" s="1">
        <f t="shared" si="1"/>
        <v>-2.894662524710534E-2</v>
      </c>
      <c r="G111" s="1">
        <f t="shared" si="1"/>
        <v>-2.627306273062735E-2</v>
      </c>
    </row>
    <row r="112" spans="2:7" ht="15" thickBot="1" x14ac:dyDescent="0.25">
      <c r="B112" s="9">
        <v>44676</v>
      </c>
      <c r="C112" s="10">
        <v>424.92</v>
      </c>
      <c r="D112" s="10">
        <v>203.25</v>
      </c>
      <c r="F112" s="1">
        <f t="shared" si="1"/>
        <v>5.7992283475749584E-3</v>
      </c>
      <c r="G112" s="1">
        <f t="shared" si="1"/>
        <v>9.3568403427557456E-4</v>
      </c>
    </row>
    <row r="113" spans="2:7" ht="15" thickBot="1" x14ac:dyDescent="0.25">
      <c r="B113" s="9">
        <v>44673</v>
      </c>
      <c r="C113" s="10">
        <v>422.47</v>
      </c>
      <c r="D113" s="10">
        <v>203.06</v>
      </c>
      <c r="F113" s="1">
        <f t="shared" si="1"/>
        <v>-2.7440779023458095E-2</v>
      </c>
      <c r="G113" s="1">
        <f t="shared" si="1"/>
        <v>-7.9632615174165533E-3</v>
      </c>
    </row>
    <row r="114" spans="2:7" ht="15" thickBot="1" x14ac:dyDescent="0.25">
      <c r="B114" s="9">
        <v>44672</v>
      </c>
      <c r="C114" s="10">
        <v>434.39</v>
      </c>
      <c r="D114" s="10">
        <v>204.69</v>
      </c>
      <c r="F114" s="1">
        <f t="shared" si="1"/>
        <v>-1.496632576702428E-2</v>
      </c>
      <c r="G114" s="1">
        <f t="shared" si="1"/>
        <v>-1.115942028985506E-2</v>
      </c>
    </row>
    <row r="115" spans="2:7" ht="15" thickBot="1" x14ac:dyDescent="0.25">
      <c r="B115" s="9">
        <v>44671</v>
      </c>
      <c r="C115" s="10">
        <v>440.99</v>
      </c>
      <c r="D115" s="10">
        <v>207</v>
      </c>
      <c r="F115" s="1">
        <f t="shared" si="1"/>
        <v>-7.2511386553664181E-4</v>
      </c>
      <c r="G115" s="1">
        <f t="shared" si="1"/>
        <v>1.8391249637015328E-3</v>
      </c>
    </row>
    <row r="116" spans="2:7" ht="15" thickBot="1" x14ac:dyDescent="0.25">
      <c r="B116" s="9">
        <v>44670</v>
      </c>
      <c r="C116" s="10">
        <v>441.31</v>
      </c>
      <c r="D116" s="10">
        <v>206.62</v>
      </c>
      <c r="F116" s="1">
        <f t="shared" si="1"/>
        <v>1.6140916417223039E-2</v>
      </c>
      <c r="G116" s="1">
        <f t="shared" si="1"/>
        <v>2.7295778849500296E-2</v>
      </c>
    </row>
    <row r="117" spans="2:7" ht="15" thickBot="1" x14ac:dyDescent="0.25">
      <c r="B117" s="9">
        <v>44669</v>
      </c>
      <c r="C117" s="10">
        <v>434.3</v>
      </c>
      <c r="D117" s="10">
        <v>201.13</v>
      </c>
      <c r="F117" s="1">
        <f t="shared" si="1"/>
        <v>4.1463189901413955E-4</v>
      </c>
      <c r="G117" s="1">
        <f t="shared" si="1"/>
        <v>-1.2083108207672333E-2</v>
      </c>
    </row>
    <row r="118" spans="2:7" ht="15" thickBot="1" x14ac:dyDescent="0.25">
      <c r="B118" s="9">
        <v>44665</v>
      </c>
      <c r="C118" s="10">
        <v>434.12</v>
      </c>
      <c r="D118" s="10">
        <v>203.59</v>
      </c>
      <c r="F118" s="1">
        <f t="shared" si="1"/>
        <v>-1.2465878070973657E-2</v>
      </c>
      <c r="G118" s="1">
        <f t="shared" si="1"/>
        <v>-2.7430810678422679E-3</v>
      </c>
    </row>
    <row r="119" spans="2:7" ht="15" thickBot="1" x14ac:dyDescent="0.25">
      <c r="B119" s="9">
        <v>44664</v>
      </c>
      <c r="C119" s="10">
        <v>439.6</v>
      </c>
      <c r="D119" s="10">
        <v>204.15</v>
      </c>
      <c r="F119" s="1">
        <f t="shared" si="1"/>
        <v>1.1458285398739276E-2</v>
      </c>
      <c r="G119" s="1">
        <f t="shared" si="1"/>
        <v>9.4442246835442223E-3</v>
      </c>
    </row>
    <row r="120" spans="2:7" ht="15" thickBot="1" x14ac:dyDescent="0.25">
      <c r="B120" s="9">
        <v>44663</v>
      </c>
      <c r="C120" s="10">
        <v>434.62</v>
      </c>
      <c r="D120" s="10">
        <v>202.24</v>
      </c>
      <c r="F120" s="1">
        <f t="shared" si="1"/>
        <v>-3.7135521731157528E-3</v>
      </c>
      <c r="G120" s="1">
        <f t="shared" si="1"/>
        <v>1.2872561639767355E-3</v>
      </c>
    </row>
    <row r="121" spans="2:7" ht="15" thickBot="1" x14ac:dyDescent="0.25">
      <c r="B121" s="9">
        <v>44662</v>
      </c>
      <c r="C121" s="10">
        <v>436.24</v>
      </c>
      <c r="D121" s="10">
        <v>201.98</v>
      </c>
      <c r="F121" s="1">
        <f t="shared" si="1"/>
        <v>-1.707899598936502E-2</v>
      </c>
      <c r="G121" s="1">
        <f t="shared" si="1"/>
        <v>1.2888019657991023E-2</v>
      </c>
    </row>
    <row r="122" spans="2:7" ht="15" thickBot="1" x14ac:dyDescent="0.25">
      <c r="B122" s="9">
        <v>44659</v>
      </c>
      <c r="C122" s="10">
        <v>443.82</v>
      </c>
      <c r="D122" s="10">
        <v>199.41</v>
      </c>
      <c r="F122" s="1">
        <f t="shared" si="1"/>
        <v>-2.6740972112986316E-3</v>
      </c>
      <c r="G122" s="1">
        <f t="shared" si="1"/>
        <v>-1.1059313628248302E-2</v>
      </c>
    </row>
    <row r="123" spans="2:7" ht="15" thickBot="1" x14ac:dyDescent="0.25">
      <c r="B123" s="9">
        <v>44658</v>
      </c>
      <c r="C123" s="10">
        <v>445.01</v>
      </c>
      <c r="D123" s="10">
        <v>201.64</v>
      </c>
      <c r="F123" s="1">
        <f t="shared" si="1"/>
        <v>5.0363611725914303E-3</v>
      </c>
      <c r="G123" s="1">
        <f t="shared" si="1"/>
        <v>-1.0898642623602406E-3</v>
      </c>
    </row>
    <row r="124" spans="2:7" ht="15" thickBot="1" x14ac:dyDescent="0.25">
      <c r="B124" s="9">
        <v>44657</v>
      </c>
      <c r="C124" s="10">
        <v>442.78</v>
      </c>
      <c r="D124" s="10">
        <v>201.86</v>
      </c>
      <c r="F124" s="1">
        <f t="shared" si="1"/>
        <v>-9.9944102850755279E-3</v>
      </c>
      <c r="G124" s="1">
        <f t="shared" si="1"/>
        <v>-3.3330140791111851E-2</v>
      </c>
    </row>
    <row r="125" spans="2:7" ht="15" thickBot="1" x14ac:dyDescent="0.25">
      <c r="B125" s="9">
        <v>44656</v>
      </c>
      <c r="C125" s="10">
        <v>447.25</v>
      </c>
      <c r="D125" s="10">
        <v>208.82</v>
      </c>
      <c r="F125" s="1">
        <f t="shared" si="1"/>
        <v>-1.2627767843345072E-2</v>
      </c>
      <c r="G125" s="1">
        <f t="shared" si="1"/>
        <v>-3.1941031941032039E-2</v>
      </c>
    </row>
    <row r="126" spans="2:7" ht="15" thickBot="1" x14ac:dyDescent="0.25">
      <c r="B126" s="9">
        <v>44655</v>
      </c>
      <c r="C126" s="10">
        <v>452.97</v>
      </c>
      <c r="D126" s="10">
        <v>215.71</v>
      </c>
      <c r="F126" s="1">
        <f t="shared" si="1"/>
        <v>8.5498630685993948E-3</v>
      </c>
      <c r="G126" s="1">
        <f t="shared" si="1"/>
        <v>-1.470789750148449E-2</v>
      </c>
    </row>
    <row r="127" spans="2:7" ht="15" thickBot="1" x14ac:dyDescent="0.25">
      <c r="B127" s="9">
        <v>44652</v>
      </c>
      <c r="C127" s="10">
        <v>449.13</v>
      </c>
      <c r="D127" s="10">
        <v>218.93</v>
      </c>
      <c r="F127" s="1">
        <f t="shared" si="1"/>
        <v>2.8357075871923154E-3</v>
      </c>
      <c r="G127" s="1">
        <f t="shared" si="1"/>
        <v>-4.3848539109927032E-2</v>
      </c>
    </row>
    <row r="128" spans="2:7" ht="15" thickBot="1" x14ac:dyDescent="0.25">
      <c r="B128" s="9">
        <v>44651</v>
      </c>
      <c r="C128" s="10">
        <v>447.86</v>
      </c>
      <c r="D128" s="10">
        <v>228.97</v>
      </c>
      <c r="F128" s="1">
        <f t="shared" si="1"/>
        <v>-1.5389350569405935E-2</v>
      </c>
      <c r="G128" s="1">
        <f t="shared" si="1"/>
        <v>-1.6409639589329394E-2</v>
      </c>
    </row>
    <row r="129" spans="2:7" ht="15" thickBot="1" x14ac:dyDescent="0.25">
      <c r="B129" s="9">
        <v>44650</v>
      </c>
      <c r="C129" s="10">
        <v>454.86</v>
      </c>
      <c r="D129" s="10">
        <v>232.79</v>
      </c>
      <c r="F129" s="1">
        <f t="shared" si="1"/>
        <v>-6.1615102254850562E-3</v>
      </c>
      <c r="G129" s="1">
        <f t="shared" si="1"/>
        <v>-1.389418392849584E-2</v>
      </c>
    </row>
    <row r="130" spans="2:7" ht="15" thickBot="1" x14ac:dyDescent="0.25">
      <c r="B130" s="9">
        <v>44649</v>
      </c>
      <c r="C130" s="10">
        <v>457.68</v>
      </c>
      <c r="D130" s="10">
        <v>236.07</v>
      </c>
      <c r="F130" s="1">
        <f t="shared" si="1"/>
        <v>1.2364794620540298E-2</v>
      </c>
      <c r="G130" s="1">
        <f t="shared" si="1"/>
        <v>3.7032156035846198E-2</v>
      </c>
    </row>
    <row r="131" spans="2:7" ht="15" thickBot="1" x14ac:dyDescent="0.25">
      <c r="B131" s="9">
        <v>44648</v>
      </c>
      <c r="C131" s="10">
        <v>452.09</v>
      </c>
      <c r="D131" s="10">
        <v>227.64</v>
      </c>
      <c r="F131" s="1">
        <f t="shared" si="1"/>
        <v>7.1062597460458399E-3</v>
      </c>
      <c r="G131" s="1">
        <f t="shared" si="1"/>
        <v>1.5388732771310032E-2</v>
      </c>
    </row>
    <row r="132" spans="2:7" ht="15" thickBot="1" x14ac:dyDescent="0.25">
      <c r="B132" s="9">
        <v>44645</v>
      </c>
      <c r="C132" s="10">
        <v>448.9</v>
      </c>
      <c r="D132" s="10">
        <v>224.19</v>
      </c>
      <c r="F132" s="1">
        <f t="shared" si="1"/>
        <v>4.8800143266474194E-3</v>
      </c>
      <c r="G132" s="1">
        <f t="shared" si="1"/>
        <v>6.4194648949542632E-3</v>
      </c>
    </row>
    <row r="133" spans="2:7" ht="15" thickBot="1" x14ac:dyDescent="0.25">
      <c r="B133" s="9">
        <v>44644</v>
      </c>
      <c r="C133" s="10">
        <v>446.72</v>
      </c>
      <c r="D133" s="10">
        <v>222.76</v>
      </c>
      <c r="F133" s="1">
        <f t="shared" si="1"/>
        <v>1.5088165788038621E-2</v>
      </c>
      <c r="G133" s="1">
        <f t="shared" si="1"/>
        <v>1.6472735569244668E-2</v>
      </c>
    </row>
    <row r="134" spans="2:7" ht="15" thickBot="1" x14ac:dyDescent="0.25">
      <c r="B134" s="9">
        <v>44643</v>
      </c>
      <c r="C134" s="10">
        <v>440.08</v>
      </c>
      <c r="D134" s="10">
        <v>219.15</v>
      </c>
      <c r="F134" s="1">
        <f t="shared" ref="F134:G197" si="2">+C134/C135-1</f>
        <v>-1.2875151406397167E-2</v>
      </c>
      <c r="G134" s="1">
        <f t="shared" si="2"/>
        <v>-2.252453166815338E-2</v>
      </c>
    </row>
    <row r="135" spans="2:7" ht="15" thickBot="1" x14ac:dyDescent="0.25">
      <c r="B135" s="9">
        <v>44642</v>
      </c>
      <c r="C135" s="10">
        <v>445.82</v>
      </c>
      <c r="D135" s="10">
        <v>224.2</v>
      </c>
      <c r="F135" s="1">
        <f t="shared" si="2"/>
        <v>1.1686749722014111E-2</v>
      </c>
      <c r="G135" s="1">
        <f t="shared" si="2"/>
        <v>1.9878997407087207E-2</v>
      </c>
    </row>
    <row r="136" spans="2:7" ht="15" thickBot="1" x14ac:dyDescent="0.25">
      <c r="B136" s="9">
        <v>44641</v>
      </c>
      <c r="C136" s="10">
        <v>440.67</v>
      </c>
      <c r="D136" s="10">
        <v>219.83</v>
      </c>
      <c r="F136" s="1">
        <f t="shared" si="2"/>
        <v>-2.9491833030848014E-4</v>
      </c>
      <c r="G136" s="1">
        <f t="shared" si="2"/>
        <v>1.4818576308743392E-2</v>
      </c>
    </row>
    <row r="137" spans="2:7" ht="15" thickBot="1" x14ac:dyDescent="0.25">
      <c r="B137" s="9">
        <v>44638</v>
      </c>
      <c r="C137" s="10">
        <v>440.8</v>
      </c>
      <c r="D137" s="10">
        <v>216.62</v>
      </c>
      <c r="F137" s="1">
        <f t="shared" si="2"/>
        <v>1.0962799871565565E-2</v>
      </c>
      <c r="G137" s="1">
        <f t="shared" si="2"/>
        <v>-3.9762400815638976E-2</v>
      </c>
    </row>
    <row r="138" spans="2:7" ht="15" thickBot="1" x14ac:dyDescent="0.25">
      <c r="B138" s="9">
        <v>44637</v>
      </c>
      <c r="C138" s="10">
        <v>436.02</v>
      </c>
      <c r="D138" s="10">
        <v>225.59</v>
      </c>
      <c r="F138" s="1">
        <f t="shared" si="2"/>
        <v>1.2516545526321865E-2</v>
      </c>
      <c r="G138" s="1">
        <f t="shared" si="2"/>
        <v>9.0803363750224797E-3</v>
      </c>
    </row>
    <row r="139" spans="2:7" ht="15" thickBot="1" x14ac:dyDescent="0.25">
      <c r="B139" s="9">
        <v>44636</v>
      </c>
      <c r="C139" s="10">
        <v>430.63</v>
      </c>
      <c r="D139" s="10">
        <v>223.56</v>
      </c>
      <c r="F139" s="1">
        <f t="shared" si="2"/>
        <v>2.2170001661563132E-2</v>
      </c>
      <c r="G139" s="1">
        <f t="shared" si="2"/>
        <v>4.4819367201009541E-2</v>
      </c>
    </row>
    <row r="140" spans="2:7" ht="15" thickBot="1" x14ac:dyDescent="0.25">
      <c r="B140" s="9">
        <v>44635</v>
      </c>
      <c r="C140" s="10">
        <v>421.29</v>
      </c>
      <c r="D140" s="10">
        <v>213.97</v>
      </c>
      <c r="F140" s="1">
        <f t="shared" si="2"/>
        <v>2.19780219780219E-2</v>
      </c>
      <c r="G140" s="1">
        <f t="shared" si="2"/>
        <v>2.417193183993871E-2</v>
      </c>
    </row>
    <row r="141" spans="2:7" ht="15" thickBot="1" x14ac:dyDescent="0.25">
      <c r="B141" s="9">
        <v>44634</v>
      </c>
      <c r="C141" s="10">
        <v>412.23</v>
      </c>
      <c r="D141" s="10">
        <v>208.92</v>
      </c>
      <c r="F141" s="1">
        <f t="shared" si="2"/>
        <v>-7.2966334344747308E-3</v>
      </c>
      <c r="G141" s="1">
        <f t="shared" si="2"/>
        <v>-9.6231334439440541E-3</v>
      </c>
    </row>
    <row r="142" spans="2:7" ht="15" thickBot="1" x14ac:dyDescent="0.25">
      <c r="B142" s="9">
        <v>44631</v>
      </c>
      <c r="C142" s="10">
        <v>415.26</v>
      </c>
      <c r="D142" s="10">
        <v>210.95</v>
      </c>
      <c r="F142" s="1">
        <f t="shared" si="2"/>
        <v>-1.271962150210415E-2</v>
      </c>
      <c r="G142" s="1">
        <f t="shared" si="2"/>
        <v>-2.7790579776937996E-2</v>
      </c>
    </row>
    <row r="143" spans="2:7" ht="15" thickBot="1" x14ac:dyDescent="0.25">
      <c r="B143" s="9">
        <v>44630</v>
      </c>
      <c r="C143" s="10">
        <v>420.61</v>
      </c>
      <c r="D143" s="10">
        <v>216.98</v>
      </c>
      <c r="F143" s="1">
        <f t="shared" si="2"/>
        <v>-4.5204960711918707E-3</v>
      </c>
      <c r="G143" s="1">
        <f t="shared" si="2"/>
        <v>1.1797621823268933E-2</v>
      </c>
    </row>
    <row r="144" spans="2:7" ht="15" thickBot="1" x14ac:dyDescent="0.25">
      <c r="B144" s="9">
        <v>44629</v>
      </c>
      <c r="C144" s="10">
        <v>422.52</v>
      </c>
      <c r="D144" s="10">
        <v>214.45</v>
      </c>
      <c r="F144" s="1">
        <f t="shared" si="2"/>
        <v>2.6805025638533042E-2</v>
      </c>
      <c r="G144" s="1">
        <f t="shared" si="2"/>
        <v>6.2422591032945229E-2</v>
      </c>
    </row>
    <row r="145" spans="2:7" ht="15" thickBot="1" x14ac:dyDescent="0.25">
      <c r="B145" s="9">
        <v>44628</v>
      </c>
      <c r="C145" s="10">
        <v>411.49</v>
      </c>
      <c r="D145" s="10">
        <v>201.85</v>
      </c>
      <c r="F145" s="1">
        <f t="shared" si="2"/>
        <v>-7.5730169066395847E-3</v>
      </c>
      <c r="G145" s="1">
        <f t="shared" si="2"/>
        <v>1.4423560156799686E-2</v>
      </c>
    </row>
    <row r="146" spans="2:7" ht="15" thickBot="1" x14ac:dyDescent="0.25">
      <c r="B146" s="9">
        <v>44627</v>
      </c>
      <c r="C146" s="10">
        <v>414.63</v>
      </c>
      <c r="D146" s="10">
        <v>198.98</v>
      </c>
      <c r="F146" s="1">
        <f t="shared" si="2"/>
        <v>-2.9469594120125508E-2</v>
      </c>
      <c r="G146" s="1">
        <f t="shared" si="2"/>
        <v>-6.2697253756653692E-2</v>
      </c>
    </row>
    <row r="147" spans="2:7" ht="15" thickBot="1" x14ac:dyDescent="0.25">
      <c r="B147" s="9">
        <v>44624</v>
      </c>
      <c r="C147" s="10">
        <v>427.22</v>
      </c>
      <c r="D147" s="10">
        <v>212.29</v>
      </c>
      <c r="F147" s="1">
        <f t="shared" si="2"/>
        <v>-8.1259286775631212E-3</v>
      </c>
      <c r="G147" s="1">
        <f t="shared" si="2"/>
        <v>-2.7308132875143221E-2</v>
      </c>
    </row>
    <row r="148" spans="2:7" ht="15" thickBot="1" x14ac:dyDescent="0.25">
      <c r="B148" s="9">
        <v>44623</v>
      </c>
      <c r="C148" s="10">
        <v>430.72</v>
      </c>
      <c r="D148" s="10">
        <v>218.25</v>
      </c>
      <c r="F148" s="1">
        <f t="shared" si="2"/>
        <v>-4.989835520236463E-3</v>
      </c>
      <c r="G148" s="1">
        <f t="shared" si="2"/>
        <v>9.3885856997502071E-3</v>
      </c>
    </row>
    <row r="149" spans="2:7" ht="15" thickBot="1" x14ac:dyDescent="0.25">
      <c r="B149" s="9">
        <v>44622</v>
      </c>
      <c r="C149" s="10">
        <v>432.88</v>
      </c>
      <c r="D149" s="10">
        <v>216.22</v>
      </c>
      <c r="F149" s="1">
        <f t="shared" si="2"/>
        <v>1.8397402719616096E-2</v>
      </c>
      <c r="G149" s="1">
        <f t="shared" si="2"/>
        <v>2.0194394639992508E-2</v>
      </c>
    </row>
    <row r="150" spans="2:7" ht="15" thickBot="1" x14ac:dyDescent="0.25">
      <c r="B150" s="9">
        <v>44621</v>
      </c>
      <c r="C150" s="10">
        <v>425.06</v>
      </c>
      <c r="D150" s="10">
        <v>211.94</v>
      </c>
      <c r="F150" s="1">
        <f t="shared" si="2"/>
        <v>-1.5221370154993807E-2</v>
      </c>
      <c r="G150" s="1">
        <f t="shared" si="2"/>
        <v>-3.3120437956204341E-2</v>
      </c>
    </row>
    <row r="151" spans="2:7" ht="15" thickBot="1" x14ac:dyDescent="0.25">
      <c r="B151" s="9">
        <v>44620</v>
      </c>
      <c r="C151" s="10">
        <v>431.63</v>
      </c>
      <c r="D151" s="10">
        <v>219.2</v>
      </c>
      <c r="F151" s="1">
        <f t="shared" si="2"/>
        <v>-2.5650506077552482E-3</v>
      </c>
      <c r="G151" s="1">
        <f t="shared" si="2"/>
        <v>7.0289888363117559E-3</v>
      </c>
    </row>
    <row r="152" spans="2:7" ht="15" thickBot="1" x14ac:dyDescent="0.25">
      <c r="B152" s="9">
        <v>44617</v>
      </c>
      <c r="C152" s="10">
        <v>432.74</v>
      </c>
      <c r="D152" s="10">
        <v>217.67</v>
      </c>
      <c r="F152" s="1">
        <f t="shared" si="2"/>
        <v>2.2059518186112514E-2</v>
      </c>
      <c r="G152" s="1">
        <f t="shared" si="2"/>
        <v>2.2212829905137621E-2</v>
      </c>
    </row>
    <row r="153" spans="2:7" ht="15" thickBot="1" x14ac:dyDescent="0.25">
      <c r="B153" s="9">
        <v>44616</v>
      </c>
      <c r="C153" s="10">
        <v>423.4</v>
      </c>
      <c r="D153" s="10">
        <v>212.94</v>
      </c>
      <c r="F153" s="1">
        <f t="shared" si="2"/>
        <v>1.5055619485999205E-2</v>
      </c>
      <c r="G153" s="1">
        <f t="shared" si="2"/>
        <v>5.0502666729597134E-3</v>
      </c>
    </row>
    <row r="154" spans="2:7" ht="15" thickBot="1" x14ac:dyDescent="0.25">
      <c r="B154" s="9">
        <v>44615</v>
      </c>
      <c r="C154" s="10">
        <v>417.12</v>
      </c>
      <c r="D154" s="10">
        <v>211.87</v>
      </c>
      <c r="F154" s="1">
        <f t="shared" si="2"/>
        <v>-1.7732250088307921E-2</v>
      </c>
      <c r="G154" s="1">
        <f t="shared" si="2"/>
        <v>-1.3548747555638285E-2</v>
      </c>
    </row>
    <row r="155" spans="2:7" ht="15" thickBot="1" x14ac:dyDescent="0.25">
      <c r="B155" s="9">
        <v>44614</v>
      </c>
      <c r="C155" s="10">
        <v>424.65</v>
      </c>
      <c r="D155" s="10">
        <v>214.78</v>
      </c>
      <c r="F155" s="1">
        <f t="shared" si="2"/>
        <v>-1.073941201136841E-2</v>
      </c>
      <c r="G155" s="1">
        <f t="shared" si="2"/>
        <v>-1.9985398795400622E-2</v>
      </c>
    </row>
    <row r="156" spans="2:7" ht="15" thickBot="1" x14ac:dyDescent="0.25">
      <c r="B156" s="9">
        <v>44610</v>
      </c>
      <c r="C156" s="10">
        <v>429.26</v>
      </c>
      <c r="D156" s="10">
        <v>219.16</v>
      </c>
      <c r="F156" s="1">
        <f t="shared" si="2"/>
        <v>-6.4805814007313778E-3</v>
      </c>
      <c r="G156" s="1">
        <f t="shared" si="2"/>
        <v>-9.5358611650925296E-3</v>
      </c>
    </row>
    <row r="157" spans="2:7" ht="15" thickBot="1" x14ac:dyDescent="0.25">
      <c r="B157" s="9">
        <v>44609</v>
      </c>
      <c r="C157" s="10">
        <v>432.06</v>
      </c>
      <c r="D157" s="10">
        <v>221.27</v>
      </c>
      <c r="F157" s="1">
        <f t="shared" si="2"/>
        <v>-2.1359487191102922E-2</v>
      </c>
      <c r="G157" s="1">
        <f t="shared" si="2"/>
        <v>-2.023556500177115E-2</v>
      </c>
    </row>
    <row r="158" spans="2:7" ht="15" thickBot="1" x14ac:dyDescent="0.25">
      <c r="B158" s="9">
        <v>44608</v>
      </c>
      <c r="C158" s="10">
        <v>441.49</v>
      </c>
      <c r="D158" s="10">
        <v>225.84</v>
      </c>
      <c r="F158" s="1">
        <f t="shared" si="2"/>
        <v>1.1338125581079606E-3</v>
      </c>
      <c r="G158" s="1">
        <f t="shared" si="2"/>
        <v>-6.0734090308951494E-3</v>
      </c>
    </row>
    <row r="159" spans="2:7" ht="15" thickBot="1" x14ac:dyDescent="0.25">
      <c r="B159" s="9">
        <v>44607</v>
      </c>
      <c r="C159" s="10">
        <v>440.99</v>
      </c>
      <c r="D159" s="10">
        <v>227.22</v>
      </c>
      <c r="F159" s="1">
        <f t="shared" si="2"/>
        <v>1.610599078341024E-2</v>
      </c>
      <c r="G159" s="1">
        <f t="shared" si="2"/>
        <v>8.5219707057255789E-3</v>
      </c>
    </row>
    <row r="160" spans="2:7" ht="15" thickBot="1" x14ac:dyDescent="0.25">
      <c r="B160" s="9">
        <v>44606</v>
      </c>
      <c r="C160" s="10">
        <v>434</v>
      </c>
      <c r="D160" s="10">
        <v>225.3</v>
      </c>
      <c r="F160" s="1">
        <f t="shared" si="2"/>
        <v>-3.2612190528685803E-3</v>
      </c>
      <c r="G160" s="1">
        <f t="shared" si="2"/>
        <v>-1.615720524017461E-2</v>
      </c>
    </row>
    <row r="161" spans="2:7" ht="15" thickBot="1" x14ac:dyDescent="0.25">
      <c r="B161" s="9">
        <v>44603</v>
      </c>
      <c r="C161" s="10">
        <v>435.42</v>
      </c>
      <c r="D161" s="10">
        <v>229</v>
      </c>
      <c r="F161" s="1">
        <f t="shared" si="2"/>
        <v>-1.9721734431986992E-2</v>
      </c>
      <c r="G161" s="1">
        <f t="shared" si="2"/>
        <v>-3.4122063351469945E-2</v>
      </c>
    </row>
    <row r="162" spans="2:7" ht="15" thickBot="1" x14ac:dyDescent="0.25">
      <c r="B162" s="9">
        <v>44602</v>
      </c>
      <c r="C162" s="10">
        <v>444.18</v>
      </c>
      <c r="D162" s="10">
        <v>237.09</v>
      </c>
      <c r="F162" s="1">
        <f t="shared" si="2"/>
        <v>-1.7952686270174656E-2</v>
      </c>
      <c r="G162" s="1">
        <f t="shared" si="2"/>
        <v>-1.5652246118076918E-2</v>
      </c>
    </row>
    <row r="163" spans="2:7" ht="15" thickBot="1" x14ac:dyDescent="0.25">
      <c r="B163" s="9">
        <v>44601</v>
      </c>
      <c r="C163" s="10">
        <v>452.3</v>
      </c>
      <c r="D163" s="10">
        <v>240.86</v>
      </c>
      <c r="F163" s="1">
        <f t="shared" si="2"/>
        <v>1.4626048723585638E-2</v>
      </c>
      <c r="G163" s="1">
        <f t="shared" si="2"/>
        <v>1.5385255104163331E-3</v>
      </c>
    </row>
    <row r="164" spans="2:7" ht="15" thickBot="1" x14ac:dyDescent="0.25">
      <c r="B164" s="9">
        <v>44600</v>
      </c>
      <c r="C164" s="10">
        <v>445.78</v>
      </c>
      <c r="D164" s="10">
        <v>240.49</v>
      </c>
      <c r="F164" s="1">
        <f t="shared" si="2"/>
        <v>8.2326864793955679E-3</v>
      </c>
      <c r="G164" s="1">
        <f t="shared" si="2"/>
        <v>5.4085538359127661E-4</v>
      </c>
    </row>
    <row r="165" spans="2:7" ht="15" thickBot="1" x14ac:dyDescent="0.25">
      <c r="B165" s="9">
        <v>44599</v>
      </c>
      <c r="C165" s="10">
        <v>442.14</v>
      </c>
      <c r="D165" s="10">
        <v>240.36</v>
      </c>
      <c r="F165" s="1">
        <f t="shared" si="2"/>
        <v>-3.2013707277482872E-3</v>
      </c>
      <c r="G165" s="1">
        <f t="shared" si="2"/>
        <v>-1.5784663952812528E-3</v>
      </c>
    </row>
    <row r="166" spans="2:7" ht="15" thickBot="1" x14ac:dyDescent="0.25">
      <c r="B166" s="9">
        <v>44596</v>
      </c>
      <c r="C166" s="10">
        <v>443.56</v>
      </c>
      <c r="D166" s="10">
        <v>240.74</v>
      </c>
      <c r="F166" s="1">
        <f t="shared" si="2"/>
        <v>4.688667919998224E-3</v>
      </c>
      <c r="G166" s="1">
        <f t="shared" si="2"/>
        <v>-1.2956129561295548E-2</v>
      </c>
    </row>
    <row r="167" spans="2:7" ht="15" thickBot="1" x14ac:dyDescent="0.25">
      <c r="B167" s="9">
        <v>44595</v>
      </c>
      <c r="C167" s="10">
        <v>441.49</v>
      </c>
      <c r="D167" s="10">
        <v>243.9</v>
      </c>
      <c r="F167" s="1">
        <f t="shared" si="2"/>
        <v>-2.3511457135273806E-2</v>
      </c>
      <c r="G167" s="1">
        <f t="shared" si="2"/>
        <v>-1.7878714665378048E-2</v>
      </c>
    </row>
    <row r="168" spans="2:7" ht="15" thickBot="1" x14ac:dyDescent="0.25">
      <c r="B168" s="9">
        <v>44594</v>
      </c>
      <c r="C168" s="10">
        <v>452.12</v>
      </c>
      <c r="D168" s="10">
        <v>248.34</v>
      </c>
      <c r="F168" s="1">
        <f t="shared" si="2"/>
        <v>9.714808942090869E-3</v>
      </c>
      <c r="G168" s="1">
        <f t="shared" si="2"/>
        <v>-7.2428778367938929E-4</v>
      </c>
    </row>
    <row r="169" spans="2:7" ht="15" thickBot="1" x14ac:dyDescent="0.25">
      <c r="B169" s="9">
        <v>44593</v>
      </c>
      <c r="C169" s="10">
        <v>447.77</v>
      </c>
      <c r="D169" s="10">
        <v>248.52</v>
      </c>
      <c r="F169" s="1">
        <f t="shared" si="2"/>
        <v>6.7676949365949035E-3</v>
      </c>
      <c r="G169" s="1">
        <f t="shared" si="2"/>
        <v>2.4993813412521604E-2</v>
      </c>
    </row>
    <row r="170" spans="2:7" ht="15" thickBot="1" x14ac:dyDescent="0.25">
      <c r="B170" s="9">
        <v>44592</v>
      </c>
      <c r="C170" s="10">
        <v>444.76</v>
      </c>
      <c r="D170" s="10">
        <v>242.46</v>
      </c>
      <c r="F170" s="1">
        <f t="shared" si="2"/>
        <v>1.8013687655931809E-2</v>
      </c>
      <c r="G170" s="1">
        <f t="shared" si="2"/>
        <v>4.3910521955261572E-3</v>
      </c>
    </row>
    <row r="171" spans="2:7" ht="15" thickBot="1" x14ac:dyDescent="0.25">
      <c r="B171" s="9">
        <v>44589</v>
      </c>
      <c r="C171" s="10">
        <v>436.89</v>
      </c>
      <c r="D171" s="10">
        <v>241.4</v>
      </c>
      <c r="F171" s="1">
        <f t="shared" si="2"/>
        <v>2.4841660802251919E-2</v>
      </c>
      <c r="G171" s="1">
        <f t="shared" si="2"/>
        <v>1.1777526300347896E-2</v>
      </c>
    </row>
    <row r="172" spans="2:7" ht="15" thickBot="1" x14ac:dyDescent="0.25">
      <c r="B172" s="9">
        <v>44588</v>
      </c>
      <c r="C172" s="10">
        <v>426.3</v>
      </c>
      <c r="D172" s="10">
        <v>238.59</v>
      </c>
      <c r="F172" s="1">
        <f t="shared" si="2"/>
        <v>-4.9484151066709892E-3</v>
      </c>
      <c r="G172" s="1">
        <f t="shared" si="2"/>
        <v>-5.0458715596330972E-3</v>
      </c>
    </row>
    <row r="173" spans="2:7" ht="15" thickBot="1" x14ac:dyDescent="0.25">
      <c r="B173" s="9">
        <v>44587</v>
      </c>
      <c r="C173" s="10">
        <v>428.42</v>
      </c>
      <c r="D173" s="10">
        <v>239.8</v>
      </c>
      <c r="F173" s="1">
        <f t="shared" si="2"/>
        <v>-2.5145518044237258E-3</v>
      </c>
      <c r="G173" s="1">
        <f t="shared" si="2"/>
        <v>-3.6149083807702764E-3</v>
      </c>
    </row>
    <row r="174" spans="2:7" ht="15" thickBot="1" x14ac:dyDescent="0.25">
      <c r="B174" s="9">
        <v>44586</v>
      </c>
      <c r="C174" s="10">
        <v>429.5</v>
      </c>
      <c r="D174" s="10">
        <v>240.67</v>
      </c>
      <c r="F174" s="1">
        <f t="shared" si="2"/>
        <v>-1.22122306294703E-2</v>
      </c>
      <c r="G174" s="1">
        <f t="shared" si="2"/>
        <v>-6.809177946517031E-3</v>
      </c>
    </row>
    <row r="175" spans="2:7" ht="15" thickBot="1" x14ac:dyDescent="0.25">
      <c r="B175" s="9">
        <v>44585</v>
      </c>
      <c r="C175" s="10">
        <v>434.81</v>
      </c>
      <c r="D175" s="10">
        <v>242.32</v>
      </c>
      <c r="F175" s="1">
        <f t="shared" si="2"/>
        <v>4.2497170704667298E-3</v>
      </c>
      <c r="G175" s="1">
        <f t="shared" si="2"/>
        <v>3.3123550844649241E-3</v>
      </c>
    </row>
    <row r="176" spans="2:7" ht="15" thickBot="1" x14ac:dyDescent="0.25">
      <c r="B176" s="9">
        <v>44582</v>
      </c>
      <c r="C176" s="10">
        <v>432.97</v>
      </c>
      <c r="D176" s="10">
        <v>241.52</v>
      </c>
      <c r="F176" s="1">
        <f t="shared" si="2"/>
        <v>-1.9631373969749011E-2</v>
      </c>
      <c r="G176" s="1">
        <f t="shared" si="2"/>
        <v>-2.3253932947789879E-2</v>
      </c>
    </row>
    <row r="177" spans="2:7" ht="15" thickBot="1" x14ac:dyDescent="0.25">
      <c r="B177" s="9">
        <v>44581</v>
      </c>
      <c r="C177" s="10">
        <v>441.64</v>
      </c>
      <c r="D177" s="10">
        <v>247.27</v>
      </c>
      <c r="F177" s="1">
        <f t="shared" si="2"/>
        <v>-1.1061847821218995E-2</v>
      </c>
      <c r="G177" s="1">
        <f t="shared" si="2"/>
        <v>-5.7498994772817724E-3</v>
      </c>
    </row>
    <row r="178" spans="2:7" ht="15" thickBot="1" x14ac:dyDescent="0.25">
      <c r="B178" s="9">
        <v>44580</v>
      </c>
      <c r="C178" s="10">
        <v>446.58</v>
      </c>
      <c r="D178" s="10">
        <v>248.7</v>
      </c>
      <c r="F178" s="1">
        <f t="shared" si="2"/>
        <v>-1.039289117379838E-2</v>
      </c>
      <c r="G178" s="1">
        <f t="shared" si="2"/>
        <v>-4.5230756914702575E-3</v>
      </c>
    </row>
    <row r="179" spans="2:7" ht="15" thickBot="1" x14ac:dyDescent="0.25">
      <c r="B179" s="9">
        <v>44579</v>
      </c>
      <c r="C179" s="10">
        <v>451.27</v>
      </c>
      <c r="D179" s="10">
        <v>249.83</v>
      </c>
      <c r="F179" s="1">
        <f t="shared" si="2"/>
        <v>-1.7696996081845828E-2</v>
      </c>
      <c r="G179" s="1">
        <f t="shared" si="2"/>
        <v>-1.1279088174766527E-2</v>
      </c>
    </row>
    <row r="180" spans="2:7" ht="15" thickBot="1" x14ac:dyDescent="0.25">
      <c r="B180" s="9">
        <v>44575</v>
      </c>
      <c r="C180" s="10">
        <v>459.4</v>
      </c>
      <c r="D180" s="10">
        <v>252.68</v>
      </c>
      <c r="F180" s="1">
        <f t="shared" si="2"/>
        <v>4.1375405587862346E-4</v>
      </c>
      <c r="G180" s="1">
        <f t="shared" si="2"/>
        <v>-5.6274841604030401E-3</v>
      </c>
    </row>
    <row r="181" spans="2:7" ht="15" thickBot="1" x14ac:dyDescent="0.25">
      <c r="B181" s="9">
        <v>44574</v>
      </c>
      <c r="C181" s="10">
        <v>459.21</v>
      </c>
      <c r="D181" s="10">
        <v>254.11</v>
      </c>
      <c r="F181" s="1">
        <f t="shared" si="2"/>
        <v>-1.3787771406481575E-2</v>
      </c>
      <c r="G181" s="1">
        <f t="shared" si="2"/>
        <v>5.699133256817257E-3</v>
      </c>
    </row>
    <row r="182" spans="2:7" ht="15" thickBot="1" x14ac:dyDescent="0.25">
      <c r="B182" s="9">
        <v>44573</v>
      </c>
      <c r="C182" s="10">
        <v>465.63</v>
      </c>
      <c r="D182" s="10">
        <v>252.67</v>
      </c>
      <c r="F182" s="1">
        <f t="shared" si="2"/>
        <v>2.7133535758123717E-3</v>
      </c>
      <c r="G182" s="1">
        <f t="shared" si="2"/>
        <v>2.6189436927106513E-3</v>
      </c>
    </row>
    <row r="183" spans="2:7" ht="15" thickBot="1" x14ac:dyDescent="0.25">
      <c r="B183" s="9">
        <v>44572</v>
      </c>
      <c r="C183" s="10">
        <v>464.37</v>
      </c>
      <c r="D183" s="10">
        <v>252.01</v>
      </c>
      <c r="F183" s="1">
        <f t="shared" si="2"/>
        <v>9.10513277413183E-3</v>
      </c>
      <c r="G183" s="1">
        <f t="shared" si="2"/>
        <v>-3.9130434782609358E-3</v>
      </c>
    </row>
    <row r="184" spans="2:7" ht="15" thickBot="1" x14ac:dyDescent="0.25">
      <c r="B184" s="9">
        <v>44571</v>
      </c>
      <c r="C184" s="10">
        <v>460.18</v>
      </c>
      <c r="D184" s="10">
        <v>253</v>
      </c>
      <c r="F184" s="1">
        <f t="shared" si="2"/>
        <v>-1.2587898255056462E-3</v>
      </c>
      <c r="G184" s="1">
        <f t="shared" si="2"/>
        <v>-2.8193900284243623E-2</v>
      </c>
    </row>
    <row r="185" spans="2:7" ht="15" thickBot="1" x14ac:dyDescent="0.25">
      <c r="B185" s="9">
        <v>44568</v>
      </c>
      <c r="C185" s="10">
        <v>460.76</v>
      </c>
      <c r="D185" s="10">
        <v>260.33999999999997</v>
      </c>
      <c r="F185" s="1">
        <f t="shared" si="2"/>
        <v>-3.9344545808291942E-3</v>
      </c>
      <c r="G185" s="1">
        <f t="shared" si="2"/>
        <v>3.0437295318819224E-3</v>
      </c>
    </row>
    <row r="186" spans="2:7" ht="15" thickBot="1" x14ac:dyDescent="0.25">
      <c r="B186" s="9">
        <v>44567</v>
      </c>
      <c r="C186" s="10">
        <v>462.58</v>
      </c>
      <c r="D186" s="10">
        <v>259.55</v>
      </c>
      <c r="F186" s="1">
        <f t="shared" si="2"/>
        <v>-9.5028292514365287E-4</v>
      </c>
      <c r="G186" s="1">
        <f t="shared" si="2"/>
        <v>4.0230552009594689E-3</v>
      </c>
    </row>
    <row r="187" spans="2:7" ht="15" thickBot="1" x14ac:dyDescent="0.25">
      <c r="B187" s="9">
        <v>44566</v>
      </c>
      <c r="C187" s="10">
        <v>463.02</v>
      </c>
      <c r="D187" s="10">
        <v>258.51</v>
      </c>
      <c r="F187" s="1">
        <f t="shared" si="2"/>
        <v>-1.9191662430096623E-2</v>
      </c>
      <c r="G187" s="1">
        <f t="shared" si="2"/>
        <v>-1.0488038277511991E-2</v>
      </c>
    </row>
    <row r="188" spans="2:7" ht="15" thickBot="1" x14ac:dyDescent="0.25">
      <c r="B188" s="9">
        <v>44565</v>
      </c>
      <c r="C188" s="10">
        <v>472.08</v>
      </c>
      <c r="D188" s="10">
        <v>261.25</v>
      </c>
      <c r="F188" s="1">
        <f t="shared" si="2"/>
        <v>-3.3881077418262961E-4</v>
      </c>
      <c r="G188" s="1">
        <f t="shared" si="2"/>
        <v>2.4590163934426368E-2</v>
      </c>
    </row>
    <row r="189" spans="2:7" ht="15" thickBot="1" x14ac:dyDescent="0.25">
      <c r="B189" s="9">
        <v>44564</v>
      </c>
      <c r="C189" s="10">
        <v>472.24</v>
      </c>
      <c r="D189" s="10">
        <v>254.98</v>
      </c>
      <c r="F189" s="1">
        <f t="shared" si="2"/>
        <v>5.7931504515249532E-3</v>
      </c>
      <c r="G189" s="1">
        <f t="shared" si="2"/>
        <v>-3.528443172462481E-4</v>
      </c>
    </row>
    <row r="190" spans="2:7" ht="15" thickBot="1" x14ac:dyDescent="0.25">
      <c r="B190" s="9">
        <v>44561</v>
      </c>
      <c r="C190" s="10">
        <v>469.52</v>
      </c>
      <c r="D190" s="10">
        <v>255.07</v>
      </c>
      <c r="F190" s="1">
        <f t="shared" si="2"/>
        <v>-2.5280958551974209E-3</v>
      </c>
      <c r="G190" s="1">
        <f t="shared" si="2"/>
        <v>3.1373779363885745E-4</v>
      </c>
    </row>
    <row r="191" spans="2:7" ht="15" thickBot="1" x14ac:dyDescent="0.25">
      <c r="B191" s="9">
        <v>44560</v>
      </c>
      <c r="C191" s="10">
        <v>470.71</v>
      </c>
      <c r="D191" s="10">
        <v>254.99</v>
      </c>
      <c r="F191" s="1">
        <f t="shared" si="2"/>
        <v>-2.7541789368870084E-3</v>
      </c>
      <c r="G191" s="1">
        <f t="shared" si="2"/>
        <v>4.1743787658015119E-3</v>
      </c>
    </row>
    <row r="192" spans="2:7" ht="15" thickBot="1" x14ac:dyDescent="0.25">
      <c r="B192" s="9">
        <v>44559</v>
      </c>
      <c r="C192" s="10">
        <v>472.01</v>
      </c>
      <c r="D192" s="10">
        <v>253.93</v>
      </c>
      <c r="F192" s="1">
        <f t="shared" si="2"/>
        <v>1.272777412443471E-3</v>
      </c>
      <c r="G192" s="1">
        <f t="shared" si="2"/>
        <v>4.0727560300513055E-3</v>
      </c>
    </row>
    <row r="193" spans="2:7" ht="15" thickBot="1" x14ac:dyDescent="0.25">
      <c r="B193" s="9">
        <v>44558</v>
      </c>
      <c r="C193" s="10">
        <v>471.41</v>
      </c>
      <c r="D193" s="10">
        <v>252.9</v>
      </c>
      <c r="F193" s="1">
        <f t="shared" si="2"/>
        <v>-8.2662144976686225E-4</v>
      </c>
      <c r="G193" s="1">
        <f t="shared" si="2"/>
        <v>7.5184994657906401E-4</v>
      </c>
    </row>
    <row r="194" spans="2:7" ht="15" thickBot="1" x14ac:dyDescent="0.25">
      <c r="B194" s="9">
        <v>44557</v>
      </c>
      <c r="C194" s="10">
        <v>471.8</v>
      </c>
      <c r="D194" s="10">
        <v>252.71</v>
      </c>
      <c r="F194" s="1">
        <f t="shared" si="2"/>
        <v>1.4165645622407075E-2</v>
      </c>
      <c r="G194" s="1">
        <f t="shared" si="2"/>
        <v>9.588110742679179E-3</v>
      </c>
    </row>
    <row r="195" spans="2:7" ht="15" thickBot="1" x14ac:dyDescent="0.25">
      <c r="B195" s="9">
        <v>44553</v>
      </c>
      <c r="C195" s="10">
        <v>465.21</v>
      </c>
      <c r="D195" s="10">
        <v>250.31</v>
      </c>
      <c r="F195" s="1">
        <f t="shared" si="2"/>
        <v>6.2075528831595506E-3</v>
      </c>
      <c r="G195" s="1">
        <f t="shared" si="2"/>
        <v>1.5415196138087728E-2</v>
      </c>
    </row>
    <row r="196" spans="2:7" ht="15" thickBot="1" x14ac:dyDescent="0.25">
      <c r="B196" s="9">
        <v>44552</v>
      </c>
      <c r="C196" s="10">
        <v>462.34</v>
      </c>
      <c r="D196" s="10">
        <v>246.51</v>
      </c>
      <c r="F196" s="1">
        <f t="shared" si="2"/>
        <v>1.000524292205518E-2</v>
      </c>
      <c r="G196" s="1">
        <f t="shared" si="2"/>
        <v>-7.8882762506540249E-3</v>
      </c>
    </row>
    <row r="197" spans="2:7" ht="15" thickBot="1" x14ac:dyDescent="0.25">
      <c r="B197" s="9">
        <v>44551</v>
      </c>
      <c r="C197" s="10">
        <v>457.76</v>
      </c>
      <c r="D197" s="10">
        <v>248.47</v>
      </c>
      <c r="F197" s="1">
        <f t="shared" si="2"/>
        <v>1.7764635258020745E-2</v>
      </c>
      <c r="G197" s="1">
        <f t="shared" si="2"/>
        <v>2.6057152296002695E-2</v>
      </c>
    </row>
    <row r="198" spans="2:7" ht="15" thickBot="1" x14ac:dyDescent="0.25">
      <c r="B198" s="9">
        <v>44550</v>
      </c>
      <c r="C198" s="10">
        <v>449.77</v>
      </c>
      <c r="D198" s="10">
        <v>242.16</v>
      </c>
      <c r="F198" s="1">
        <f t="shared" ref="F198:G256" si="3">+C198/C199-1</f>
        <v>-1.0646488198675863E-2</v>
      </c>
      <c r="G198" s="1">
        <f t="shared" si="3"/>
        <v>-1.903913149153369E-2</v>
      </c>
    </row>
    <row r="199" spans="2:7" ht="15" thickBot="1" x14ac:dyDescent="0.25">
      <c r="B199" s="9">
        <v>44547</v>
      </c>
      <c r="C199" s="10">
        <v>454.61</v>
      </c>
      <c r="D199" s="10">
        <v>246.86</v>
      </c>
      <c r="F199" s="1">
        <f t="shared" si="3"/>
        <v>-1.0642002176278531E-2</v>
      </c>
      <c r="G199" s="1">
        <f t="shared" si="3"/>
        <v>4.9485587960207633E-2</v>
      </c>
    </row>
    <row r="200" spans="2:7" ht="15" thickBot="1" x14ac:dyDescent="0.25">
      <c r="B200" s="9">
        <v>44546</v>
      </c>
      <c r="C200" s="10">
        <v>459.5</v>
      </c>
      <c r="D200" s="10">
        <v>235.22</v>
      </c>
      <c r="F200" s="1">
        <f t="shared" si="3"/>
        <v>-8.8010699339919896E-3</v>
      </c>
      <c r="G200" s="1">
        <f t="shared" si="3"/>
        <v>-9.3914508317539669E-3</v>
      </c>
    </row>
    <row r="201" spans="2:7" ht="15" thickBot="1" x14ac:dyDescent="0.25">
      <c r="B201" s="9">
        <v>44545</v>
      </c>
      <c r="C201" s="10">
        <v>463.58</v>
      </c>
      <c r="D201" s="10">
        <v>237.45</v>
      </c>
      <c r="F201" s="1">
        <f t="shared" si="3"/>
        <v>1.5620549895936087E-2</v>
      </c>
      <c r="G201" s="1">
        <f t="shared" si="3"/>
        <v>3.0838120986820261E-3</v>
      </c>
    </row>
    <row r="202" spans="2:7" ht="15" thickBot="1" x14ac:dyDescent="0.25">
      <c r="B202" s="9">
        <v>44544</v>
      </c>
      <c r="C202" s="10">
        <v>456.45</v>
      </c>
      <c r="D202" s="10">
        <v>236.72</v>
      </c>
      <c r="F202" s="1">
        <f t="shared" si="3"/>
        <v>-6.8970018711109748E-3</v>
      </c>
      <c r="G202" s="1">
        <f t="shared" si="3"/>
        <v>-3.5778928315864933E-3</v>
      </c>
    </row>
    <row r="203" spans="2:7" ht="15" thickBot="1" x14ac:dyDescent="0.25">
      <c r="B203" s="9">
        <v>44543</v>
      </c>
      <c r="C203" s="10">
        <v>459.62</v>
      </c>
      <c r="D203" s="10">
        <v>237.57</v>
      </c>
      <c r="F203" s="1">
        <f t="shared" si="3"/>
        <v>-8.8415423100146606E-3</v>
      </c>
      <c r="G203" s="1">
        <f t="shared" si="3"/>
        <v>-2.1862648221343872E-2</v>
      </c>
    </row>
    <row r="204" spans="2:7" ht="15" thickBot="1" x14ac:dyDescent="0.25">
      <c r="B204" s="9">
        <v>44540</v>
      </c>
      <c r="C204" s="10">
        <v>463.72</v>
      </c>
      <c r="D204" s="10">
        <v>242.88</v>
      </c>
      <c r="F204" s="1">
        <f t="shared" si="3"/>
        <v>9.403569873748463E-3</v>
      </c>
      <c r="G204" s="1">
        <f t="shared" si="3"/>
        <v>7.2992700729925808E-3</v>
      </c>
    </row>
    <row r="205" spans="2:7" ht="15" thickBot="1" x14ac:dyDescent="0.25">
      <c r="B205" s="9">
        <v>44539</v>
      </c>
      <c r="C205" s="10">
        <v>459.4</v>
      </c>
      <c r="D205" s="10">
        <v>241.12</v>
      </c>
      <c r="F205" s="1">
        <f t="shared" si="3"/>
        <v>-6.7456542419787047E-3</v>
      </c>
      <c r="G205" s="1">
        <f t="shared" si="3"/>
        <v>2.036321323193313E-3</v>
      </c>
    </row>
    <row r="206" spans="2:7" ht="15" thickBot="1" x14ac:dyDescent="0.25">
      <c r="B206" s="9">
        <v>44538</v>
      </c>
      <c r="C206" s="10">
        <v>462.52</v>
      </c>
      <c r="D206" s="10">
        <v>240.63</v>
      </c>
      <c r="F206" s="1">
        <f t="shared" si="3"/>
        <v>2.6446997615434675E-3</v>
      </c>
      <c r="G206" s="1">
        <f t="shared" si="3"/>
        <v>-9.3454096335940928E-3</v>
      </c>
    </row>
    <row r="207" spans="2:7" ht="15" thickBot="1" x14ac:dyDescent="0.25">
      <c r="B207" s="9">
        <v>44537</v>
      </c>
      <c r="C207" s="10">
        <v>461.3</v>
      </c>
      <c r="D207" s="10">
        <v>242.9</v>
      </c>
      <c r="F207" s="1">
        <f t="shared" si="3"/>
        <v>2.0688129217833806E-2</v>
      </c>
      <c r="G207" s="1">
        <f t="shared" si="3"/>
        <v>8.2184957662294611E-3</v>
      </c>
    </row>
    <row r="208" spans="2:7" ht="15" thickBot="1" x14ac:dyDescent="0.25">
      <c r="B208" s="9">
        <v>44536</v>
      </c>
      <c r="C208" s="10">
        <v>451.95</v>
      </c>
      <c r="D208" s="10">
        <v>240.92</v>
      </c>
      <c r="F208" s="1">
        <f t="shared" si="3"/>
        <v>1.1843460350154489E-2</v>
      </c>
      <c r="G208" s="1">
        <f t="shared" si="3"/>
        <v>1.748458484669313E-2</v>
      </c>
    </row>
    <row r="209" spans="2:7" ht="15" thickBot="1" x14ac:dyDescent="0.25">
      <c r="B209" s="9">
        <v>44533</v>
      </c>
      <c r="C209" s="10">
        <v>446.66</v>
      </c>
      <c r="D209" s="10">
        <v>236.78</v>
      </c>
      <c r="F209" s="1">
        <f t="shared" si="3"/>
        <v>-8.6998979093612094E-3</v>
      </c>
      <c r="G209" s="1">
        <f t="shared" si="3"/>
        <v>2.3515172473415724E-2</v>
      </c>
    </row>
    <row r="210" spans="2:7" ht="15" thickBot="1" x14ac:dyDescent="0.25">
      <c r="B210" s="9">
        <v>44532</v>
      </c>
      <c r="C210" s="10">
        <v>450.58</v>
      </c>
      <c r="D210" s="10">
        <v>231.34</v>
      </c>
      <c r="F210" s="1">
        <f t="shared" si="3"/>
        <v>1.5322907747082004E-2</v>
      </c>
      <c r="G210" s="1">
        <f t="shared" si="3"/>
        <v>3.3044565508618451E-2</v>
      </c>
    </row>
    <row r="211" spans="2:7" ht="15" thickBot="1" x14ac:dyDescent="0.25">
      <c r="B211" s="9">
        <v>44531</v>
      </c>
      <c r="C211" s="10">
        <v>443.78</v>
      </c>
      <c r="D211" s="10">
        <v>223.94</v>
      </c>
      <c r="F211" s="1">
        <f t="shared" si="3"/>
        <v>-1.1119281591906782E-2</v>
      </c>
      <c r="G211" s="1">
        <f t="shared" si="3"/>
        <v>-1.1258775221864137E-2</v>
      </c>
    </row>
    <row r="212" spans="2:7" ht="15" thickBot="1" x14ac:dyDescent="0.25">
      <c r="B212" s="9">
        <v>44530</v>
      </c>
      <c r="C212" s="10">
        <v>448.77</v>
      </c>
      <c r="D212" s="10">
        <v>226.49</v>
      </c>
      <c r="F212" s="1">
        <f t="shared" si="3"/>
        <v>-1.9446325955382759E-2</v>
      </c>
      <c r="G212" s="1">
        <f t="shared" si="3"/>
        <v>-4.2406561812954546E-2</v>
      </c>
    </row>
    <row r="213" spans="2:7" ht="15" thickBot="1" x14ac:dyDescent="0.25">
      <c r="B213" s="9">
        <v>44529</v>
      </c>
      <c r="C213" s="10">
        <v>457.67</v>
      </c>
      <c r="D213" s="10">
        <v>236.52</v>
      </c>
      <c r="F213" s="1">
        <f t="shared" si="3"/>
        <v>1.2253113042709041E-2</v>
      </c>
      <c r="G213" s="1">
        <f t="shared" si="3"/>
        <v>1.0164858631588114E-2</v>
      </c>
    </row>
    <row r="214" spans="2:7" ht="15" thickBot="1" x14ac:dyDescent="0.25">
      <c r="B214" s="9">
        <v>44526</v>
      </c>
      <c r="C214" s="10">
        <v>452.13</v>
      </c>
      <c r="D214" s="10">
        <v>234.14</v>
      </c>
      <c r="F214" s="1">
        <f t="shared" si="3"/>
        <v>-2.2294784188219063E-2</v>
      </c>
      <c r="G214" s="1">
        <f t="shared" si="3"/>
        <v>-2.2257485279993383E-2</v>
      </c>
    </row>
    <row r="215" spans="2:7" ht="15" thickBot="1" x14ac:dyDescent="0.25">
      <c r="B215" s="9">
        <v>44524</v>
      </c>
      <c r="C215" s="10">
        <v>462.44</v>
      </c>
      <c r="D215" s="10">
        <v>239.47</v>
      </c>
      <c r="F215" s="1">
        <f t="shared" si="3"/>
        <v>2.666897942368962E-3</v>
      </c>
      <c r="G215" s="1">
        <f t="shared" si="3"/>
        <v>-1.1598150899785331E-2</v>
      </c>
    </row>
    <row r="216" spans="2:7" ht="15" thickBot="1" x14ac:dyDescent="0.25">
      <c r="B216" s="9">
        <v>44523</v>
      </c>
      <c r="C216" s="10">
        <v>461.21</v>
      </c>
      <c r="D216" s="10">
        <v>242.28</v>
      </c>
      <c r="F216" s="1">
        <f t="shared" si="3"/>
        <v>1.3243595310463707E-3</v>
      </c>
      <c r="G216" s="1">
        <f t="shared" si="3"/>
        <v>-6.2753783684016406E-3</v>
      </c>
    </row>
    <row r="217" spans="2:7" ht="15" thickBot="1" x14ac:dyDescent="0.25">
      <c r="B217" s="9">
        <v>44522</v>
      </c>
      <c r="C217" s="10">
        <v>460.6</v>
      </c>
      <c r="D217" s="10">
        <v>243.81</v>
      </c>
      <c r="F217" s="1">
        <f t="shared" si="3"/>
        <v>-2.8144620047628743E-3</v>
      </c>
      <c r="G217" s="1">
        <f t="shared" si="3"/>
        <v>2.1835708298407308E-2</v>
      </c>
    </row>
    <row r="218" spans="2:7" ht="15" thickBot="1" x14ac:dyDescent="0.25">
      <c r="B218" s="9">
        <v>44519</v>
      </c>
      <c r="C218" s="10">
        <v>461.9</v>
      </c>
      <c r="D218" s="10">
        <v>238.6</v>
      </c>
      <c r="F218" s="1">
        <f t="shared" si="3"/>
        <v>-1.7937025911439752E-3</v>
      </c>
      <c r="G218" s="1">
        <f t="shared" si="3"/>
        <v>-8.3125519534497094E-3</v>
      </c>
    </row>
    <row r="219" spans="2:7" ht="15" thickBot="1" x14ac:dyDescent="0.25">
      <c r="B219" s="9">
        <v>44518</v>
      </c>
      <c r="C219" s="10">
        <v>462.73</v>
      </c>
      <c r="D219" s="10">
        <v>240.6</v>
      </c>
      <c r="F219" s="1">
        <f t="shared" si="3"/>
        <v>3.404458322491033E-3</v>
      </c>
      <c r="G219" s="1">
        <f t="shared" si="3"/>
        <v>-1.0650108968296434E-2</v>
      </c>
    </row>
    <row r="220" spans="2:7" ht="15" thickBot="1" x14ac:dyDescent="0.25">
      <c r="B220" s="9">
        <v>44517</v>
      </c>
      <c r="C220" s="10">
        <v>461.16</v>
      </c>
      <c r="D220" s="10">
        <v>243.19</v>
      </c>
      <c r="F220" s="1">
        <f t="shared" si="3"/>
        <v>-2.4227740763173022E-3</v>
      </c>
      <c r="G220" s="1">
        <f t="shared" si="3"/>
        <v>-2.3019443998071654E-2</v>
      </c>
    </row>
    <row r="221" spans="2:7" ht="15" thickBot="1" x14ac:dyDescent="0.25">
      <c r="B221" s="9">
        <v>44516</v>
      </c>
      <c r="C221" s="10">
        <v>462.28</v>
      </c>
      <c r="D221" s="10">
        <v>248.92</v>
      </c>
      <c r="F221" s="1">
        <f t="shared" si="3"/>
        <v>3.9525691699604515E-3</v>
      </c>
      <c r="G221" s="1">
        <f t="shared" si="3"/>
        <v>3.5073573876234221E-3</v>
      </c>
    </row>
    <row r="222" spans="2:7" ht="15" thickBot="1" x14ac:dyDescent="0.25">
      <c r="B222" s="9">
        <v>44515</v>
      </c>
      <c r="C222" s="10">
        <v>460.46</v>
      </c>
      <c r="D222" s="10">
        <v>248.05</v>
      </c>
      <c r="F222" s="1">
        <f t="shared" si="3"/>
        <v>3.4759939170103671E-4</v>
      </c>
      <c r="G222" s="1">
        <f t="shared" si="3"/>
        <v>-6.2497496093906202E-3</v>
      </c>
    </row>
    <row r="223" spans="2:7" ht="15" thickBot="1" x14ac:dyDescent="0.25">
      <c r="B223" s="9">
        <v>44512</v>
      </c>
      <c r="C223" s="10">
        <v>460.3</v>
      </c>
      <c r="D223" s="10">
        <v>249.61</v>
      </c>
      <c r="F223" s="1">
        <f t="shared" si="3"/>
        <v>7.5296589764917154E-3</v>
      </c>
      <c r="G223" s="1">
        <f t="shared" si="3"/>
        <v>1.1549683903387953E-2</v>
      </c>
    </row>
    <row r="224" spans="2:7" ht="15" thickBot="1" x14ac:dyDescent="0.25">
      <c r="B224" s="9">
        <v>44511</v>
      </c>
      <c r="C224" s="10">
        <v>456.86</v>
      </c>
      <c r="D224" s="10">
        <v>246.76</v>
      </c>
      <c r="F224" s="1">
        <f t="shared" si="3"/>
        <v>3.2843598782594796E-4</v>
      </c>
      <c r="G224" s="1">
        <f t="shared" si="3"/>
        <v>9.9042318081361547E-3</v>
      </c>
    </row>
    <row r="225" spans="2:7" ht="15" thickBot="1" x14ac:dyDescent="0.25">
      <c r="B225" s="9">
        <v>44510</v>
      </c>
      <c r="C225" s="10">
        <v>456.71</v>
      </c>
      <c r="D225" s="10">
        <v>244.34</v>
      </c>
      <c r="F225" s="1">
        <f t="shared" si="3"/>
        <v>-8.0363154579614626E-3</v>
      </c>
      <c r="G225" s="1">
        <f t="shared" si="3"/>
        <v>-3.8323548597520851E-3</v>
      </c>
    </row>
    <row r="226" spans="2:7" ht="15" thickBot="1" x14ac:dyDescent="0.25">
      <c r="B226" s="9">
        <v>44509</v>
      </c>
      <c r="C226" s="10">
        <v>460.41</v>
      </c>
      <c r="D226" s="10">
        <v>245.28</v>
      </c>
      <c r="F226" s="1">
        <f t="shared" si="3"/>
        <v>-3.3121184569423479E-3</v>
      </c>
      <c r="G226" s="1">
        <f t="shared" si="3"/>
        <v>3.8060159607120614E-3</v>
      </c>
    </row>
    <row r="227" spans="2:7" ht="15" thickBot="1" x14ac:dyDescent="0.25">
      <c r="B227" s="9">
        <v>44508</v>
      </c>
      <c r="C227" s="10">
        <v>461.94</v>
      </c>
      <c r="D227" s="10">
        <v>244.35</v>
      </c>
      <c r="F227" s="1">
        <f t="shared" si="3"/>
        <v>8.4497887552803519E-4</v>
      </c>
      <c r="G227" s="1">
        <f t="shared" si="3"/>
        <v>2.3755656108597201E-2</v>
      </c>
    </row>
    <row r="228" spans="2:7" ht="15" thickBot="1" x14ac:dyDescent="0.25">
      <c r="B228" s="9">
        <v>44505</v>
      </c>
      <c r="C228" s="10">
        <v>461.55</v>
      </c>
      <c r="D228" s="10">
        <v>238.68</v>
      </c>
      <c r="F228" s="1">
        <f t="shared" si="3"/>
        <v>3.4786389824981168E-3</v>
      </c>
      <c r="G228" s="1">
        <f t="shared" si="3"/>
        <v>-9.1331783460644189E-3</v>
      </c>
    </row>
    <row r="229" spans="2:7" ht="15" thickBot="1" x14ac:dyDescent="0.25">
      <c r="B229" s="9">
        <v>44504</v>
      </c>
      <c r="C229" s="10">
        <v>459.95</v>
      </c>
      <c r="D229" s="10">
        <v>240.88</v>
      </c>
      <c r="F229" s="1">
        <f t="shared" si="3"/>
        <v>4.7183206273617717E-3</v>
      </c>
      <c r="G229" s="1">
        <f t="shared" si="3"/>
        <v>2.0764471565386966E-2</v>
      </c>
    </row>
    <row r="230" spans="2:7" ht="15" thickBot="1" x14ac:dyDescent="0.25">
      <c r="B230" s="9">
        <v>44503</v>
      </c>
      <c r="C230" s="10">
        <v>457.79</v>
      </c>
      <c r="D230" s="10">
        <v>235.98</v>
      </c>
      <c r="F230" s="1">
        <f t="shared" si="3"/>
        <v>6.1097558295422072E-3</v>
      </c>
      <c r="G230" s="1">
        <f t="shared" si="3"/>
        <v>1.8032786885245899E-2</v>
      </c>
    </row>
    <row r="231" spans="2:7" ht="15" thickBot="1" x14ac:dyDescent="0.25">
      <c r="B231" s="9">
        <v>44502</v>
      </c>
      <c r="C231" s="10">
        <v>455.01</v>
      </c>
      <c r="D231" s="10">
        <v>231.8</v>
      </c>
      <c r="F231" s="1">
        <f t="shared" si="3"/>
        <v>4.0381305441545834E-3</v>
      </c>
      <c r="G231" s="1">
        <f t="shared" si="3"/>
        <v>5.6114300513665505E-4</v>
      </c>
    </row>
    <row r="232" spans="2:7" ht="15" thickBot="1" x14ac:dyDescent="0.25">
      <c r="B232" s="9">
        <v>44501</v>
      </c>
      <c r="C232" s="10">
        <v>453.18</v>
      </c>
      <c r="D232" s="10">
        <v>231.67</v>
      </c>
      <c r="F232" s="1">
        <f t="shared" si="3"/>
        <v>1.7241379310346527E-3</v>
      </c>
      <c r="G232" s="1">
        <f t="shared" si="3"/>
        <v>4.750388668162131E-4</v>
      </c>
    </row>
    <row r="233" spans="2:7" ht="15" thickBot="1" x14ac:dyDescent="0.25">
      <c r="B233" s="9">
        <v>44498</v>
      </c>
      <c r="C233" s="10">
        <v>452.4</v>
      </c>
      <c r="D233" s="10">
        <v>231.56</v>
      </c>
      <c r="F233" s="1">
        <f t="shared" si="3"/>
        <v>2.0155485171320375E-3</v>
      </c>
      <c r="G233" s="1">
        <f t="shared" si="3"/>
        <v>-1.8535281693177197E-3</v>
      </c>
    </row>
    <row r="234" spans="2:7" ht="15" thickBot="1" x14ac:dyDescent="0.25">
      <c r="B234" s="9">
        <v>44497</v>
      </c>
      <c r="C234" s="10">
        <v>451.49</v>
      </c>
      <c r="D234" s="10">
        <v>231.99</v>
      </c>
      <c r="F234" s="1">
        <f t="shared" si="3"/>
        <v>9.6607554174028554E-3</v>
      </c>
      <c r="G234" s="1">
        <f t="shared" si="3"/>
        <v>2.8530670470756636E-3</v>
      </c>
    </row>
    <row r="235" spans="2:7" ht="15" thickBot="1" x14ac:dyDescent="0.25">
      <c r="B235" s="9">
        <v>44496</v>
      </c>
      <c r="C235" s="10">
        <v>447.17</v>
      </c>
      <c r="D235" s="10">
        <v>231.33</v>
      </c>
      <c r="F235" s="1">
        <f t="shared" si="3"/>
        <v>-4.4304924748419516E-3</v>
      </c>
      <c r="G235" s="1">
        <f t="shared" si="3"/>
        <v>-1.0691528033186515E-2</v>
      </c>
    </row>
    <row r="236" spans="2:7" ht="15" thickBot="1" x14ac:dyDescent="0.25">
      <c r="B236" s="9">
        <v>44495</v>
      </c>
      <c r="C236" s="10">
        <v>449.16</v>
      </c>
      <c r="D236" s="10">
        <v>233.83</v>
      </c>
      <c r="F236" s="1">
        <f t="shared" si="3"/>
        <v>8.9134503966503686E-4</v>
      </c>
      <c r="G236" s="1">
        <f t="shared" si="3"/>
        <v>1.0326650535775972E-2</v>
      </c>
    </row>
    <row r="237" spans="2:7" ht="15" thickBot="1" x14ac:dyDescent="0.25">
      <c r="B237" s="9">
        <v>44494</v>
      </c>
      <c r="C237" s="10">
        <v>448.76</v>
      </c>
      <c r="D237" s="10">
        <v>231.44</v>
      </c>
      <c r="F237" s="1">
        <f t="shared" si="3"/>
        <v>5.3543024844859843E-3</v>
      </c>
      <c r="G237" s="1">
        <f t="shared" si="3"/>
        <v>1.0390290753514275E-2</v>
      </c>
    </row>
    <row r="238" spans="2:7" ht="15" thickBot="1" x14ac:dyDescent="0.25">
      <c r="B238" s="9">
        <v>44491</v>
      </c>
      <c r="C238" s="10">
        <v>446.37</v>
      </c>
      <c r="D238" s="10">
        <v>229.06</v>
      </c>
      <c r="F238" s="1">
        <f t="shared" si="3"/>
        <v>-1.0294742967122961E-3</v>
      </c>
      <c r="G238" s="1">
        <f t="shared" si="3"/>
        <v>6.1156735977641041E-4</v>
      </c>
    </row>
    <row r="239" spans="2:7" ht="15" thickBot="1" x14ac:dyDescent="0.25">
      <c r="B239" s="9">
        <v>44490</v>
      </c>
      <c r="C239" s="10">
        <v>446.83</v>
      </c>
      <c r="D239" s="10">
        <v>228.92</v>
      </c>
      <c r="F239" s="1">
        <f t="shared" si="3"/>
        <v>2.6028227163594764E-3</v>
      </c>
      <c r="G239" s="1">
        <f t="shared" si="3"/>
        <v>6.6399894463744502E-3</v>
      </c>
    </row>
    <row r="240" spans="2:7" ht="15" thickBot="1" x14ac:dyDescent="0.25">
      <c r="B240" s="9">
        <v>44489</v>
      </c>
      <c r="C240" s="10">
        <v>445.67</v>
      </c>
      <c r="D240" s="10">
        <v>227.41</v>
      </c>
      <c r="F240" s="1">
        <f t="shared" si="3"/>
        <v>3.9421517390521021E-3</v>
      </c>
      <c r="G240" s="1">
        <f t="shared" si="3"/>
        <v>8.6489842987669263E-3</v>
      </c>
    </row>
    <row r="241" spans="2:7" ht="15" thickBot="1" x14ac:dyDescent="0.25">
      <c r="B241" s="9">
        <v>44488</v>
      </c>
      <c r="C241" s="10">
        <v>443.92</v>
      </c>
      <c r="D241" s="10">
        <v>225.46</v>
      </c>
      <c r="F241" s="1">
        <f t="shared" si="3"/>
        <v>7.7181512757651394E-3</v>
      </c>
      <c r="G241" s="1">
        <f t="shared" si="3"/>
        <v>5.8891764076025588E-3</v>
      </c>
    </row>
    <row r="242" spans="2:7" ht="15" thickBot="1" x14ac:dyDescent="0.25">
      <c r="B242" s="9">
        <v>44487</v>
      </c>
      <c r="C242" s="10">
        <v>440.52</v>
      </c>
      <c r="D242" s="10">
        <v>224.14</v>
      </c>
      <c r="F242" s="1">
        <f t="shared" si="3"/>
        <v>2.9597923591819786E-3</v>
      </c>
      <c r="G242" s="1">
        <f t="shared" si="3"/>
        <v>-4.9720323182100845E-3</v>
      </c>
    </row>
    <row r="243" spans="2:7" ht="15" thickBot="1" x14ac:dyDescent="0.25">
      <c r="B243" s="9">
        <v>44484</v>
      </c>
      <c r="C243" s="10">
        <v>439.22</v>
      </c>
      <c r="D243" s="10">
        <v>225.26</v>
      </c>
      <c r="F243" s="1">
        <f t="shared" si="3"/>
        <v>7.6164257857307405E-3</v>
      </c>
      <c r="G243" s="1">
        <f t="shared" si="3"/>
        <v>7.3338699579643674E-3</v>
      </c>
    </row>
    <row r="244" spans="2:7" ht="15" thickBot="1" x14ac:dyDescent="0.25">
      <c r="B244" s="9">
        <v>44483</v>
      </c>
      <c r="C244" s="10">
        <v>435.9</v>
      </c>
      <c r="D244" s="10">
        <v>223.62</v>
      </c>
      <c r="F244" s="1">
        <f t="shared" si="3"/>
        <v>1.6818680165154198E-2</v>
      </c>
      <c r="G244" s="1">
        <f t="shared" si="3"/>
        <v>1.6639388979814429E-2</v>
      </c>
    </row>
    <row r="245" spans="2:7" ht="15" thickBot="1" x14ac:dyDescent="0.25">
      <c r="B245" s="9">
        <v>44482</v>
      </c>
      <c r="C245" s="10">
        <v>428.69</v>
      </c>
      <c r="D245" s="10">
        <v>219.96</v>
      </c>
      <c r="F245" s="1">
        <f t="shared" si="3"/>
        <v>3.5817960483190969E-3</v>
      </c>
      <c r="G245" s="1">
        <f t="shared" si="3"/>
        <v>1.0892044671170664E-2</v>
      </c>
    </row>
    <row r="246" spans="2:7" ht="15" thickBot="1" x14ac:dyDescent="0.25">
      <c r="B246" s="9">
        <v>44481</v>
      </c>
      <c r="C246" s="10">
        <v>427.16</v>
      </c>
      <c r="D246" s="10">
        <v>217.59</v>
      </c>
      <c r="F246" s="1">
        <f t="shared" si="3"/>
        <v>-2.4520679106044829E-3</v>
      </c>
      <c r="G246" s="1">
        <f t="shared" si="3"/>
        <v>6.8017767906718429E-3</v>
      </c>
    </row>
    <row r="247" spans="2:7" ht="15" thickBot="1" x14ac:dyDescent="0.25">
      <c r="B247" s="9">
        <v>44480</v>
      </c>
      <c r="C247" s="10">
        <v>428.21</v>
      </c>
      <c r="D247" s="10">
        <v>216.12</v>
      </c>
      <c r="F247" s="1">
        <f t="shared" si="3"/>
        <v>-7.2334407530197931E-3</v>
      </c>
      <c r="G247" s="1">
        <f t="shared" si="3"/>
        <v>-1.6205389657683922E-2</v>
      </c>
    </row>
    <row r="248" spans="2:7" ht="15" thickBot="1" x14ac:dyDescent="0.25">
      <c r="B248" s="9">
        <v>44477</v>
      </c>
      <c r="C248" s="10">
        <v>431.33</v>
      </c>
      <c r="D248" s="10">
        <v>219.68</v>
      </c>
      <c r="F248" s="1">
        <f t="shared" si="3"/>
        <v>-1.8281958715171687E-3</v>
      </c>
      <c r="G248" s="1">
        <f t="shared" si="3"/>
        <v>2.1897810218978186E-3</v>
      </c>
    </row>
    <row r="249" spans="2:7" ht="15" thickBot="1" x14ac:dyDescent="0.25">
      <c r="B249" s="9">
        <v>44476</v>
      </c>
      <c r="C249" s="10">
        <v>432.12</v>
      </c>
      <c r="D249" s="10">
        <v>219.2</v>
      </c>
      <c r="F249" s="1">
        <f t="shared" si="3"/>
        <v>8.636384855982504E-3</v>
      </c>
      <c r="G249" s="1">
        <f t="shared" si="3"/>
        <v>-5.5348879412031593E-3</v>
      </c>
    </row>
    <row r="250" spans="2:7" ht="15" thickBot="1" x14ac:dyDescent="0.25">
      <c r="B250" s="9">
        <v>44475</v>
      </c>
      <c r="C250" s="10">
        <v>428.42</v>
      </c>
      <c r="D250" s="10">
        <v>220.42</v>
      </c>
      <c r="F250" s="1">
        <f t="shared" si="3"/>
        <v>4.1721357584849628E-3</v>
      </c>
      <c r="G250" s="1">
        <f t="shared" si="3"/>
        <v>-3.1747471540666261E-4</v>
      </c>
    </row>
    <row r="251" spans="2:7" ht="15" thickBot="1" x14ac:dyDescent="0.25">
      <c r="B251" s="9">
        <v>44474</v>
      </c>
      <c r="C251" s="10">
        <v>426.64</v>
      </c>
      <c r="D251" s="10">
        <v>220.49</v>
      </c>
      <c r="F251" s="1">
        <f t="shared" si="3"/>
        <v>1.0396684428656044E-2</v>
      </c>
      <c r="G251" s="1">
        <f t="shared" si="3"/>
        <v>2.9365079365079483E-2</v>
      </c>
    </row>
    <row r="252" spans="2:7" ht="15" thickBot="1" x14ac:dyDescent="0.25">
      <c r="B252" s="9">
        <v>44473</v>
      </c>
      <c r="C252" s="10">
        <v>422.25</v>
      </c>
      <c r="D252" s="10">
        <v>214.2</v>
      </c>
      <c r="F252" s="1">
        <f t="shared" si="3"/>
        <v>-1.2904130724454732E-2</v>
      </c>
      <c r="G252" s="1">
        <f t="shared" si="3"/>
        <v>-2.093427187128627E-2</v>
      </c>
    </row>
    <row r="253" spans="2:7" ht="15" thickBot="1" x14ac:dyDescent="0.25">
      <c r="B253" s="9">
        <v>44470</v>
      </c>
      <c r="C253" s="10">
        <v>427.77</v>
      </c>
      <c r="D253" s="10">
        <v>218.78</v>
      </c>
      <c r="F253" s="1">
        <f t="shared" si="3"/>
        <v>1.1898566494772167E-2</v>
      </c>
      <c r="G253" s="1">
        <f t="shared" si="3"/>
        <v>1.4749536178107592E-2</v>
      </c>
    </row>
    <row r="254" spans="2:7" ht="15" thickBot="1" x14ac:dyDescent="0.25">
      <c r="B254" s="9">
        <v>44469</v>
      </c>
      <c r="C254" s="10">
        <v>422.74</v>
      </c>
      <c r="D254" s="10">
        <v>215.6</v>
      </c>
      <c r="F254" s="1">
        <f t="shared" si="3"/>
        <v>-1.2220482744117578E-2</v>
      </c>
      <c r="G254" s="1">
        <f t="shared" si="3"/>
        <v>-8.1427979942034767E-3</v>
      </c>
    </row>
    <row r="255" spans="2:7" ht="15" thickBot="1" x14ac:dyDescent="0.25">
      <c r="B255" s="9">
        <v>44468</v>
      </c>
      <c r="C255" s="10">
        <v>427.97</v>
      </c>
      <c r="D255" s="10">
        <v>217.37</v>
      </c>
      <c r="F255" s="1">
        <f t="shared" si="3"/>
        <v>1.685196021065094E-3</v>
      </c>
      <c r="G255" s="1">
        <f t="shared" si="3"/>
        <v>-5.8995701088447872E-3</v>
      </c>
    </row>
    <row r="256" spans="2:7" ht="15" thickBot="1" x14ac:dyDescent="0.25">
      <c r="B256" s="9">
        <v>44467</v>
      </c>
      <c r="C256" s="10">
        <v>427.25</v>
      </c>
      <c r="D256" s="10">
        <v>218.66</v>
      </c>
      <c r="F256" s="1">
        <f t="shared" si="3"/>
        <v>-2.0158701036602222E-2</v>
      </c>
      <c r="G256" s="1">
        <f t="shared" si="3"/>
        <v>-1.8140996856757963E-2</v>
      </c>
    </row>
    <row r="257" spans="2:4" x14ac:dyDescent="0.2">
      <c r="B257" s="9">
        <v>44466</v>
      </c>
      <c r="C257" s="10">
        <v>436.04</v>
      </c>
      <c r="D257" s="10">
        <v>222.7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Kim</dc:creator>
  <cp:lastModifiedBy>Josh Case</cp:lastModifiedBy>
  <dcterms:created xsi:type="dcterms:W3CDTF">2022-09-27T04:21:45Z</dcterms:created>
  <dcterms:modified xsi:type="dcterms:W3CDTF">2022-10-17T15:24:58Z</dcterms:modified>
</cp:coreProperties>
</file>