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9D1F406E-DC40-4A38-9183-7C7B2AD39984}" xr6:coauthVersionLast="47" xr6:coauthVersionMax="47" xr10:uidLastSave="{00000000-0000-0000-0000-000000000000}"/>
  <bookViews>
    <workbookView xWindow="14670" yWindow="600" windowWidth="12570" windowHeight="14280" activeTab="1" xr2:uid="{AC1488D0-CEE1-4F9C-B934-5EAC1A5D1583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5" i="1" l="1"/>
  <c r="N77" i="1"/>
  <c r="N86" i="1"/>
  <c r="J75" i="1"/>
  <c r="O9" i="1"/>
  <c r="J77" i="1"/>
  <c r="J86" i="1" s="1"/>
  <c r="J94" i="1"/>
  <c r="J74" i="1"/>
  <c r="N94" i="1"/>
  <c r="N74" i="1"/>
  <c r="J50" i="1"/>
  <c r="J46" i="1"/>
  <c r="J40" i="1"/>
  <c r="J58" i="1"/>
  <c r="N50" i="1"/>
  <c r="N46" i="1"/>
  <c r="N42" i="1"/>
  <c r="N40" i="1"/>
  <c r="N48" i="1" s="1"/>
  <c r="Z21" i="1"/>
  <c r="Z18" i="1"/>
  <c r="Z13" i="1"/>
  <c r="Z31" i="1" s="1"/>
  <c r="Z12" i="1"/>
  <c r="Z30" i="1" s="1"/>
  <c r="Z10" i="1"/>
  <c r="Y10" i="1"/>
  <c r="X6" i="1"/>
  <c r="X5" i="1"/>
  <c r="X4" i="1"/>
  <c r="X3" i="1"/>
  <c r="J7" i="2"/>
  <c r="J6" i="2"/>
  <c r="J5" i="2"/>
  <c r="J36" i="1"/>
  <c r="I36" i="1"/>
  <c r="H36" i="1"/>
  <c r="G36" i="1"/>
  <c r="J35" i="1"/>
  <c r="I35" i="1"/>
  <c r="H35" i="1"/>
  <c r="J34" i="1"/>
  <c r="I34" i="1"/>
  <c r="H34" i="1"/>
  <c r="G34" i="1"/>
  <c r="J33" i="1"/>
  <c r="I33" i="1"/>
  <c r="H33" i="1"/>
  <c r="G33" i="1"/>
  <c r="C5" i="1"/>
  <c r="C7" i="1"/>
  <c r="D7" i="1"/>
  <c r="D9" i="1" s="1"/>
  <c r="D11" i="1" s="1"/>
  <c r="D25" i="1" s="1"/>
  <c r="E7" i="1"/>
  <c r="E9" i="1" s="1"/>
  <c r="E11" i="1" s="1"/>
  <c r="E25" i="1" s="1"/>
  <c r="F7" i="1"/>
  <c r="F9" i="1"/>
  <c r="F11" i="1" s="1"/>
  <c r="F25" i="1" s="1"/>
  <c r="Z3" i="1"/>
  <c r="Z33" i="1" s="1"/>
  <c r="Z6" i="1"/>
  <c r="Z5" i="1"/>
  <c r="Z4" i="1"/>
  <c r="Y4" i="1"/>
  <c r="Y6" i="1"/>
  <c r="Y5" i="1"/>
  <c r="Y3" i="1"/>
  <c r="Y33" i="1" s="1"/>
  <c r="K36" i="1"/>
  <c r="K35" i="1"/>
  <c r="K34" i="1"/>
  <c r="K33" i="1"/>
  <c r="L36" i="1"/>
  <c r="L35" i="1"/>
  <c r="L34" i="1"/>
  <c r="L33" i="1"/>
  <c r="G7" i="1"/>
  <c r="G9" i="1" s="1"/>
  <c r="K7" i="1"/>
  <c r="H7" i="1"/>
  <c r="H9" i="1" s="1"/>
  <c r="L7" i="1"/>
  <c r="L9" i="1" s="1"/>
  <c r="M36" i="1"/>
  <c r="M35" i="1"/>
  <c r="M34" i="1"/>
  <c r="M33" i="1"/>
  <c r="I7" i="1"/>
  <c r="I9" i="1" s="1"/>
  <c r="M7" i="1"/>
  <c r="N35" i="1"/>
  <c r="N36" i="1"/>
  <c r="N34" i="1"/>
  <c r="N33" i="1"/>
  <c r="J7" i="1"/>
  <c r="J9" i="1" s="1"/>
  <c r="J11" i="1" s="1"/>
  <c r="J25" i="1" s="1"/>
  <c r="N7" i="1"/>
  <c r="N9" i="1" s="1"/>
  <c r="N31" i="1"/>
  <c r="N30" i="1"/>
  <c r="X30" i="1"/>
  <c r="X31" i="1"/>
  <c r="N16" i="1"/>
  <c r="N14" i="1"/>
  <c r="I31" i="1"/>
  <c r="H31" i="1"/>
  <c r="G31" i="1"/>
  <c r="I30" i="1"/>
  <c r="H30" i="1"/>
  <c r="G30" i="1"/>
  <c r="C16" i="1"/>
  <c r="C14" i="1"/>
  <c r="D16" i="1"/>
  <c r="D14" i="1"/>
  <c r="E16" i="1"/>
  <c r="E14" i="1"/>
  <c r="Y31" i="1"/>
  <c r="Y30" i="1"/>
  <c r="M30" i="1"/>
  <c r="L31" i="1"/>
  <c r="K31" i="1"/>
  <c r="J31" i="1"/>
  <c r="M31" i="1"/>
  <c r="L30" i="1"/>
  <c r="K30" i="1"/>
  <c r="J30" i="1"/>
  <c r="F16" i="1"/>
  <c r="F14" i="1"/>
  <c r="J16" i="1"/>
  <c r="J14" i="1"/>
  <c r="G16" i="1"/>
  <c r="G14" i="1"/>
  <c r="K16" i="1"/>
  <c r="K14" i="1"/>
  <c r="H16" i="1"/>
  <c r="H14" i="1"/>
  <c r="L16" i="1"/>
  <c r="L14" i="1"/>
  <c r="I14" i="1"/>
  <c r="I16" i="1"/>
  <c r="M16" i="1"/>
  <c r="M14" i="1"/>
  <c r="X29" i="1"/>
  <c r="Y29" i="1"/>
  <c r="W16" i="1"/>
  <c r="X16" i="1"/>
  <c r="Y16" i="1"/>
  <c r="X14" i="1"/>
  <c r="X15" i="1" s="1"/>
  <c r="X26" i="1" s="1"/>
  <c r="W14" i="1"/>
  <c r="W15" i="1" s="1"/>
  <c r="W26" i="1" s="1"/>
  <c r="Y14" i="1"/>
  <c r="Y15" i="1" s="1"/>
  <c r="Y25" i="1"/>
  <c r="X25" i="1"/>
  <c r="W25" i="1"/>
  <c r="W10" i="1"/>
  <c r="X10" i="1"/>
  <c r="X2" i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N95" i="1" l="1"/>
  <c r="J39" i="1"/>
  <c r="O29" i="1"/>
  <c r="Y35" i="1"/>
  <c r="Z35" i="1"/>
  <c r="Y36" i="1"/>
  <c r="J95" i="1"/>
  <c r="Z16" i="1"/>
  <c r="N39" i="1"/>
  <c r="Z14" i="1"/>
  <c r="X7" i="1"/>
  <c r="Y34" i="1"/>
  <c r="N58" i="1"/>
  <c r="J48" i="1"/>
  <c r="M37" i="1"/>
  <c r="C9" i="1"/>
  <c r="C11" i="1" s="1"/>
  <c r="C25" i="1" s="1"/>
  <c r="Z34" i="1"/>
  <c r="G35" i="1"/>
  <c r="J37" i="1"/>
  <c r="G37" i="1"/>
  <c r="Z36" i="1"/>
  <c r="Z7" i="1"/>
  <c r="H37" i="1"/>
  <c r="L37" i="1"/>
  <c r="I29" i="1"/>
  <c r="I37" i="1"/>
  <c r="K37" i="1"/>
  <c r="H29" i="1"/>
  <c r="M9" i="1"/>
  <c r="M11" i="1" s="1"/>
  <c r="M25" i="1" s="1"/>
  <c r="K9" i="1"/>
  <c r="Y7" i="1"/>
  <c r="Y37" i="1" s="1"/>
  <c r="N37" i="1"/>
  <c r="J29" i="1"/>
  <c r="G11" i="1"/>
  <c r="G15" i="1" s="1"/>
  <c r="G26" i="1" s="1"/>
  <c r="H11" i="1"/>
  <c r="H25" i="1" s="1"/>
  <c r="L29" i="1"/>
  <c r="L11" i="1"/>
  <c r="L25" i="1" s="1"/>
  <c r="I11" i="1"/>
  <c r="I25" i="1" s="1"/>
  <c r="N11" i="1"/>
  <c r="N15" i="1" s="1"/>
  <c r="P9" i="1"/>
  <c r="N29" i="1"/>
  <c r="D15" i="1"/>
  <c r="E15" i="1"/>
  <c r="W17" i="1"/>
  <c r="X17" i="1"/>
  <c r="F15" i="1"/>
  <c r="J15" i="1"/>
  <c r="Y26" i="1"/>
  <c r="Y17" i="1"/>
  <c r="C15" i="1" l="1"/>
  <c r="G29" i="1"/>
  <c r="K29" i="1"/>
  <c r="Z9" i="1"/>
  <c r="Z29" i="1" s="1"/>
  <c r="Q9" i="1"/>
  <c r="P29" i="1"/>
  <c r="Z37" i="1"/>
  <c r="H15" i="1"/>
  <c r="H26" i="1" s="1"/>
  <c r="K11" i="1"/>
  <c r="M29" i="1"/>
  <c r="M15" i="1"/>
  <c r="L15" i="1"/>
  <c r="L26" i="1" s="1"/>
  <c r="K15" i="1"/>
  <c r="G25" i="1"/>
  <c r="I15" i="1"/>
  <c r="I17" i="1" s="1"/>
  <c r="Y19" i="1"/>
  <c r="Y20" i="1" s="1"/>
  <c r="Y27" i="1"/>
  <c r="X19" i="1"/>
  <c r="X20" i="1" s="1"/>
  <c r="X27" i="1"/>
  <c r="W19" i="1"/>
  <c r="W20" i="1" s="1"/>
  <c r="W27" i="1"/>
  <c r="N17" i="1"/>
  <c r="N19" i="1" s="1"/>
  <c r="N26" i="1"/>
  <c r="G17" i="1"/>
  <c r="E17" i="1"/>
  <c r="E26" i="1"/>
  <c r="D17" i="1"/>
  <c r="D26" i="1"/>
  <c r="C17" i="1"/>
  <c r="C26" i="1"/>
  <c r="J17" i="1"/>
  <c r="J26" i="1"/>
  <c r="F17" i="1"/>
  <c r="F27" i="1" s="1"/>
  <c r="F26" i="1"/>
  <c r="M17" i="1"/>
  <c r="M26" i="1"/>
  <c r="H17" i="1"/>
  <c r="N20" i="1" l="1"/>
  <c r="N60" i="1"/>
  <c r="R9" i="1"/>
  <c r="Q29" i="1"/>
  <c r="K17" i="1"/>
  <c r="Z15" i="1"/>
  <c r="Z26" i="1" s="1"/>
  <c r="K25" i="1"/>
  <c r="Z11" i="1"/>
  <c r="Z25" i="1" s="1"/>
  <c r="K26" i="1"/>
  <c r="L17" i="1"/>
  <c r="L27" i="1" s="1"/>
  <c r="I26" i="1"/>
  <c r="K19" i="1"/>
  <c r="K60" i="1" s="1"/>
  <c r="K27" i="1"/>
  <c r="C19" i="1"/>
  <c r="C27" i="1"/>
  <c r="H19" i="1"/>
  <c r="H27" i="1"/>
  <c r="D19" i="1"/>
  <c r="D27" i="1"/>
  <c r="M19" i="1"/>
  <c r="M27" i="1"/>
  <c r="I19" i="1"/>
  <c r="I27" i="1"/>
  <c r="J19" i="1"/>
  <c r="J27" i="1"/>
  <c r="E19" i="1"/>
  <c r="E27" i="1"/>
  <c r="G19" i="1"/>
  <c r="G27" i="1"/>
  <c r="F19" i="1"/>
  <c r="M20" i="1" l="1"/>
  <c r="M60" i="1"/>
  <c r="G20" i="1"/>
  <c r="G60" i="1"/>
  <c r="J20" i="1"/>
  <c r="J60" i="1"/>
  <c r="H20" i="1"/>
  <c r="H60" i="1"/>
  <c r="R29" i="1"/>
  <c r="AA9" i="1"/>
  <c r="AA29" i="1" s="1"/>
  <c r="F20" i="1"/>
  <c r="F60" i="1"/>
  <c r="E20" i="1"/>
  <c r="E60" i="1"/>
  <c r="I20" i="1"/>
  <c r="I60" i="1"/>
  <c r="D20" i="1"/>
  <c r="D60" i="1"/>
  <c r="C20" i="1"/>
  <c r="C60" i="1"/>
  <c r="K20" i="1"/>
  <c r="L19" i="1"/>
  <c r="Z17" i="1"/>
  <c r="Z27" i="1" s="1"/>
  <c r="L20" i="1" l="1"/>
  <c r="L60" i="1"/>
  <c r="Z19" i="1"/>
  <c r="Z20" i="1"/>
</calcChain>
</file>

<file path=xl/sharedStrings.xml><?xml version="1.0" encoding="utf-8"?>
<sst xmlns="http://schemas.openxmlformats.org/spreadsheetml/2006/main" count="159" uniqueCount="129">
  <si>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</si>
  <si>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</si>
  <si>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</si>
  <si>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</si>
  <si>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</si>
  <si>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</si>
  <si>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</si>
  <si>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</si>
  <si>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</si>
  <si>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</si>
  <si>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</si>
  <si>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</si>
  <si>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</si>
  <si>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</si>
  <si>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</si>
  <si>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</si>
  <si>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Price</t>
  </si>
  <si>
    <t>Shares</t>
  </si>
  <si>
    <t>MC</t>
  </si>
  <si>
    <t>Cash</t>
  </si>
  <si>
    <t>Debt</t>
  </si>
  <si>
    <t>EV</t>
  </si>
  <si>
    <t>s</t>
  </si>
  <si>
    <t>Revenue</t>
  </si>
  <si>
    <t>Gross Margin</t>
  </si>
  <si>
    <t>COGS</t>
  </si>
  <si>
    <t>Gross Margin %</t>
  </si>
  <si>
    <t>R&amp;D</t>
  </si>
  <si>
    <t>S&amp;M</t>
  </si>
  <si>
    <t>Operating Expense</t>
  </si>
  <si>
    <t>Operating Income</t>
  </si>
  <si>
    <t>Operating Margin %</t>
  </si>
  <si>
    <t>Interest Income</t>
  </si>
  <si>
    <t>Pretax Income</t>
  </si>
  <si>
    <t>Net Income</t>
  </si>
  <si>
    <t>EPS</t>
  </si>
  <si>
    <t>Taxes</t>
  </si>
  <si>
    <t>Revenue Y/Y</t>
  </si>
  <si>
    <t>R&amp;D Y/Y</t>
  </si>
  <si>
    <t>S&amp;M Y/Y</t>
  </si>
  <si>
    <t>Client Computing Group</t>
  </si>
  <si>
    <t>Data Center Group</t>
  </si>
  <si>
    <t>Internet of Things</t>
  </si>
  <si>
    <t>Memory Solution Group</t>
  </si>
  <si>
    <t>Programmable Solution Group</t>
  </si>
  <si>
    <t>CCG Y/Y</t>
  </si>
  <si>
    <t>DCG Y/Y</t>
  </si>
  <si>
    <t>Tax Rate</t>
  </si>
  <si>
    <t>Name</t>
  </si>
  <si>
    <t xml:space="preserve">Description </t>
  </si>
  <si>
    <t>% Of revenue</t>
  </si>
  <si>
    <t>Competitors</t>
  </si>
  <si>
    <t>IoT Y/Y</t>
  </si>
  <si>
    <t>MSG Y/Y</t>
  </si>
  <si>
    <t>PSG + O Y/Y</t>
  </si>
  <si>
    <t xml:space="preserve"> Atom</t>
  </si>
  <si>
    <t xml:space="preserve"> Core</t>
  </si>
  <si>
    <t xml:space="preserve"> Evo</t>
  </si>
  <si>
    <t xml:space="preserve"> Tofino</t>
  </si>
  <si>
    <t xml:space="preserve"> Agilex</t>
  </si>
  <si>
    <t xml:space="preserve"> Stratix</t>
  </si>
  <si>
    <t xml:space="preserve"> Optane</t>
  </si>
  <si>
    <t xml:space="preserve"> Xeon</t>
  </si>
  <si>
    <t xml:space="preserve"> Arria</t>
  </si>
  <si>
    <t xml:space="preserve"> Movidius</t>
  </si>
  <si>
    <t xml:space="preserve"> Mobileye</t>
  </si>
  <si>
    <t xml:space="preserve"> 3D NAND SSD</t>
  </si>
  <si>
    <t xml:space="preserve"> eASIC</t>
  </si>
  <si>
    <t>Microprocessor</t>
  </si>
  <si>
    <t>Core Processor</t>
  </si>
  <si>
    <t>"Gaming" Core Processor</t>
  </si>
  <si>
    <t>Ethernet Switch</t>
  </si>
  <si>
    <t>AMD, TSMC, GFS, Samsung</t>
  </si>
  <si>
    <t>Field Programmable Gate Arrays</t>
  </si>
  <si>
    <t>Memory &amp; Storage</t>
  </si>
  <si>
    <t>"Cloud" Processor</t>
  </si>
  <si>
    <t>FPGA</t>
  </si>
  <si>
    <t>Vision Processing Unit</t>
  </si>
  <si>
    <t>NVDA</t>
  </si>
  <si>
    <t>FPGA &amp; SoC</t>
  </si>
  <si>
    <t>Automomous Driving</t>
  </si>
  <si>
    <t>"Low Powered" FPGA</t>
  </si>
  <si>
    <t>Net Cash</t>
  </si>
  <si>
    <t>A/R</t>
  </si>
  <si>
    <t>Inventory</t>
  </si>
  <si>
    <t>Held for Sale Assets</t>
  </si>
  <si>
    <t>OCA</t>
  </si>
  <si>
    <t>Total Assets</t>
  </si>
  <si>
    <t>PP&amp;E</t>
  </si>
  <si>
    <t>Intangibles</t>
  </si>
  <si>
    <t>OLTA</t>
  </si>
  <si>
    <t>A/P</t>
  </si>
  <si>
    <t>Accured Compensation</t>
  </si>
  <si>
    <t>OAL</t>
  </si>
  <si>
    <t>Contract Liabilties</t>
  </si>
  <si>
    <t>Income Taxe payable</t>
  </si>
  <si>
    <t>D/T</t>
  </si>
  <si>
    <t>OLTL</t>
  </si>
  <si>
    <t>Total Liabilties</t>
  </si>
  <si>
    <t>Model NI</t>
  </si>
  <si>
    <t>Reported NI</t>
  </si>
  <si>
    <t>Deprecation</t>
  </si>
  <si>
    <t>SBC</t>
  </si>
  <si>
    <t>Restructing</t>
  </si>
  <si>
    <t>Intangible Amorization</t>
  </si>
  <si>
    <t>Loss on Investments</t>
  </si>
  <si>
    <t>Compensation</t>
  </si>
  <si>
    <t>Prepaid Supply Agreement</t>
  </si>
  <si>
    <t>Income Tax</t>
  </si>
  <si>
    <t>Other</t>
  </si>
  <si>
    <t>CFFO</t>
  </si>
  <si>
    <t>Capex</t>
  </si>
  <si>
    <t>Acquistions</t>
  </si>
  <si>
    <t>Purchase of Debt</t>
  </si>
  <si>
    <t>Maturity of Purchased Debt</t>
  </si>
  <si>
    <t>Purchase of Trading Assets</t>
  </si>
  <si>
    <t>Maturity of Trading Assets</t>
  </si>
  <si>
    <t>Equity Investment</t>
  </si>
  <si>
    <t>Sale of Equity Investment</t>
  </si>
  <si>
    <t>Other Investing</t>
  </si>
  <si>
    <t>CFFI</t>
  </si>
  <si>
    <t>Net Issuance</t>
  </si>
  <si>
    <t>Repayment of Debt</t>
  </si>
  <si>
    <t>Employee Stock Purchasing</t>
  </si>
  <si>
    <t>Purhcase of Common Stock</t>
  </si>
  <si>
    <t>Dividend</t>
  </si>
  <si>
    <t>CFFF</t>
  </si>
  <si>
    <t>Cash Flow</t>
  </si>
  <si>
    <t>Free 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</si>
</sst>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3" fontId="4" fillId="0" borderId="0" xfId="0" applyNumberFormat="1" applyFont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4" fontId="4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0</xdr:row>
      <xdr:rowOff>9525</xdr:rowOff>
    </xdr:from>
    <xdr:to>
      <xdr:col>14</xdr:col>
      <xdr:colOff>57150</xdr:colOff>
      <xdr:row>47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AAAD40-1AE7-4980-BB8B-BE7660EE9F57}"/>
            </a:ext>
          </a:extLst>
        </xdr:cNvPr>
        <xdr:cNvCxnSpPr/>
      </xdr:nvCxnSpPr>
      <xdr:spPr>
        <a:xfrm>
          <a:off x="9972675" y="9525"/>
          <a:ext cx="0" cy="861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0</xdr:row>
      <xdr:rowOff>38100</xdr:rowOff>
    </xdr:from>
    <xdr:to>
      <xdr:col>25</xdr:col>
      <xdr:colOff>19050</xdr:colOff>
      <xdr:row>48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B5E986C-9758-43A4-87EE-CB3A53446D10}"/>
            </a:ext>
          </a:extLst>
        </xdr:cNvPr>
        <xdr:cNvCxnSpPr/>
      </xdr:nvCxnSpPr>
      <xdr:spPr>
        <a:xfrm>
          <a:off x="15954375" y="38100"/>
          <a:ext cx="0" cy="768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2417-08F5-45EE-88F9-8B502FE926CA}">
  <dimension ref="B2:Y33"/>
  <sheetViews>
    <sheetView workbookViewId="0">
      <selection activeCell="E27" sqref="E27"/>
    </sheetView>
  </sheetViews>
  <sheetFormatPr defaultRowHeight="14.25" x14ac:dyDescent="0.2"/>
  <cols>
    <col min="1" max="1" width="9.140625" style="1"/>
    <col min="2" max="2" width="29.85546875" style="1" bestFit="1" customWidth="1"/>
    <col min="3" max="3" width="32.140625" style="1" bestFit="1" customWidth="1"/>
    <col min="4" max="4" width="15.140625" style="1" bestFit="1" customWidth="1"/>
    <col min="5" max="5" width="28.5703125" style="1" bestFit="1" customWidth="1"/>
    <col min="6" max="8" width="9.140625" style="1"/>
    <col min="9" max="9" width="9.28515625" style="1" customWidth="1"/>
    <col min="10" max="10" width="11.28515625" style="1" bestFit="1" customWidth="1"/>
    <col min="11" max="11" width="9.140625" style="3"/>
    <col min="12" max="16384" width="9.140625" style="1"/>
  </cols>
  <sheetData>
    <row r="2" spans="2:11" x14ac:dyDescent="0.2">
      <c r="J2" s="3"/>
      <c r="K2" s="1"/>
    </row>
    <row r="3" spans="2:11" ht="15" thickBot="1" x14ac:dyDescent="0.25">
      <c r="I3" s="1" t="s">
        <v>16</v>
      </c>
      <c r="J3" s="1">
        <v>51.62</v>
      </c>
    </row>
    <row r="4" spans="2:11" s="11" customFormat="1" ht="15.75" thickBot="1" x14ac:dyDescent="0.3">
      <c r="B4" s="25" t="s">
        <v>48</v>
      </c>
      <c r="C4" s="26" t="s">
        <v>49</v>
      </c>
      <c r="D4" s="26" t="s">
        <v>50</v>
      </c>
      <c r="E4" s="27" t="s">
        <v>51</v>
      </c>
      <c r="H4" s="1"/>
      <c r="I4" s="1" t="s">
        <v>17</v>
      </c>
      <c r="J4" s="2">
        <v>4072</v>
      </c>
      <c r="K4" s="29" t="s">
        <v>11</v>
      </c>
    </row>
    <row r="5" spans="2:11" x14ac:dyDescent="0.2">
      <c r="B5" s="17" t="s">
        <v>40</v>
      </c>
      <c r="C5" s="21"/>
      <c r="D5" s="10">
        <v>0.51</v>
      </c>
      <c r="E5" s="28" t="s">
        <v>72</v>
      </c>
      <c r="I5" s="1" t="s">
        <v>18</v>
      </c>
      <c r="J5" s="2">
        <f>+J3*J4</f>
        <v>210196.63999999998</v>
      </c>
    </row>
    <row r="6" spans="2:11" x14ac:dyDescent="0.2">
      <c r="B6" s="22" t="s">
        <v>55</v>
      </c>
      <c r="C6" s="21" t="s">
        <v>68</v>
      </c>
      <c r="E6" s="18"/>
      <c r="I6" s="1" t="s">
        <v>19</v>
      </c>
      <c r="J6" s="2">
        <f>4827+2103+21483+6298+840</f>
        <v>35551</v>
      </c>
      <c r="K6" s="29" t="s">
        <v>11</v>
      </c>
    </row>
    <row r="7" spans="2:11" x14ac:dyDescent="0.2">
      <c r="B7" s="22" t="s">
        <v>56</v>
      </c>
      <c r="C7" s="21" t="s">
        <v>69</v>
      </c>
      <c r="E7" s="18"/>
      <c r="I7" s="1" t="s">
        <v>20</v>
      </c>
      <c r="J7" s="2">
        <f>4591+4535+33510</f>
        <v>42636</v>
      </c>
      <c r="K7" s="29" t="s">
        <v>11</v>
      </c>
    </row>
    <row r="8" spans="2:11" x14ac:dyDescent="0.2">
      <c r="B8" s="23" t="s">
        <v>57</v>
      </c>
      <c r="C8" s="21" t="s">
        <v>70</v>
      </c>
      <c r="E8" s="18"/>
      <c r="I8" s="1" t="s">
        <v>21</v>
      </c>
      <c r="J8" s="2">
        <v>40304</v>
      </c>
    </row>
    <row r="9" spans="2:11" x14ac:dyDescent="0.2">
      <c r="B9" s="17" t="s">
        <v>41</v>
      </c>
      <c r="C9" s="21"/>
      <c r="D9" s="10">
        <v>0.33</v>
      </c>
      <c r="E9" s="18"/>
      <c r="J9" s="3"/>
      <c r="K9" s="1"/>
    </row>
    <row r="10" spans="2:11" x14ac:dyDescent="0.2">
      <c r="B10" s="22" t="s">
        <v>58</v>
      </c>
      <c r="C10" s="21" t="s">
        <v>71</v>
      </c>
      <c r="E10" s="18"/>
    </row>
    <row r="11" spans="2:11" x14ac:dyDescent="0.2">
      <c r="B11" s="22" t="s">
        <v>59</v>
      </c>
      <c r="C11" s="21" t="s">
        <v>73</v>
      </c>
      <c r="E11" s="18"/>
    </row>
    <row r="12" spans="2:11" x14ac:dyDescent="0.2">
      <c r="B12" s="22" t="s">
        <v>60</v>
      </c>
      <c r="C12" s="21" t="s">
        <v>79</v>
      </c>
      <c r="E12" s="18"/>
    </row>
    <row r="13" spans="2:11" x14ac:dyDescent="0.2">
      <c r="B13" s="22" t="s">
        <v>61</v>
      </c>
      <c r="C13" s="21" t="s">
        <v>74</v>
      </c>
      <c r="E13" s="18"/>
    </row>
    <row r="14" spans="2:11" x14ac:dyDescent="0.2">
      <c r="B14" s="22" t="s">
        <v>62</v>
      </c>
      <c r="C14" s="21" t="s">
        <v>75</v>
      </c>
      <c r="E14" s="18"/>
    </row>
    <row r="15" spans="2:11" x14ac:dyDescent="0.2">
      <c r="B15" s="17" t="s">
        <v>42</v>
      </c>
      <c r="C15" s="21"/>
      <c r="D15" s="10">
        <v>0.05</v>
      </c>
      <c r="E15" s="18"/>
    </row>
    <row r="16" spans="2:11" x14ac:dyDescent="0.2">
      <c r="B16" s="22" t="s">
        <v>59</v>
      </c>
      <c r="C16" s="21" t="s">
        <v>73</v>
      </c>
      <c r="E16" s="18"/>
    </row>
    <row r="17" spans="2:5" x14ac:dyDescent="0.2">
      <c r="B17" s="22" t="s">
        <v>63</v>
      </c>
      <c r="C17" s="21" t="s">
        <v>76</v>
      </c>
      <c r="E17" s="18"/>
    </row>
    <row r="18" spans="2:5" x14ac:dyDescent="0.2">
      <c r="B18" s="22" t="s">
        <v>64</v>
      </c>
      <c r="C18" s="21" t="s">
        <v>77</v>
      </c>
      <c r="E18" s="28" t="s">
        <v>78</v>
      </c>
    </row>
    <row r="19" spans="2:5" x14ac:dyDescent="0.2">
      <c r="B19" s="22" t="s">
        <v>60</v>
      </c>
      <c r="C19" s="21" t="s">
        <v>79</v>
      </c>
      <c r="E19" s="18"/>
    </row>
    <row r="20" spans="2:5" x14ac:dyDescent="0.2">
      <c r="B20" s="22" t="s">
        <v>62</v>
      </c>
      <c r="C20" s="21" t="s">
        <v>75</v>
      </c>
      <c r="E20" s="18"/>
    </row>
    <row r="21" spans="2:5" x14ac:dyDescent="0.2">
      <c r="B21" s="23" t="s">
        <v>56</v>
      </c>
      <c r="C21" s="21" t="s">
        <v>69</v>
      </c>
      <c r="E21" s="18"/>
    </row>
    <row r="22" spans="2:5" x14ac:dyDescent="0.2">
      <c r="B22" s="17" t="s">
        <v>43</v>
      </c>
      <c r="D22" s="10">
        <v>7.0000000000000007E-2</v>
      </c>
      <c r="E22" s="18"/>
    </row>
    <row r="23" spans="2:5" x14ac:dyDescent="0.2">
      <c r="B23" s="22" t="s">
        <v>65</v>
      </c>
      <c r="C23" s="21" t="s">
        <v>80</v>
      </c>
      <c r="D23" s="10"/>
      <c r="E23" s="18"/>
    </row>
    <row r="24" spans="2:5" x14ac:dyDescent="0.2">
      <c r="B24" s="22" t="s">
        <v>66</v>
      </c>
      <c r="C24" s="21" t="s">
        <v>74</v>
      </c>
      <c r="D24" s="10"/>
      <c r="E24" s="18"/>
    </row>
    <row r="25" spans="2:5" x14ac:dyDescent="0.2">
      <c r="B25" s="19" t="s">
        <v>44</v>
      </c>
      <c r="D25" s="10">
        <v>0.02</v>
      </c>
      <c r="E25" s="18"/>
    </row>
    <row r="26" spans="2:5" x14ac:dyDescent="0.2">
      <c r="B26" s="22" t="s">
        <v>59</v>
      </c>
      <c r="C26" s="21" t="s">
        <v>73</v>
      </c>
      <c r="D26" s="10"/>
      <c r="E26" s="18"/>
    </row>
    <row r="27" spans="2:5" x14ac:dyDescent="0.2">
      <c r="B27" s="22" t="s">
        <v>63</v>
      </c>
      <c r="C27" s="21" t="s">
        <v>76</v>
      </c>
      <c r="D27" s="10"/>
      <c r="E27" s="18"/>
    </row>
    <row r="28" spans="2:5" x14ac:dyDescent="0.2">
      <c r="B28" s="22" t="s">
        <v>67</v>
      </c>
      <c r="C28" s="21" t="s">
        <v>81</v>
      </c>
      <c r="D28" s="10"/>
      <c r="E28" s="18"/>
    </row>
    <row r="29" spans="2:5" x14ac:dyDescent="0.2">
      <c r="B29" s="24" t="s">
        <v>60</v>
      </c>
      <c r="C29" s="21" t="s">
        <v>79</v>
      </c>
      <c r="D29" s="16"/>
      <c r="E29" s="20"/>
    </row>
    <row r="30" spans="2:5" x14ac:dyDescent="0.2">
      <c r="D30" s="10"/>
    </row>
    <row r="33" spans="25:25" x14ac:dyDescent="0.2">
      <c r="Y33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3128-489F-4613-9FBE-86B745D31930}">
  <dimension ref="B2:AL95"/>
  <sheetViews>
    <sheetView tabSelected="1" zoomScaleNormal="100" workbookViewId="0">
      <pane xSplit="2" ySplit="2" topLeftCell="J62" activePane="bottomRight" state="frozen"/>
      <selection pane="topRight" activeCell="C1" sqref="C1"/>
      <selection pane="bottomLeft" activeCell="A3" sqref="A3"/>
      <selection pane="bottomRight" activeCell="N75" sqref="N75"/>
    </sheetView>
  </sheetViews>
  <sheetFormatPr defaultRowHeight="14.25" x14ac:dyDescent="0.2"/>
  <cols>
    <col min="1" max="1" width="9.140625" style="1"/>
    <col min="2" max="2" width="29.85546875" style="1" bestFit="1" customWidth="1"/>
    <col min="3" max="13" width="9.140625" style="1"/>
    <col min="14" max="14" width="10.140625" style="1" bestFit="1" customWidth="1"/>
    <col min="15" max="16384" width="9.140625" style="1"/>
  </cols>
  <sheetData>
    <row r="2" spans="2:38" s="4" customFormat="1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W2" s="4">
        <v>2018</v>
      </c>
      <c r="X2" s="4">
        <f>+W2+1</f>
        <v>2019</v>
      </c>
      <c r="Y2" s="4">
        <f t="shared" ref="Y2:AL2" si="0">+X2+1</f>
        <v>2020</v>
      </c>
      <c r="Z2" s="4">
        <f t="shared" si="0"/>
        <v>2021</v>
      </c>
      <c r="AA2" s="4">
        <f t="shared" si="0"/>
        <v>2022</v>
      </c>
      <c r="AB2" s="4">
        <f t="shared" si="0"/>
        <v>2023</v>
      </c>
      <c r="AC2" s="4">
        <f t="shared" si="0"/>
        <v>2024</v>
      </c>
      <c r="AD2" s="4">
        <f t="shared" si="0"/>
        <v>2025</v>
      </c>
      <c r="AE2" s="4">
        <f t="shared" si="0"/>
        <v>2026</v>
      </c>
      <c r="AF2" s="4">
        <f t="shared" si="0"/>
        <v>2027</v>
      </c>
      <c r="AG2" s="4">
        <f t="shared" si="0"/>
        <v>2028</v>
      </c>
      <c r="AH2" s="4">
        <f t="shared" si="0"/>
        <v>2029</v>
      </c>
      <c r="AI2" s="4">
        <f t="shared" si="0"/>
        <v>2030</v>
      </c>
      <c r="AJ2" s="4">
        <f t="shared" si="0"/>
        <v>2031</v>
      </c>
      <c r="AK2" s="4">
        <f t="shared" si="0"/>
        <v>2032</v>
      </c>
      <c r="AL2" s="4">
        <f t="shared" si="0"/>
        <v>2033</v>
      </c>
    </row>
    <row r="3" spans="2:38" s="4" customFormat="1" x14ac:dyDescent="0.2">
      <c r="B3" s="4" t="s">
        <v>40</v>
      </c>
      <c r="C3" s="5">
        <v>8586</v>
      </c>
      <c r="D3" s="5">
        <v>8841</v>
      </c>
      <c r="E3" s="5">
        <v>9709</v>
      </c>
      <c r="F3" s="5">
        <v>10010</v>
      </c>
      <c r="G3" s="5">
        <v>9775</v>
      </c>
      <c r="H3" s="5">
        <v>9496</v>
      </c>
      <c r="I3" s="5">
        <v>9847</v>
      </c>
      <c r="J3" s="5">
        <v>10939</v>
      </c>
      <c r="K3" s="5">
        <v>10605</v>
      </c>
      <c r="L3" s="5">
        <v>10109</v>
      </c>
      <c r="M3" s="5">
        <v>9664</v>
      </c>
      <c r="N3" s="5">
        <v>10133</v>
      </c>
      <c r="X3" s="13">
        <f>+SUM(C3:F3)</f>
        <v>37146</v>
      </c>
      <c r="Y3" s="13">
        <f>+SUM(G3:J3)</f>
        <v>40057</v>
      </c>
      <c r="Z3" s="13">
        <f>+SUM(K3:N3)</f>
        <v>40511</v>
      </c>
    </row>
    <row r="4" spans="2:38" s="4" customFormat="1" x14ac:dyDescent="0.2">
      <c r="B4" s="4" t="s">
        <v>41</v>
      </c>
      <c r="C4" s="5">
        <v>4902</v>
      </c>
      <c r="D4" s="5">
        <v>4983</v>
      </c>
      <c r="E4" s="5">
        <v>6383</v>
      </c>
      <c r="F4" s="5">
        <v>7213</v>
      </c>
      <c r="G4" s="5">
        <v>6993</v>
      </c>
      <c r="H4" s="5">
        <v>7117</v>
      </c>
      <c r="I4" s="5">
        <v>5905</v>
      </c>
      <c r="J4" s="5">
        <v>6088</v>
      </c>
      <c r="K4" s="5">
        <v>5564</v>
      </c>
      <c r="L4" s="5">
        <v>6455</v>
      </c>
      <c r="M4" s="5">
        <v>6496</v>
      </c>
      <c r="N4" s="5">
        <v>7306</v>
      </c>
      <c r="X4" s="13">
        <f t="shared" ref="X4:X7" si="1">+SUM(C4:F4)</f>
        <v>23481</v>
      </c>
      <c r="Y4" s="13">
        <f>+SUM(G4:J4)</f>
        <v>26103</v>
      </c>
      <c r="Z4" s="13">
        <f t="shared" ref="Z4:Z7" si="2">+SUM(K4:N4)</f>
        <v>25821</v>
      </c>
    </row>
    <row r="5" spans="2:38" s="4" customFormat="1" x14ac:dyDescent="0.2">
      <c r="B5" s="4" t="s">
        <v>42</v>
      </c>
      <c r="C5" s="5">
        <f>910+209</f>
        <v>1119</v>
      </c>
      <c r="D5" s="5">
        <v>1187</v>
      </c>
      <c r="E5" s="5">
        <v>1234</v>
      </c>
      <c r="F5" s="5">
        <v>1160</v>
      </c>
      <c r="G5" s="5">
        <v>1137</v>
      </c>
      <c r="H5" s="5">
        <v>816</v>
      </c>
      <c r="I5" s="5">
        <v>911</v>
      </c>
      <c r="J5" s="5">
        <v>1110</v>
      </c>
      <c r="K5" s="5">
        <v>1291</v>
      </c>
      <c r="L5" s="5">
        <v>1311</v>
      </c>
      <c r="M5" s="5">
        <v>1368</v>
      </c>
      <c r="N5" s="5">
        <v>1414</v>
      </c>
      <c r="X5" s="13">
        <f t="shared" si="1"/>
        <v>4700</v>
      </c>
      <c r="Y5" s="13">
        <f t="shared" ref="Y5:Y7" si="3">+SUM(G5:J5)</f>
        <v>3974</v>
      </c>
      <c r="Z5" s="13">
        <f t="shared" si="2"/>
        <v>5384</v>
      </c>
    </row>
    <row r="6" spans="2:38" s="4" customFormat="1" x14ac:dyDescent="0.2">
      <c r="B6" s="4" t="s">
        <v>43</v>
      </c>
      <c r="C6" s="15">
        <v>915</v>
      </c>
      <c r="D6" s="15">
        <v>940</v>
      </c>
      <c r="E6" s="15">
        <v>1290</v>
      </c>
      <c r="F6" s="15">
        <v>1217</v>
      </c>
      <c r="G6" s="15">
        <v>1338</v>
      </c>
      <c r="H6" s="5">
        <v>1659</v>
      </c>
      <c r="I6" s="5">
        <v>1153</v>
      </c>
      <c r="J6" s="5">
        <v>1208</v>
      </c>
      <c r="K6" s="15">
        <v>1107</v>
      </c>
      <c r="L6" s="5">
        <v>1098</v>
      </c>
      <c r="M6" s="5">
        <v>1105</v>
      </c>
      <c r="N6" s="5">
        <v>996</v>
      </c>
      <c r="X6" s="13">
        <f t="shared" si="1"/>
        <v>4362</v>
      </c>
      <c r="Y6" s="13">
        <f t="shared" si="3"/>
        <v>5358</v>
      </c>
      <c r="Z6" s="13">
        <f t="shared" si="2"/>
        <v>4306</v>
      </c>
    </row>
    <row r="7" spans="2:38" s="4" customFormat="1" x14ac:dyDescent="0.2">
      <c r="B7" s="4" t="s">
        <v>44</v>
      </c>
      <c r="C7" s="5">
        <f>486+53</f>
        <v>539</v>
      </c>
      <c r="D7" s="5">
        <f>489+65</f>
        <v>554</v>
      </c>
      <c r="E7" s="5">
        <f>507+67</f>
        <v>574</v>
      </c>
      <c r="F7" s="5">
        <f>505+104</f>
        <v>609</v>
      </c>
      <c r="G7" s="5">
        <f>66+519</f>
        <v>585</v>
      </c>
      <c r="H7" s="5">
        <f>501+139</f>
        <v>640</v>
      </c>
      <c r="I7" s="5">
        <f>411+106</f>
        <v>517</v>
      </c>
      <c r="J7" s="5">
        <f>422+211</f>
        <v>633</v>
      </c>
      <c r="K7" s="5">
        <f>486+620</f>
        <v>1106</v>
      </c>
      <c r="L7" s="5">
        <f>486+172</f>
        <v>658</v>
      </c>
      <c r="M7" s="5">
        <f>478+81</f>
        <v>559</v>
      </c>
      <c r="N7" s="5">
        <f>484+195</f>
        <v>679</v>
      </c>
      <c r="X7" s="13">
        <f t="shared" si="1"/>
        <v>2276</v>
      </c>
      <c r="Y7" s="13">
        <f t="shared" si="3"/>
        <v>2375</v>
      </c>
      <c r="Z7" s="13">
        <f t="shared" si="2"/>
        <v>3002</v>
      </c>
    </row>
    <row r="9" spans="2:38" s="7" customFormat="1" ht="15" x14ac:dyDescent="0.25">
      <c r="B9" s="7" t="s">
        <v>23</v>
      </c>
      <c r="C9" s="8">
        <f>+SUM(C3:C7)</f>
        <v>16061</v>
      </c>
      <c r="D9" s="8">
        <f>+SUM(D3:D7)</f>
        <v>16505</v>
      </c>
      <c r="E9" s="8">
        <f>+SUM(E3:E7)</f>
        <v>19190</v>
      </c>
      <c r="F9" s="8">
        <f>+SUM(F3:F7)</f>
        <v>20209</v>
      </c>
      <c r="G9" s="8">
        <f t="shared" ref="G9:N9" si="4">+SUM(G3:G7)</f>
        <v>19828</v>
      </c>
      <c r="H9" s="8">
        <f t="shared" si="4"/>
        <v>19728</v>
      </c>
      <c r="I9" s="8">
        <f t="shared" si="4"/>
        <v>18333</v>
      </c>
      <c r="J9" s="8">
        <f t="shared" si="4"/>
        <v>19978</v>
      </c>
      <c r="K9" s="8">
        <f t="shared" si="4"/>
        <v>19673</v>
      </c>
      <c r="L9" s="8">
        <f t="shared" si="4"/>
        <v>19631</v>
      </c>
      <c r="M9" s="8">
        <f t="shared" si="4"/>
        <v>19192</v>
      </c>
      <c r="N9" s="7">
        <f t="shared" si="4"/>
        <v>20528</v>
      </c>
      <c r="O9" s="7">
        <f>+N9*0.98</f>
        <v>20117.439999999999</v>
      </c>
      <c r="P9" s="7">
        <f>+O9*1.02</f>
        <v>20519.788799999998</v>
      </c>
      <c r="Q9" s="7">
        <f t="shared" ref="Q9:R9" si="5">+P9*1.02</f>
        <v>20930.184576</v>
      </c>
      <c r="R9" s="7">
        <f t="shared" si="5"/>
        <v>21348.788267520002</v>
      </c>
      <c r="S9" s="8"/>
      <c r="T9" s="8"/>
      <c r="U9" s="8"/>
      <c r="V9" s="8"/>
      <c r="W9" s="8">
        <v>70848</v>
      </c>
      <c r="X9" s="8">
        <v>71965</v>
      </c>
      <c r="Y9" s="8">
        <v>77867</v>
      </c>
      <c r="Z9" s="7">
        <f>+SUM(K9:N9)</f>
        <v>79024</v>
      </c>
      <c r="AA9" s="7">
        <f>+SUM(O9:R9)</f>
        <v>82916.201643520006</v>
      </c>
    </row>
    <row r="10" spans="2:38" s="2" customFormat="1" x14ac:dyDescent="0.2">
      <c r="B10" s="2" t="s">
        <v>25</v>
      </c>
      <c r="C10" s="5">
        <v>6972</v>
      </c>
      <c r="D10" s="5">
        <v>6627</v>
      </c>
      <c r="E10" s="5">
        <v>7895</v>
      </c>
      <c r="F10" s="5">
        <v>8331</v>
      </c>
      <c r="G10" s="5">
        <v>7812</v>
      </c>
      <c r="H10" s="5">
        <v>9221</v>
      </c>
      <c r="I10" s="5">
        <v>8592</v>
      </c>
      <c r="J10" s="5">
        <v>8630</v>
      </c>
      <c r="K10" s="5">
        <v>8819</v>
      </c>
      <c r="L10" s="5">
        <v>8425</v>
      </c>
      <c r="M10" s="5">
        <v>8846</v>
      </c>
      <c r="N10" s="2">
        <v>9519</v>
      </c>
      <c r="R10" s="5"/>
      <c r="S10" s="5"/>
      <c r="T10" s="5"/>
      <c r="U10" s="5"/>
      <c r="V10" s="5"/>
      <c r="W10" s="5">
        <f>+W9-W11</f>
        <v>27121</v>
      </c>
      <c r="X10" s="5">
        <f>+X9-X11</f>
        <v>29555</v>
      </c>
      <c r="Y10" s="5">
        <f>+Y9-Y11</f>
        <v>34255</v>
      </c>
      <c r="Z10" s="5">
        <f>+SUM(K10:N10)</f>
        <v>35609</v>
      </c>
    </row>
    <row r="11" spans="2:38" s="2" customFormat="1" x14ac:dyDescent="0.2">
      <c r="B11" s="2" t="s">
        <v>24</v>
      </c>
      <c r="C11" s="5">
        <f t="shared" ref="C11:M11" si="6">+C9-C10</f>
        <v>9089</v>
      </c>
      <c r="D11" s="5">
        <f t="shared" si="6"/>
        <v>9878</v>
      </c>
      <c r="E11" s="5">
        <f t="shared" si="6"/>
        <v>11295</v>
      </c>
      <c r="F11" s="5">
        <f t="shared" si="6"/>
        <v>11878</v>
      </c>
      <c r="G11" s="5">
        <f t="shared" si="6"/>
        <v>12016</v>
      </c>
      <c r="H11" s="5">
        <f t="shared" si="6"/>
        <v>10507</v>
      </c>
      <c r="I11" s="5">
        <f t="shared" si="6"/>
        <v>9741</v>
      </c>
      <c r="J11" s="5">
        <f t="shared" si="6"/>
        <v>11348</v>
      </c>
      <c r="K11" s="5">
        <f t="shared" si="6"/>
        <v>10854</v>
      </c>
      <c r="L11" s="5">
        <f t="shared" si="6"/>
        <v>11206</v>
      </c>
      <c r="M11" s="5">
        <f t="shared" si="6"/>
        <v>10346</v>
      </c>
      <c r="N11" s="2">
        <f>+N9-N10</f>
        <v>11009</v>
      </c>
      <c r="R11" s="5"/>
      <c r="S11" s="5"/>
      <c r="T11" s="5"/>
      <c r="U11" s="5"/>
      <c r="V11" s="5"/>
      <c r="W11" s="5">
        <v>43727</v>
      </c>
      <c r="X11" s="5">
        <v>42410</v>
      </c>
      <c r="Y11" s="5">
        <v>43612</v>
      </c>
      <c r="Z11" s="5">
        <f t="shared" ref="Z11:Z19" si="7">+SUM(K11:N11)</f>
        <v>43415</v>
      </c>
    </row>
    <row r="12" spans="2:38" x14ac:dyDescent="0.2">
      <c r="B12" s="1" t="s">
        <v>27</v>
      </c>
      <c r="C12" s="5">
        <v>3332</v>
      </c>
      <c r="D12" s="5">
        <v>3438</v>
      </c>
      <c r="E12" s="5">
        <v>3208</v>
      </c>
      <c r="F12" s="5">
        <v>3384</v>
      </c>
      <c r="G12" s="5">
        <v>3275</v>
      </c>
      <c r="H12" s="5">
        <v>3354</v>
      </c>
      <c r="I12" s="5">
        <v>3272</v>
      </c>
      <c r="J12" s="5">
        <v>3655</v>
      </c>
      <c r="K12" s="5">
        <v>3623</v>
      </c>
      <c r="L12" s="5">
        <v>3715</v>
      </c>
      <c r="M12" s="5">
        <v>3803</v>
      </c>
      <c r="N12" s="5">
        <v>4049</v>
      </c>
      <c r="R12" s="3"/>
      <c r="S12" s="3"/>
      <c r="T12" s="3"/>
      <c r="U12" s="3"/>
      <c r="V12" s="3"/>
      <c r="W12" s="5">
        <v>13543</v>
      </c>
      <c r="X12" s="5">
        <v>13362</v>
      </c>
      <c r="Y12" s="5">
        <v>13556</v>
      </c>
      <c r="Z12" s="5">
        <f t="shared" si="7"/>
        <v>15190</v>
      </c>
    </row>
    <row r="13" spans="2:38" x14ac:dyDescent="0.2">
      <c r="B13" s="1" t="s">
        <v>28</v>
      </c>
      <c r="C13" s="5">
        <v>1533</v>
      </c>
      <c r="D13" s="5">
        <v>1589</v>
      </c>
      <c r="E13" s="5">
        <v>1486</v>
      </c>
      <c r="F13" s="5">
        <v>1592</v>
      </c>
      <c r="G13" s="5">
        <v>1541</v>
      </c>
      <c r="H13" s="5">
        <v>1447</v>
      </c>
      <c r="I13" s="5">
        <v>1435</v>
      </c>
      <c r="J13" s="5">
        <v>1757</v>
      </c>
      <c r="K13" s="5">
        <v>1328</v>
      </c>
      <c r="L13" s="5">
        <v>1599</v>
      </c>
      <c r="M13" s="5">
        <v>1674</v>
      </c>
      <c r="N13" s="5">
        <v>1942</v>
      </c>
      <c r="R13" s="3"/>
      <c r="S13" s="3"/>
      <c r="T13" s="3"/>
      <c r="U13" s="3"/>
      <c r="V13" s="3"/>
      <c r="W13" s="5">
        <v>6950</v>
      </c>
      <c r="X13" s="5">
        <v>6350</v>
      </c>
      <c r="Y13" s="5">
        <v>6180</v>
      </c>
      <c r="Z13" s="5">
        <f t="shared" si="7"/>
        <v>6543</v>
      </c>
    </row>
    <row r="14" spans="2:38" x14ac:dyDescent="0.2">
      <c r="B14" s="1" t="s">
        <v>29</v>
      </c>
      <c r="C14" s="5">
        <f t="shared" ref="C14:M14" si="8">+SUM(C12:C13)</f>
        <v>4865</v>
      </c>
      <c r="D14" s="5">
        <f t="shared" si="8"/>
        <v>5027</v>
      </c>
      <c r="E14" s="5">
        <f t="shared" si="8"/>
        <v>4694</v>
      </c>
      <c r="F14" s="5">
        <f t="shared" si="8"/>
        <v>4976</v>
      </c>
      <c r="G14" s="5">
        <f t="shared" si="8"/>
        <v>4816</v>
      </c>
      <c r="H14" s="5">
        <f t="shared" si="8"/>
        <v>4801</v>
      </c>
      <c r="I14" s="5">
        <f t="shared" si="8"/>
        <v>4707</v>
      </c>
      <c r="J14" s="5">
        <f t="shared" si="8"/>
        <v>5412</v>
      </c>
      <c r="K14" s="5">
        <f t="shared" si="8"/>
        <v>4951</v>
      </c>
      <c r="L14" s="5">
        <f t="shared" si="8"/>
        <v>5314</v>
      </c>
      <c r="M14" s="5">
        <f t="shared" si="8"/>
        <v>5477</v>
      </c>
      <c r="N14" s="5">
        <f t="shared" ref="N14" si="9">+SUM(N12:N13)</f>
        <v>5991</v>
      </c>
      <c r="R14" s="3"/>
      <c r="S14" s="3"/>
      <c r="T14" s="3"/>
      <c r="U14" s="3"/>
      <c r="V14" s="3"/>
      <c r="W14" s="5">
        <f>+SUM(W12:W13)</f>
        <v>20493</v>
      </c>
      <c r="X14" s="5">
        <f>+SUM(X12:X13)</f>
        <v>19712</v>
      </c>
      <c r="Y14" s="5">
        <f>+SUM(Y12:Y13)</f>
        <v>19736</v>
      </c>
      <c r="Z14" s="5">
        <f t="shared" si="7"/>
        <v>21733</v>
      </c>
    </row>
    <row r="15" spans="2:38" x14ac:dyDescent="0.2">
      <c r="B15" s="1" t="s">
        <v>30</v>
      </c>
      <c r="C15" s="5">
        <f t="shared" ref="C15:M15" si="10">+C11-C14</f>
        <v>4224</v>
      </c>
      <c r="D15" s="5">
        <f t="shared" si="10"/>
        <v>4851</v>
      </c>
      <c r="E15" s="5">
        <f t="shared" si="10"/>
        <v>6601</v>
      </c>
      <c r="F15" s="5">
        <f t="shared" si="10"/>
        <v>6902</v>
      </c>
      <c r="G15" s="5">
        <f t="shared" si="10"/>
        <v>7200</v>
      </c>
      <c r="H15" s="5">
        <f t="shared" si="10"/>
        <v>5706</v>
      </c>
      <c r="I15" s="5">
        <f t="shared" si="10"/>
        <v>5034</v>
      </c>
      <c r="J15" s="5">
        <f t="shared" si="10"/>
        <v>5936</v>
      </c>
      <c r="K15" s="5">
        <f t="shared" si="10"/>
        <v>5903</v>
      </c>
      <c r="L15" s="5">
        <f t="shared" si="10"/>
        <v>5892</v>
      </c>
      <c r="M15" s="5">
        <f t="shared" si="10"/>
        <v>4869</v>
      </c>
      <c r="N15" s="5">
        <f t="shared" ref="N15" si="11">+N11-N14</f>
        <v>5018</v>
      </c>
      <c r="R15" s="3"/>
      <c r="S15" s="3"/>
      <c r="T15" s="3"/>
      <c r="U15" s="3"/>
      <c r="V15" s="3"/>
      <c r="W15" s="5">
        <f>+W11-W14</f>
        <v>23234</v>
      </c>
      <c r="X15" s="5">
        <f>+X11-X14</f>
        <v>22698</v>
      </c>
      <c r="Y15" s="5">
        <f>+Y11-Y14</f>
        <v>23876</v>
      </c>
      <c r="Z15" s="5">
        <f t="shared" si="7"/>
        <v>21682</v>
      </c>
    </row>
    <row r="16" spans="2:38" x14ac:dyDescent="0.2">
      <c r="B16" s="1" t="s">
        <v>32</v>
      </c>
      <c r="C16" s="3">
        <f>434+-61</f>
        <v>373</v>
      </c>
      <c r="D16" s="3">
        <f>170+-63</f>
        <v>107</v>
      </c>
      <c r="E16" s="3">
        <f>318+-46</f>
        <v>272</v>
      </c>
      <c r="F16" s="3">
        <f>617+654</f>
        <v>1271</v>
      </c>
      <c r="G16" s="3">
        <f>+-111+-313</f>
        <v>-424</v>
      </c>
      <c r="H16" s="3">
        <f>267+-29</f>
        <v>238</v>
      </c>
      <c r="I16" s="3">
        <f>56+-74</f>
        <v>-18</v>
      </c>
      <c r="J16" s="3">
        <f>1692+-88</f>
        <v>1604</v>
      </c>
      <c r="K16" s="3">
        <f>368+-156</f>
        <v>212</v>
      </c>
      <c r="L16" s="3">
        <f>295+-96</f>
        <v>199</v>
      </c>
      <c r="M16" s="3">
        <f>1707+-76</f>
        <v>1631</v>
      </c>
      <c r="N16" s="5">
        <f>359+-154</f>
        <v>205</v>
      </c>
      <c r="R16" s="3"/>
      <c r="S16" s="3"/>
      <c r="T16" s="3"/>
      <c r="U16" s="3"/>
      <c r="V16" s="3"/>
      <c r="W16" s="3">
        <f>+-125+126</f>
        <v>1</v>
      </c>
      <c r="X16" s="3">
        <f>1539+484</f>
        <v>2023</v>
      </c>
      <c r="Y16" s="5">
        <f>1904+-504</f>
        <v>1400</v>
      </c>
      <c r="Z16" s="5">
        <f t="shared" si="7"/>
        <v>2247</v>
      </c>
    </row>
    <row r="17" spans="2:27" x14ac:dyDescent="0.2">
      <c r="B17" s="1" t="s">
        <v>33</v>
      </c>
      <c r="C17" s="5">
        <f t="shared" ref="C17:K17" si="12">+C15+C16</f>
        <v>4597</v>
      </c>
      <c r="D17" s="5">
        <f t="shared" si="12"/>
        <v>4958</v>
      </c>
      <c r="E17" s="5">
        <f t="shared" si="12"/>
        <v>6873</v>
      </c>
      <c r="F17" s="5">
        <f t="shared" si="12"/>
        <v>8173</v>
      </c>
      <c r="G17" s="5">
        <f t="shared" si="12"/>
        <v>6776</v>
      </c>
      <c r="H17" s="5">
        <f t="shared" ref="H17" si="13">+H15+H16</f>
        <v>5944</v>
      </c>
      <c r="I17" s="5">
        <f t="shared" si="12"/>
        <v>5016</v>
      </c>
      <c r="J17" s="5">
        <f t="shared" si="12"/>
        <v>7540</v>
      </c>
      <c r="K17" s="5">
        <f t="shared" si="12"/>
        <v>6115</v>
      </c>
      <c r="L17" s="5">
        <f t="shared" ref="L17:M17" si="14">+L15+L16</f>
        <v>6091</v>
      </c>
      <c r="M17" s="5">
        <f t="shared" si="14"/>
        <v>6500</v>
      </c>
      <c r="N17" s="5">
        <f t="shared" ref="N17" si="15">+N15+N16</f>
        <v>5223</v>
      </c>
      <c r="R17" s="3"/>
      <c r="S17" s="3"/>
      <c r="T17" s="3"/>
      <c r="U17" s="3"/>
      <c r="V17" s="3"/>
      <c r="W17" s="5">
        <f t="shared" ref="W17:X17" si="16">+W15+W16</f>
        <v>23235</v>
      </c>
      <c r="X17" s="5">
        <f t="shared" si="16"/>
        <v>24721</v>
      </c>
      <c r="Y17" s="5">
        <f>+Y15+Y16</f>
        <v>25276</v>
      </c>
      <c r="Z17" s="5">
        <f t="shared" si="7"/>
        <v>23929</v>
      </c>
    </row>
    <row r="18" spans="2:27" x14ac:dyDescent="0.2">
      <c r="B18" s="1" t="s">
        <v>36</v>
      </c>
      <c r="C18" s="5">
        <v>573</v>
      </c>
      <c r="D18" s="5">
        <v>545</v>
      </c>
      <c r="E18" s="5">
        <v>729</v>
      </c>
      <c r="F18" s="5">
        <v>1163</v>
      </c>
      <c r="G18" s="5">
        <v>953</v>
      </c>
      <c r="H18" s="5">
        <v>830</v>
      </c>
      <c r="I18" s="5">
        <v>765</v>
      </c>
      <c r="J18" s="5">
        <v>1631</v>
      </c>
      <c r="K18" s="5">
        <v>545</v>
      </c>
      <c r="L18" s="5">
        <v>684</v>
      </c>
      <c r="M18" s="5">
        <v>35</v>
      </c>
      <c r="N18" s="5">
        <v>571</v>
      </c>
      <c r="R18" s="3"/>
      <c r="S18" s="3"/>
      <c r="T18" s="3"/>
      <c r="U18" s="3"/>
      <c r="V18" s="3"/>
      <c r="W18" s="5">
        <v>2264</v>
      </c>
      <c r="X18" s="5">
        <v>3010</v>
      </c>
      <c r="Y18" s="5">
        <v>4179</v>
      </c>
      <c r="Z18" s="5">
        <f t="shared" si="7"/>
        <v>1835</v>
      </c>
    </row>
    <row r="19" spans="2:27" s="11" customFormat="1" ht="15" x14ac:dyDescent="0.25">
      <c r="B19" s="11" t="s">
        <v>34</v>
      </c>
      <c r="C19" s="8">
        <f>+C17-C18</f>
        <v>4024</v>
      </c>
      <c r="D19" s="8">
        <f>+D17-D18</f>
        <v>4413</v>
      </c>
      <c r="E19" s="8">
        <f>+E17-E18</f>
        <v>6144</v>
      </c>
      <c r="F19" s="8">
        <f>+F17-F18</f>
        <v>7010</v>
      </c>
      <c r="G19" s="8">
        <f t="shared" ref="G19:K19" si="17">+G17-G18</f>
        <v>5823</v>
      </c>
      <c r="H19" s="8">
        <f t="shared" ref="H19" si="18">+H17-H18</f>
        <v>5114</v>
      </c>
      <c r="I19" s="8">
        <f t="shared" si="17"/>
        <v>4251</v>
      </c>
      <c r="J19" s="8">
        <f t="shared" si="17"/>
        <v>5909</v>
      </c>
      <c r="K19" s="8">
        <f t="shared" si="17"/>
        <v>5570</v>
      </c>
      <c r="L19" s="8">
        <f t="shared" ref="L19:M19" si="19">+L17-L18</f>
        <v>5407</v>
      </c>
      <c r="M19" s="8">
        <f t="shared" si="19"/>
        <v>6465</v>
      </c>
      <c r="N19" s="8">
        <f t="shared" ref="N19" si="20">+N17-N18</f>
        <v>4652</v>
      </c>
      <c r="R19" s="12"/>
      <c r="S19" s="12"/>
      <c r="T19" s="12"/>
      <c r="U19" s="12"/>
      <c r="V19" s="12"/>
      <c r="W19" s="8">
        <f t="shared" ref="W19:X19" si="21">+W17-W18</f>
        <v>20971</v>
      </c>
      <c r="X19" s="8">
        <f t="shared" si="21"/>
        <v>21711</v>
      </c>
      <c r="Y19" s="8">
        <f>+Y17-Y18</f>
        <v>21097</v>
      </c>
      <c r="Z19" s="8">
        <f t="shared" si="7"/>
        <v>22094</v>
      </c>
    </row>
    <row r="20" spans="2:27" x14ac:dyDescent="0.2">
      <c r="B20" s="1" t="s">
        <v>35</v>
      </c>
      <c r="C20" s="9">
        <f t="shared" ref="C20:K20" si="22">+C19/C21</f>
        <v>0.88168273444347067</v>
      </c>
      <c r="D20" s="9">
        <f t="shared" si="22"/>
        <v>0.97567985850099492</v>
      </c>
      <c r="E20" s="9">
        <f t="shared" si="22"/>
        <v>1.3859688698398376</v>
      </c>
      <c r="F20" s="9">
        <f t="shared" si="22"/>
        <v>1.6030185227532587</v>
      </c>
      <c r="G20" s="9">
        <f t="shared" si="22"/>
        <v>1.3504174397031541</v>
      </c>
      <c r="H20" s="9">
        <f t="shared" ref="H20" si="23">+H19/H21</f>
        <v>1.1937441643323996</v>
      </c>
      <c r="I20" s="9">
        <f t="shared" si="22"/>
        <v>1.009498931370221</v>
      </c>
      <c r="J20" s="9">
        <f t="shared" si="22"/>
        <v>1.4345714979363924</v>
      </c>
      <c r="K20" s="9">
        <f t="shared" si="22"/>
        <v>1.35986328125</v>
      </c>
      <c r="L20" s="9">
        <f t="shared" ref="L20:M20" si="24">+L19/L21</f>
        <v>1.3239471106758081</v>
      </c>
      <c r="M20" s="9">
        <f t="shared" si="24"/>
        <v>1.5822320117474302</v>
      </c>
      <c r="N20" s="9">
        <f t="shared" ref="N20" si="25">+N19/N21</f>
        <v>1.1385217816935878</v>
      </c>
      <c r="R20" s="3"/>
      <c r="S20" s="3"/>
      <c r="T20" s="3"/>
      <c r="U20" s="3"/>
      <c r="V20" s="3"/>
      <c r="W20" s="9">
        <f t="shared" ref="W20:X20" si="26">+W19/W21</f>
        <v>4.4609657519676666</v>
      </c>
      <c r="X20" s="9">
        <f t="shared" si="26"/>
        <v>4.8537894030851776</v>
      </c>
      <c r="Y20" s="9">
        <f>+Y19/Y21</f>
        <v>4.9851134215500945</v>
      </c>
      <c r="Z20" s="30">
        <f>+AVERAGE(K20:N20)</f>
        <v>1.3511410463417066</v>
      </c>
    </row>
    <row r="21" spans="2:27" x14ac:dyDescent="0.2">
      <c r="B21" s="1" t="s">
        <v>17</v>
      </c>
      <c r="C21" s="5">
        <v>4564</v>
      </c>
      <c r="D21" s="5">
        <v>4523</v>
      </c>
      <c r="E21" s="5">
        <v>4433</v>
      </c>
      <c r="F21" s="5">
        <v>4373</v>
      </c>
      <c r="G21" s="5">
        <v>4312</v>
      </c>
      <c r="H21" s="5">
        <v>4284</v>
      </c>
      <c r="I21" s="5">
        <v>4211</v>
      </c>
      <c r="J21" s="5">
        <v>4119</v>
      </c>
      <c r="K21" s="5">
        <v>4096</v>
      </c>
      <c r="L21" s="5">
        <v>4084</v>
      </c>
      <c r="M21" s="5">
        <v>4086</v>
      </c>
      <c r="N21" s="5">
        <v>4086</v>
      </c>
      <c r="R21" s="3"/>
      <c r="S21" s="3"/>
      <c r="T21" s="3"/>
      <c r="U21" s="3"/>
      <c r="V21" s="3"/>
      <c r="W21" s="5">
        <v>4701</v>
      </c>
      <c r="X21" s="5">
        <v>4473</v>
      </c>
      <c r="Y21" s="5">
        <v>4232</v>
      </c>
      <c r="Z21" s="2">
        <f>+AVERAGE(K21:N21)</f>
        <v>4088</v>
      </c>
    </row>
    <row r="22" spans="2:27" x14ac:dyDescent="0.2">
      <c r="F22" s="3"/>
      <c r="G22" s="3"/>
      <c r="H22" s="3"/>
      <c r="I22" s="3"/>
      <c r="J22" s="3"/>
      <c r="K22" s="3"/>
      <c r="L22" s="3"/>
      <c r="M22" s="3"/>
      <c r="R22" s="3"/>
      <c r="S22" s="3"/>
      <c r="T22" s="3"/>
      <c r="U22" s="3"/>
      <c r="V22" s="3"/>
      <c r="W22" s="3"/>
      <c r="X22" s="3"/>
      <c r="Y22" s="3"/>
    </row>
    <row r="23" spans="2:27" x14ac:dyDescent="0.2">
      <c r="F23" s="3"/>
      <c r="G23" s="3"/>
      <c r="H23" s="3"/>
      <c r="I23" s="3"/>
      <c r="J23" s="3"/>
      <c r="K23" s="3"/>
      <c r="L23" s="3"/>
      <c r="M23" s="3"/>
      <c r="R23" s="3"/>
      <c r="S23" s="3"/>
      <c r="T23" s="3"/>
      <c r="U23" s="3"/>
      <c r="V23" s="3"/>
      <c r="W23" s="3"/>
      <c r="X23" s="3"/>
      <c r="Y23" s="3"/>
    </row>
    <row r="24" spans="2:27" x14ac:dyDescent="0.2">
      <c r="F24" s="3"/>
      <c r="G24" s="3"/>
      <c r="H24" s="3"/>
      <c r="I24" s="3"/>
      <c r="J24" s="3"/>
      <c r="K24" s="3"/>
      <c r="L24" s="3"/>
      <c r="M24" s="3"/>
      <c r="R24" s="3"/>
      <c r="S24" s="3"/>
      <c r="T24" s="3"/>
      <c r="U24" s="3"/>
      <c r="V24" s="3"/>
      <c r="W24" s="3"/>
      <c r="X24" s="3"/>
      <c r="Y24" s="3"/>
    </row>
    <row r="25" spans="2:27" x14ac:dyDescent="0.2">
      <c r="B25" s="1" t="s">
        <v>26</v>
      </c>
      <c r="C25" s="6">
        <f t="shared" ref="C25:E25" si="27">+C11/C9</f>
        <v>0.56590498723616212</v>
      </c>
      <c r="D25" s="6">
        <f t="shared" si="27"/>
        <v>0.598485307482581</v>
      </c>
      <c r="E25" s="6">
        <f t="shared" si="27"/>
        <v>0.58858780614903594</v>
      </c>
      <c r="F25" s="6">
        <f t="shared" ref="F25:M25" si="28">+F11/F9</f>
        <v>0.58775792963531104</v>
      </c>
      <c r="G25" s="6">
        <f t="shared" si="28"/>
        <v>0.60601170062537824</v>
      </c>
      <c r="H25" s="6">
        <f t="shared" si="28"/>
        <v>0.53259326845093269</v>
      </c>
      <c r="I25" s="6">
        <f t="shared" si="28"/>
        <v>0.53133693339878907</v>
      </c>
      <c r="J25" s="6">
        <f t="shared" si="28"/>
        <v>0.568024827310041</v>
      </c>
      <c r="K25" s="6">
        <f t="shared" si="28"/>
        <v>0.55172063233873836</v>
      </c>
      <c r="L25" s="6">
        <f t="shared" si="28"/>
        <v>0.57083184758799854</v>
      </c>
      <c r="M25" s="6">
        <f t="shared" si="28"/>
        <v>0.5390787828261776</v>
      </c>
      <c r="N25" s="6">
        <v>0.53</v>
      </c>
      <c r="R25" s="3"/>
      <c r="S25" s="3"/>
      <c r="T25" s="3"/>
      <c r="U25" s="3"/>
      <c r="V25" s="3"/>
      <c r="W25" s="6">
        <f>+W11/W9</f>
        <v>0.61719455736224027</v>
      </c>
      <c r="X25" s="6">
        <f>+X11/X9</f>
        <v>0.58931424998263049</v>
      </c>
      <c r="Y25" s="6">
        <f>+Y11/Y9</f>
        <v>0.5600832188218372</v>
      </c>
      <c r="Z25" s="6">
        <f t="shared" ref="Z25" si="29">+Z11/Z9</f>
        <v>0.54939005871633939</v>
      </c>
    </row>
    <row r="26" spans="2:27" x14ac:dyDescent="0.2">
      <c r="B26" s="1" t="s">
        <v>31</v>
      </c>
      <c r="C26" s="6">
        <f t="shared" ref="C26:E26" si="30">+C15/C9</f>
        <v>0.2629973227071789</v>
      </c>
      <c r="D26" s="6">
        <f t="shared" si="30"/>
        <v>0.29391093607997576</v>
      </c>
      <c r="E26" s="6">
        <f t="shared" si="30"/>
        <v>0.34398124022928611</v>
      </c>
      <c r="F26" s="6">
        <f t="shared" ref="F26:M26" si="31">+F15/F9</f>
        <v>0.34153100103914097</v>
      </c>
      <c r="G26" s="6">
        <f>+G15/G9</f>
        <v>0.36312285656647164</v>
      </c>
      <c r="H26" s="6">
        <f t="shared" si="31"/>
        <v>0.28923357664233579</v>
      </c>
      <c r="I26" s="6">
        <f t="shared" si="31"/>
        <v>0.27458681066928492</v>
      </c>
      <c r="J26" s="6">
        <f t="shared" si="31"/>
        <v>0.29712683952347585</v>
      </c>
      <c r="K26" s="6">
        <f t="shared" si="31"/>
        <v>0.30005591419712296</v>
      </c>
      <c r="L26" s="6">
        <f t="shared" si="31"/>
        <v>0.30013753756813205</v>
      </c>
      <c r="M26" s="6">
        <f t="shared" si="31"/>
        <v>0.2536994581075448</v>
      </c>
      <c r="N26" s="6">
        <f>+N15/N9</f>
        <v>0.24444660950896338</v>
      </c>
      <c r="R26" s="3"/>
      <c r="S26" s="3"/>
      <c r="T26" s="3"/>
      <c r="U26" s="3"/>
      <c r="V26" s="3"/>
      <c r="W26" s="6">
        <f>+W15/W9</f>
        <v>0.32794150858175247</v>
      </c>
      <c r="X26" s="6">
        <f>+X15/X9</f>
        <v>0.31540332105884805</v>
      </c>
      <c r="Y26" s="6">
        <f>+Y15/Y9</f>
        <v>0.30662539972003544</v>
      </c>
      <c r="Z26" s="6">
        <f t="shared" ref="Z26" si="32">+Z15/Z9</f>
        <v>0.27437234257946952</v>
      </c>
    </row>
    <row r="27" spans="2:27" x14ac:dyDescent="0.2">
      <c r="B27" s="1" t="s">
        <v>47</v>
      </c>
      <c r="C27" s="6">
        <f t="shared" ref="C27:L27" si="33">+C18/C17</f>
        <v>0.12464650859256036</v>
      </c>
      <c r="D27" s="6">
        <f t="shared" si="33"/>
        <v>0.10992335619201291</v>
      </c>
      <c r="E27" s="6">
        <f t="shared" si="33"/>
        <v>0.10606721955477957</v>
      </c>
      <c r="F27" s="6">
        <f>+F18/F17</f>
        <v>0.14229780986173987</v>
      </c>
      <c r="G27" s="6">
        <f t="shared" si="33"/>
        <v>0.14064344746162927</v>
      </c>
      <c r="H27" s="6">
        <f t="shared" si="33"/>
        <v>0.13963660834454913</v>
      </c>
      <c r="I27" s="6">
        <f t="shared" si="33"/>
        <v>0.15251196172248804</v>
      </c>
      <c r="J27" s="6">
        <f t="shared" si="33"/>
        <v>0.21631299734748011</v>
      </c>
      <c r="K27" s="6">
        <f t="shared" si="33"/>
        <v>8.9125102207686019E-2</v>
      </c>
      <c r="L27" s="6">
        <f t="shared" si="33"/>
        <v>0.11229683139057627</v>
      </c>
      <c r="M27" s="6">
        <f>+M18/M17</f>
        <v>5.3846153846153844E-3</v>
      </c>
      <c r="N27" s="10">
        <v>0.13</v>
      </c>
      <c r="R27" s="3"/>
      <c r="S27" s="3"/>
      <c r="T27" s="3"/>
      <c r="U27" s="3"/>
      <c r="V27" s="3"/>
      <c r="W27" s="6">
        <f>+W18/W17</f>
        <v>9.7439208091241666E-2</v>
      </c>
      <c r="X27" s="6">
        <f>+X18/X17</f>
        <v>0.12175882852635411</v>
      </c>
      <c r="Y27" s="6">
        <f>+Y18/Y17</f>
        <v>0.16533470485836366</v>
      </c>
      <c r="Z27" s="6">
        <f t="shared" ref="Z27" si="34">+Z18/Z17</f>
        <v>7.6685193698023318E-2</v>
      </c>
    </row>
    <row r="28" spans="2:27" x14ac:dyDescent="0.2">
      <c r="F28" s="3"/>
      <c r="G28" s="3"/>
      <c r="H28" s="3"/>
      <c r="I28" s="3"/>
      <c r="J28" s="3"/>
      <c r="K28" s="3"/>
      <c r="L28" s="3"/>
      <c r="M28" s="3"/>
      <c r="R28" s="3"/>
      <c r="S28" s="3"/>
      <c r="T28" s="3"/>
      <c r="U28" s="3"/>
      <c r="V28" s="3"/>
      <c r="W28" s="3"/>
      <c r="X28" s="3"/>
      <c r="Y28" s="3"/>
      <c r="Z28" s="3"/>
    </row>
    <row r="29" spans="2:27" x14ac:dyDescent="0.2">
      <c r="B29" s="1" t="s">
        <v>37</v>
      </c>
      <c r="F29" s="3"/>
      <c r="G29" s="6">
        <f t="shared" ref="G29" si="35">+G9/C9-1</f>
        <v>0.2345433036548159</v>
      </c>
      <c r="H29" s="6">
        <f>+H9/D9-1</f>
        <v>0.19527415934565284</v>
      </c>
      <c r="I29" s="6">
        <f t="shared" ref="I29" si="36">+I9/E9-1</f>
        <v>-4.4658676393955155E-2</v>
      </c>
      <c r="J29" s="6">
        <f t="shared" ref="J29:K29" si="37">+J9/F9-1</f>
        <v>-1.143055074471766E-2</v>
      </c>
      <c r="K29" s="6">
        <f t="shared" si="37"/>
        <v>-7.817228162194878E-3</v>
      </c>
      <c r="L29" s="6">
        <f t="shared" ref="L29:R29" si="38">+L9/H9-1</f>
        <v>-4.9168694241686905E-3</v>
      </c>
      <c r="M29" s="6">
        <f t="shared" si="38"/>
        <v>4.6855397370861196E-2</v>
      </c>
      <c r="N29" s="6">
        <f t="shared" si="38"/>
        <v>2.7530283311642867E-2</v>
      </c>
      <c r="O29" s="6">
        <f t="shared" si="38"/>
        <v>2.2591368881207607E-2</v>
      </c>
      <c r="P29" s="6">
        <f t="shared" si="38"/>
        <v>4.527475930925573E-2</v>
      </c>
      <c r="Q29" s="6">
        <f t="shared" si="38"/>
        <v>9.0568183409754033E-2</v>
      </c>
      <c r="R29" s="6">
        <f t="shared" si="38"/>
        <v>3.9983840000000104E-2</v>
      </c>
      <c r="S29" s="3"/>
      <c r="T29" s="3"/>
      <c r="U29" s="3"/>
      <c r="V29" s="3"/>
      <c r="W29" s="6"/>
      <c r="X29" s="6">
        <f>+X9/W9-1</f>
        <v>1.576614724480585E-2</v>
      </c>
      <c r="Y29" s="6">
        <f>+Y9/X9-1</f>
        <v>8.2012089210032668E-2</v>
      </c>
      <c r="Z29" s="6">
        <f t="shared" ref="Z29" si="39">+Z9/Y9-1</f>
        <v>1.4858669269395275E-2</v>
      </c>
      <c r="AA29" s="6">
        <f>+AA9/Z9-1</f>
        <v>4.9253412172504563E-2</v>
      </c>
    </row>
    <row r="30" spans="2:27" x14ac:dyDescent="0.2">
      <c r="B30" s="1" t="s">
        <v>38</v>
      </c>
      <c r="F30" s="3"/>
      <c r="G30" s="6">
        <f t="shared" ref="G30:I30" si="40">+G12/C12-1</f>
        <v>-1.7106842737094841E-2</v>
      </c>
      <c r="H30" s="6">
        <f t="shared" si="40"/>
        <v>-2.4432809773123898E-2</v>
      </c>
      <c r="I30" s="6">
        <f t="shared" si="40"/>
        <v>1.9950124688279391E-2</v>
      </c>
      <c r="J30" s="6">
        <f t="shared" ref="J30:M31" si="41">+J12/F12-1</f>
        <v>8.0082742316784916E-2</v>
      </c>
      <c r="K30" s="6">
        <f t="shared" si="41"/>
        <v>0.10625954198473275</v>
      </c>
      <c r="L30" s="6">
        <f t="shared" si="41"/>
        <v>0.10763267740011928</v>
      </c>
      <c r="M30" s="6">
        <f t="shared" si="41"/>
        <v>0.16228606356968212</v>
      </c>
      <c r="N30" s="6">
        <f>+N12/J12-1</f>
        <v>0.10779753761969912</v>
      </c>
      <c r="R30" s="3"/>
      <c r="S30" s="3"/>
      <c r="T30" s="3"/>
      <c r="U30" s="3"/>
      <c r="V30" s="3"/>
      <c r="W30" s="3"/>
      <c r="X30" s="6">
        <f>+X12/W12-1</f>
        <v>-1.3364837923650619E-2</v>
      </c>
      <c r="Y30" s="6">
        <f>+Y12/X12-1</f>
        <v>1.451878461308187E-2</v>
      </c>
      <c r="Z30" s="6">
        <f>+Z12/Y12-1</f>
        <v>0.12053703157273521</v>
      </c>
    </row>
    <row r="31" spans="2:27" x14ac:dyDescent="0.2">
      <c r="B31" s="1" t="s">
        <v>39</v>
      </c>
      <c r="F31" s="3"/>
      <c r="G31" s="6">
        <f t="shared" ref="G31:I31" si="42">+G13/C13-1</f>
        <v>5.2185257664709717E-3</v>
      </c>
      <c r="H31" s="6">
        <f t="shared" si="42"/>
        <v>-8.9364380113278741E-2</v>
      </c>
      <c r="I31" s="6">
        <f t="shared" si="42"/>
        <v>-3.432032301480481E-2</v>
      </c>
      <c r="J31" s="6">
        <f t="shared" si="41"/>
        <v>0.10364321608040195</v>
      </c>
      <c r="K31" s="6">
        <f t="shared" si="41"/>
        <v>-0.13822193380921477</v>
      </c>
      <c r="L31" s="6">
        <f t="shared" si="41"/>
        <v>0.10504492052522463</v>
      </c>
      <c r="M31" s="6">
        <f t="shared" si="41"/>
        <v>0.16655052264808368</v>
      </c>
      <c r="N31" s="6">
        <f>+N13/J13-1</f>
        <v>0.10529311326124069</v>
      </c>
      <c r="R31" s="3"/>
      <c r="S31" s="3"/>
      <c r="T31" s="3"/>
      <c r="U31" s="3"/>
      <c r="V31" s="3"/>
      <c r="W31" s="3"/>
      <c r="X31" s="6">
        <f>+X13/W13-1</f>
        <v>-8.633093525179858E-2</v>
      </c>
      <c r="Y31" s="6">
        <f>+Y13/X13-1</f>
        <v>-2.6771653543307128E-2</v>
      </c>
      <c r="Z31" s="6">
        <f t="shared" ref="Z31" si="43">+Z13/Y13-1</f>
        <v>5.8737864077669899E-2</v>
      </c>
    </row>
    <row r="32" spans="2:27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6" x14ac:dyDescent="0.2">
      <c r="B33" s="14" t="s">
        <v>45</v>
      </c>
      <c r="F33" s="10"/>
      <c r="G33" s="6">
        <f t="shared" ref="G33:J34" si="44">+G3/C3-1</f>
        <v>0.13848124854414157</v>
      </c>
      <c r="H33" s="6">
        <f t="shared" si="44"/>
        <v>7.4086641782603824E-2</v>
      </c>
      <c r="I33" s="6">
        <f t="shared" si="44"/>
        <v>1.4213616232361836E-2</v>
      </c>
      <c r="J33" s="6">
        <f t="shared" si="44"/>
        <v>9.280719280719274E-2</v>
      </c>
      <c r="K33" s="6">
        <f>+K3/G3-1</f>
        <v>8.4910485933503921E-2</v>
      </c>
      <c r="L33" s="6">
        <f>+L3/H3-1</f>
        <v>6.4553496208930028E-2</v>
      </c>
      <c r="M33" s="6">
        <f>+M3/I3-1</f>
        <v>-1.8584340408246192E-2</v>
      </c>
      <c r="N33" s="6">
        <f>+N3/J3-1</f>
        <v>-7.3681323704177681E-2</v>
      </c>
      <c r="O33" s="3"/>
      <c r="P33" s="3"/>
      <c r="Q33" s="3"/>
      <c r="R33" s="3"/>
      <c r="S33" s="3"/>
      <c r="T33" s="3"/>
      <c r="U33" s="3"/>
      <c r="V33" s="3"/>
      <c r="W33" s="3"/>
      <c r="X33" s="10"/>
      <c r="Y33" s="10">
        <f>+Y3/X3-1</f>
        <v>7.8366445916114857E-2</v>
      </c>
      <c r="Z33" s="10">
        <f>+Z3/Y3-1</f>
        <v>1.1333849264797635E-2</v>
      </c>
    </row>
    <row r="34" spans="2:26" x14ac:dyDescent="0.2">
      <c r="B34" s="14" t="s">
        <v>46</v>
      </c>
      <c r="F34" s="10"/>
      <c r="G34" s="6">
        <f t="shared" si="44"/>
        <v>0.42656058751529979</v>
      </c>
      <c r="H34" s="6">
        <f t="shared" si="44"/>
        <v>0.42825607064017657</v>
      </c>
      <c r="I34" s="6">
        <f t="shared" si="44"/>
        <v>-7.4886417045276543E-2</v>
      </c>
      <c r="J34" s="6">
        <f t="shared" si="44"/>
        <v>-0.15596839040621102</v>
      </c>
      <c r="K34" s="6">
        <f t="shared" ref="K34:N37" si="45">+K4/G4-1</f>
        <v>-0.20434720434720433</v>
      </c>
      <c r="L34" s="6">
        <f t="shared" si="45"/>
        <v>-9.3016720528312447E-2</v>
      </c>
      <c r="M34" s="6">
        <f t="shared" si="45"/>
        <v>0.10008467400508048</v>
      </c>
      <c r="N34" s="6">
        <f t="shared" si="45"/>
        <v>0.20006570302233895</v>
      </c>
      <c r="O34" s="3"/>
      <c r="P34" s="3"/>
      <c r="Q34" s="3"/>
      <c r="R34" s="3"/>
      <c r="S34" s="3"/>
      <c r="T34" s="3"/>
      <c r="U34" s="3"/>
      <c r="V34" s="3"/>
      <c r="W34" s="3"/>
      <c r="X34" s="10"/>
      <c r="Y34" s="10">
        <f t="shared" ref="Y34:Z37" si="46">+Y4/X4-1</f>
        <v>0.11166475022358502</v>
      </c>
      <c r="Z34" s="10">
        <f t="shared" si="46"/>
        <v>-1.0803355936099268E-2</v>
      </c>
    </row>
    <row r="35" spans="2:26" x14ac:dyDescent="0.2">
      <c r="B35" s="14" t="s">
        <v>52</v>
      </c>
      <c r="F35" s="10"/>
      <c r="G35" s="6">
        <f t="shared" ref="G35:J36" si="47">+G5/C5-1</f>
        <v>1.6085790884718509E-2</v>
      </c>
      <c r="H35" s="6">
        <f t="shared" si="47"/>
        <v>-0.31255265374894692</v>
      </c>
      <c r="I35" s="6">
        <f t="shared" si="47"/>
        <v>-0.2617504051863857</v>
      </c>
      <c r="J35" s="6">
        <f t="shared" si="47"/>
        <v>-4.31034482758621E-2</v>
      </c>
      <c r="K35" s="6">
        <f>+K5/G5-1</f>
        <v>0.13544415127528575</v>
      </c>
      <c r="L35" s="6">
        <f>+L5/H5-1</f>
        <v>0.60661764705882359</v>
      </c>
      <c r="M35" s="6">
        <f>+M5/I5-1</f>
        <v>0.50164654226125127</v>
      </c>
      <c r="N35" s="6">
        <f>+N5/J5-1</f>
        <v>0.27387387387387396</v>
      </c>
      <c r="O35" s="3"/>
      <c r="P35" s="3"/>
      <c r="Q35" s="3"/>
      <c r="R35" s="3"/>
      <c r="S35" s="3"/>
      <c r="T35" s="3"/>
      <c r="U35" s="3"/>
      <c r="V35" s="3"/>
      <c r="W35" s="3"/>
      <c r="X35" s="10"/>
      <c r="Y35" s="10">
        <f>+Y5/X5-1</f>
        <v>-0.15446808510638299</v>
      </c>
      <c r="Z35" s="10">
        <f>+Z5/Y5-1</f>
        <v>0.35480624056366383</v>
      </c>
    </row>
    <row r="36" spans="2:26" x14ac:dyDescent="0.2">
      <c r="B36" s="14" t="s">
        <v>53</v>
      </c>
      <c r="F36" s="10"/>
      <c r="G36" s="6">
        <f t="shared" si="47"/>
        <v>0.46229508196721314</v>
      </c>
      <c r="H36" s="6">
        <f t="shared" si="47"/>
        <v>0.76489361702127656</v>
      </c>
      <c r="I36" s="6">
        <f t="shared" si="47"/>
        <v>-0.10620155038759693</v>
      </c>
      <c r="J36" s="6">
        <f t="shared" si="47"/>
        <v>-7.3952341824157219E-3</v>
      </c>
      <c r="K36" s="6">
        <f t="shared" si="45"/>
        <v>-0.17264573991031396</v>
      </c>
      <c r="L36" s="6">
        <f t="shared" si="45"/>
        <v>-0.33815551537070521</v>
      </c>
      <c r="M36" s="6">
        <f t="shared" si="45"/>
        <v>-4.1630529054640042E-2</v>
      </c>
      <c r="N36" s="6">
        <f t="shared" si="45"/>
        <v>-0.17549668874172186</v>
      </c>
      <c r="O36" s="3"/>
      <c r="P36" s="3"/>
      <c r="Q36" s="3"/>
      <c r="R36" s="3"/>
      <c r="S36" s="3"/>
      <c r="T36" s="3"/>
      <c r="U36" s="3"/>
      <c r="V36" s="3"/>
      <c r="W36" s="3"/>
      <c r="X36" s="10"/>
      <c r="Y36" s="10">
        <f t="shared" si="46"/>
        <v>0.22833562585969736</v>
      </c>
      <c r="Z36" s="10">
        <f t="shared" si="46"/>
        <v>-0.19634191862635308</v>
      </c>
    </row>
    <row r="37" spans="2:26" x14ac:dyDescent="0.2">
      <c r="B37" s="14" t="s">
        <v>54</v>
      </c>
      <c r="F37" s="10"/>
      <c r="G37" s="6">
        <f t="shared" ref="G37:J37" si="48">+G7/C7-1</f>
        <v>8.5343228200370991E-2</v>
      </c>
      <c r="H37" s="6">
        <f t="shared" si="48"/>
        <v>0.15523465703971118</v>
      </c>
      <c r="I37" s="6">
        <f t="shared" si="48"/>
        <v>-9.9303135888501703E-2</v>
      </c>
      <c r="J37" s="6">
        <f t="shared" si="48"/>
        <v>3.9408866995073843E-2</v>
      </c>
      <c r="K37" s="6">
        <f>+K7/G7-1</f>
        <v>0.89059829059829054</v>
      </c>
      <c r="L37" s="6">
        <f t="shared" si="45"/>
        <v>2.8124999999999956E-2</v>
      </c>
      <c r="M37" s="6">
        <f t="shared" si="45"/>
        <v>8.1237911025145104E-2</v>
      </c>
      <c r="N37" s="6">
        <f t="shared" si="45"/>
        <v>7.2669826224328604E-2</v>
      </c>
      <c r="O37" s="3"/>
      <c r="P37" s="3"/>
      <c r="Q37" s="3"/>
      <c r="R37" s="3"/>
      <c r="S37" s="3"/>
      <c r="T37" s="3"/>
      <c r="U37" s="3"/>
      <c r="V37" s="3"/>
      <c r="W37" s="3"/>
      <c r="X37" s="10"/>
      <c r="Y37" s="10">
        <f t="shared" si="46"/>
        <v>4.3497363796133559E-2</v>
      </c>
      <c r="Z37" s="10">
        <f t="shared" si="46"/>
        <v>0.26400000000000001</v>
      </c>
    </row>
    <row r="38" spans="2:26" x14ac:dyDescent="0.2">
      <c r="F38" s="10"/>
      <c r="G38" s="3"/>
      <c r="H38" s="3"/>
      <c r="I38" s="3"/>
      <c r="J38" s="3"/>
      <c r="K38" s="3"/>
      <c r="L38" s="3"/>
      <c r="M38" s="6"/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6" s="11" customFormat="1" ht="15" x14ac:dyDescent="0.25">
      <c r="B39" s="11" t="s">
        <v>82</v>
      </c>
      <c r="G39" s="12"/>
      <c r="H39" s="12"/>
      <c r="I39" s="12"/>
      <c r="J39" s="8">
        <f>+J40-J50</f>
        <v>-5162</v>
      </c>
      <c r="K39" s="12"/>
      <c r="L39" s="12"/>
      <c r="M39" s="12"/>
      <c r="N39" s="8">
        <f>+N40-N50</f>
        <v>-2550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2:26" x14ac:dyDescent="0.2">
      <c r="B40" s="31" t="s">
        <v>19</v>
      </c>
      <c r="G40" s="3"/>
      <c r="H40" s="3"/>
      <c r="I40" s="3"/>
      <c r="J40" s="5">
        <f>5865+2292+15738+5152+2192</f>
        <v>31239</v>
      </c>
      <c r="K40" s="3"/>
      <c r="L40" s="3"/>
      <c r="M40" s="3"/>
      <c r="N40" s="5">
        <f>4827+2103+21483+6298+840</f>
        <v>35551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6" x14ac:dyDescent="0.2">
      <c r="B41" s="31" t="s">
        <v>83</v>
      </c>
      <c r="G41" s="3"/>
      <c r="H41" s="3"/>
      <c r="I41" s="3"/>
      <c r="J41" s="5">
        <v>6782</v>
      </c>
      <c r="K41" s="3"/>
      <c r="L41" s="3"/>
      <c r="M41" s="3"/>
      <c r="N41" s="5">
        <v>9457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6" x14ac:dyDescent="0.2">
      <c r="B42" s="31" t="s">
        <v>84</v>
      </c>
      <c r="G42" s="3"/>
      <c r="H42" s="3"/>
      <c r="I42" s="3"/>
      <c r="J42" s="5">
        <v>8427</v>
      </c>
      <c r="K42" s="3"/>
      <c r="L42" s="3"/>
      <c r="M42" s="3"/>
      <c r="N42" s="5">
        <f>1441+6656+2679</f>
        <v>10776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6" x14ac:dyDescent="0.2">
      <c r="B43" s="31" t="s">
        <v>85</v>
      </c>
      <c r="G43" s="3"/>
      <c r="H43" s="3"/>
      <c r="I43" s="3"/>
      <c r="J43" s="5">
        <v>5400</v>
      </c>
      <c r="K43" s="3"/>
      <c r="L43" s="3"/>
      <c r="M43" s="3"/>
      <c r="N43" s="5">
        <v>6942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6" x14ac:dyDescent="0.2">
      <c r="B44" s="31" t="s">
        <v>86</v>
      </c>
      <c r="G44" s="3"/>
      <c r="H44" s="3"/>
      <c r="I44" s="3"/>
      <c r="J44" s="5">
        <v>2745</v>
      </c>
      <c r="K44" s="3"/>
      <c r="L44" s="3"/>
      <c r="M44" s="3"/>
      <c r="N44" s="5">
        <v>2130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6" x14ac:dyDescent="0.2">
      <c r="B45" s="31" t="s">
        <v>88</v>
      </c>
      <c r="G45" s="3"/>
      <c r="H45" s="3"/>
      <c r="I45" s="3"/>
      <c r="J45" s="5">
        <v>56584</v>
      </c>
      <c r="K45" s="3"/>
      <c r="L45" s="3"/>
      <c r="M45" s="3"/>
      <c r="N45" s="5">
        <v>63245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6" x14ac:dyDescent="0.2">
      <c r="B46" s="31" t="s">
        <v>89</v>
      </c>
      <c r="G46" s="3"/>
      <c r="H46" s="3"/>
      <c r="I46" s="3"/>
      <c r="J46" s="5">
        <f>26971+9026</f>
        <v>35997</v>
      </c>
      <c r="K46" s="3"/>
      <c r="L46" s="3"/>
      <c r="M46" s="3"/>
      <c r="N46" s="5">
        <f>26963+7270</f>
        <v>34233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6" x14ac:dyDescent="0.2">
      <c r="B47" s="31" t="s">
        <v>90</v>
      </c>
      <c r="G47" s="3"/>
      <c r="H47" s="3"/>
      <c r="I47" s="3"/>
      <c r="J47" s="5">
        <v>5917</v>
      </c>
      <c r="K47" s="3"/>
      <c r="L47" s="3"/>
      <c r="M47" s="3"/>
      <c r="N47" s="5">
        <v>6072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6" x14ac:dyDescent="0.2">
      <c r="B48" s="31" t="s">
        <v>87</v>
      </c>
      <c r="G48" s="3"/>
      <c r="H48" s="3"/>
      <c r="I48" s="3"/>
      <c r="J48" s="2">
        <f>+SUM(J40:J47)</f>
        <v>153091</v>
      </c>
      <c r="K48" s="3"/>
      <c r="L48" s="3"/>
      <c r="M48" s="3"/>
      <c r="N48" s="2">
        <f>+SUM(N40:N47)</f>
        <v>168406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1" t="s">
        <v>20</v>
      </c>
      <c r="G50" s="3"/>
      <c r="H50" s="3"/>
      <c r="I50" s="3"/>
      <c r="J50" s="5">
        <f>2504+33897</f>
        <v>36401</v>
      </c>
      <c r="K50" s="3"/>
      <c r="L50" s="3"/>
      <c r="M50" s="3"/>
      <c r="N50" s="5">
        <f>4591+33510</f>
        <v>38101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1" t="s">
        <v>91</v>
      </c>
      <c r="G51" s="3"/>
      <c r="H51" s="3"/>
      <c r="I51" s="3"/>
      <c r="J51" s="5">
        <v>5581</v>
      </c>
      <c r="K51" s="3"/>
      <c r="L51" s="3"/>
      <c r="M51" s="3"/>
      <c r="N51" s="5">
        <v>5747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1" t="s">
        <v>92</v>
      </c>
      <c r="G52" s="3"/>
      <c r="H52" s="3"/>
      <c r="I52" s="3"/>
      <c r="J52" s="5">
        <v>3999</v>
      </c>
      <c r="K52" s="3"/>
      <c r="L52" s="3"/>
      <c r="M52" s="3"/>
      <c r="N52" s="5">
        <v>4535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1" t="s">
        <v>93</v>
      </c>
      <c r="G53" s="3"/>
      <c r="H53" s="3"/>
      <c r="I53" s="3"/>
      <c r="J53" s="5">
        <v>12670</v>
      </c>
      <c r="K53" s="3"/>
      <c r="L53" s="3"/>
      <c r="M53" s="3"/>
      <c r="N53" s="5">
        <v>12589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1" t="s">
        <v>94</v>
      </c>
      <c r="G54" s="3"/>
      <c r="H54" s="3"/>
      <c r="I54" s="3"/>
      <c r="J54" s="5">
        <v>1367</v>
      </c>
      <c r="K54" s="3"/>
      <c r="L54" s="3"/>
      <c r="M54" s="3"/>
      <c r="N54" s="5">
        <v>185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1" t="s">
        <v>95</v>
      </c>
      <c r="J55" s="2">
        <v>4578</v>
      </c>
      <c r="N55" s="2">
        <v>4305</v>
      </c>
    </row>
    <row r="56" spans="2:25" x14ac:dyDescent="0.2">
      <c r="B56" s="31" t="s">
        <v>96</v>
      </c>
      <c r="J56" s="2">
        <v>3843</v>
      </c>
      <c r="N56" s="2">
        <v>2667</v>
      </c>
    </row>
    <row r="57" spans="2:25" x14ac:dyDescent="0.2">
      <c r="B57" s="31" t="s">
        <v>97</v>
      </c>
      <c r="J57" s="2">
        <v>3614</v>
      </c>
      <c r="N57" s="2">
        <v>4886</v>
      </c>
    </row>
    <row r="58" spans="2:25" x14ac:dyDescent="0.2">
      <c r="B58" s="31" t="s">
        <v>98</v>
      </c>
      <c r="J58" s="2">
        <f>+SUM(J50:J57)</f>
        <v>72053</v>
      </c>
      <c r="N58" s="2">
        <f>+SUM(N50:N57)</f>
        <v>73015</v>
      </c>
    </row>
    <row r="59" spans="2:25" x14ac:dyDescent="0.2">
      <c r="J59" s="2"/>
      <c r="N59" s="2"/>
    </row>
    <row r="60" spans="2:25" s="11" customFormat="1" ht="15" x14ac:dyDescent="0.25">
      <c r="B60" s="11" t="s">
        <v>99</v>
      </c>
      <c r="C60" s="7">
        <f t="shared" ref="C60:M60" si="49">+C19</f>
        <v>4024</v>
      </c>
      <c r="D60" s="7">
        <f t="shared" si="49"/>
        <v>4413</v>
      </c>
      <c r="E60" s="7">
        <f t="shared" si="49"/>
        <v>6144</v>
      </c>
      <c r="F60" s="7">
        <f t="shared" si="49"/>
        <v>7010</v>
      </c>
      <c r="G60" s="7">
        <f t="shared" si="49"/>
        <v>5823</v>
      </c>
      <c r="H60" s="7">
        <f t="shared" si="49"/>
        <v>5114</v>
      </c>
      <c r="I60" s="7">
        <f t="shared" si="49"/>
        <v>4251</v>
      </c>
      <c r="J60" s="7">
        <f t="shared" si="49"/>
        <v>5909</v>
      </c>
      <c r="K60" s="7">
        <f t="shared" si="49"/>
        <v>5570</v>
      </c>
      <c r="L60" s="7">
        <f t="shared" si="49"/>
        <v>5407</v>
      </c>
      <c r="M60" s="7">
        <f t="shared" si="49"/>
        <v>6465</v>
      </c>
      <c r="N60" s="7">
        <f>+N19</f>
        <v>4652</v>
      </c>
    </row>
    <row r="61" spans="2:25" x14ac:dyDescent="0.2">
      <c r="B61" s="31" t="s">
        <v>100</v>
      </c>
      <c r="J61" s="2">
        <v>20899</v>
      </c>
      <c r="N61" s="2">
        <v>19868</v>
      </c>
    </row>
    <row r="62" spans="2:25" x14ac:dyDescent="0.2">
      <c r="B62" s="31" t="s">
        <v>101</v>
      </c>
      <c r="J62" s="2">
        <v>10482</v>
      </c>
      <c r="N62" s="2">
        <v>9953</v>
      </c>
    </row>
    <row r="63" spans="2:25" x14ac:dyDescent="0.2">
      <c r="B63" s="31" t="s">
        <v>102</v>
      </c>
      <c r="J63" s="2">
        <v>1854</v>
      </c>
      <c r="N63" s="2">
        <v>2036</v>
      </c>
    </row>
    <row r="64" spans="2:25" x14ac:dyDescent="0.2">
      <c r="B64" s="31" t="s">
        <v>103</v>
      </c>
      <c r="J64" s="2">
        <v>198</v>
      </c>
      <c r="N64" s="2">
        <v>2626</v>
      </c>
    </row>
    <row r="65" spans="2:14" x14ac:dyDescent="0.2">
      <c r="B65" s="31" t="s">
        <v>104</v>
      </c>
      <c r="J65" s="2">
        <v>1757</v>
      </c>
      <c r="N65" s="2">
        <v>1839</v>
      </c>
    </row>
    <row r="66" spans="2:14" x14ac:dyDescent="0.2">
      <c r="B66" s="31" t="s">
        <v>105</v>
      </c>
      <c r="J66" s="2">
        <v>-1757</v>
      </c>
      <c r="N66" s="2">
        <v>-1458</v>
      </c>
    </row>
    <row r="67" spans="2:14" x14ac:dyDescent="0.2">
      <c r="B67" s="31" t="s">
        <v>83</v>
      </c>
      <c r="J67" s="2">
        <v>883</v>
      </c>
      <c r="N67" s="2">
        <v>-2674</v>
      </c>
    </row>
    <row r="68" spans="2:14" x14ac:dyDescent="0.2">
      <c r="B68" s="31" t="s">
        <v>84</v>
      </c>
      <c r="J68" s="2">
        <v>-687</v>
      </c>
      <c r="N68" s="2">
        <v>-2339</v>
      </c>
    </row>
    <row r="69" spans="2:14" x14ac:dyDescent="0.2">
      <c r="B69" s="31" t="s">
        <v>91</v>
      </c>
      <c r="J69" s="2">
        <v>405</v>
      </c>
      <c r="N69" s="2">
        <v>1190</v>
      </c>
    </row>
    <row r="70" spans="2:14" x14ac:dyDescent="0.2">
      <c r="B70" s="31" t="s">
        <v>106</v>
      </c>
      <c r="J70" s="2">
        <v>348</v>
      </c>
      <c r="N70" s="2">
        <v>515</v>
      </c>
    </row>
    <row r="71" spans="2:14" x14ac:dyDescent="0.2">
      <c r="B71" s="31" t="s">
        <v>107</v>
      </c>
      <c r="J71" s="2">
        <v>-181</v>
      </c>
      <c r="N71" s="2">
        <v>-1583</v>
      </c>
    </row>
    <row r="72" spans="2:14" x14ac:dyDescent="0.2">
      <c r="B72" s="31" t="s">
        <v>108</v>
      </c>
      <c r="J72" s="2">
        <v>1620</v>
      </c>
      <c r="N72" s="2">
        <v>-441</v>
      </c>
    </row>
    <row r="73" spans="2:14" x14ac:dyDescent="0.2">
      <c r="B73" s="31" t="s">
        <v>109</v>
      </c>
      <c r="J73" s="32">
        <v>-437</v>
      </c>
      <c r="N73" s="32">
        <v>459</v>
      </c>
    </row>
    <row r="74" spans="2:14" s="11" customFormat="1" ht="15" x14ac:dyDescent="0.25">
      <c r="B74" s="11" t="s">
        <v>110</v>
      </c>
      <c r="J74" s="7">
        <f>+SUM(J61:J73)</f>
        <v>35384</v>
      </c>
      <c r="N74" s="7">
        <f>+SUM(N61:N73)</f>
        <v>29991</v>
      </c>
    </row>
    <row r="75" spans="2:14" s="11" customFormat="1" ht="15" x14ac:dyDescent="0.25">
      <c r="B75" s="11" t="s">
        <v>128</v>
      </c>
      <c r="J75" s="7">
        <f>+J74-J77</f>
        <v>49837</v>
      </c>
      <c r="N75" s="7">
        <f>+N74-N77</f>
        <v>50320</v>
      </c>
    </row>
    <row r="76" spans="2:14" x14ac:dyDescent="0.2">
      <c r="B76" s="31"/>
      <c r="J76" s="2"/>
      <c r="N76" s="2"/>
    </row>
    <row r="77" spans="2:14" s="31" customFormat="1" x14ac:dyDescent="0.2">
      <c r="B77" s="31" t="s">
        <v>111</v>
      </c>
      <c r="J77" s="32">
        <f>+-14259+-194</f>
        <v>-14453</v>
      </c>
      <c r="N77" s="32">
        <f>+-18733+-1596</f>
        <v>-20329</v>
      </c>
    </row>
    <row r="78" spans="2:14" x14ac:dyDescent="0.2">
      <c r="B78" s="31" t="s">
        <v>112</v>
      </c>
      <c r="J78" s="2">
        <v>-837</v>
      </c>
      <c r="N78" s="2">
        <v>-209</v>
      </c>
    </row>
    <row r="79" spans="2:14" x14ac:dyDescent="0.2">
      <c r="B79" s="31" t="s">
        <v>113</v>
      </c>
      <c r="J79" s="2">
        <v>-6862</v>
      </c>
      <c r="N79" s="2">
        <v>-5051</v>
      </c>
    </row>
    <row r="80" spans="2:14" x14ac:dyDescent="0.2">
      <c r="B80" s="31" t="s">
        <v>114</v>
      </c>
      <c r="J80" s="2">
        <v>6781</v>
      </c>
      <c r="N80" s="2">
        <v>6467</v>
      </c>
    </row>
    <row r="81" spans="2:14" x14ac:dyDescent="0.2">
      <c r="B81" s="31" t="s">
        <v>115</v>
      </c>
      <c r="J81" s="2">
        <v>-22377</v>
      </c>
      <c r="N81" s="2">
        <v>-35503</v>
      </c>
    </row>
    <row r="82" spans="2:14" x14ac:dyDescent="0.2">
      <c r="B82" s="31" t="s">
        <v>116</v>
      </c>
      <c r="J82" s="2">
        <v>15377</v>
      </c>
      <c r="N82" s="2">
        <v>28832</v>
      </c>
    </row>
    <row r="83" spans="2:14" x14ac:dyDescent="0.2">
      <c r="B83" s="31" t="s">
        <v>117</v>
      </c>
      <c r="J83" s="2">
        <v>-720</v>
      </c>
      <c r="N83" s="2">
        <v>-613</v>
      </c>
    </row>
    <row r="84" spans="2:14" x14ac:dyDescent="0.2">
      <c r="B84" s="31" t="s">
        <v>118</v>
      </c>
      <c r="J84" s="2">
        <v>910</v>
      </c>
      <c r="N84" s="2">
        <v>581</v>
      </c>
    </row>
    <row r="85" spans="2:14" x14ac:dyDescent="0.2">
      <c r="B85" s="31" t="s">
        <v>119</v>
      </c>
      <c r="J85" s="2">
        <v>1385</v>
      </c>
      <c r="N85" s="2">
        <v>658</v>
      </c>
    </row>
    <row r="86" spans="2:14" s="11" customFormat="1" ht="15" x14ac:dyDescent="0.25">
      <c r="B86" s="11" t="s">
        <v>120</v>
      </c>
      <c r="J86" s="7">
        <f>+SUM(J77:J85)</f>
        <v>-20796</v>
      </c>
      <c r="N86" s="7">
        <f>+SUM(N77:N85)</f>
        <v>-25167</v>
      </c>
    </row>
    <row r="87" spans="2:14" x14ac:dyDescent="0.2">
      <c r="J87" s="2"/>
      <c r="N87" s="2"/>
    </row>
    <row r="88" spans="2:14" x14ac:dyDescent="0.2">
      <c r="B88" s="31" t="s">
        <v>121</v>
      </c>
      <c r="J88" s="2">
        <v>10247</v>
      </c>
      <c r="N88" s="2">
        <v>4974</v>
      </c>
    </row>
    <row r="89" spans="2:14" x14ac:dyDescent="0.2">
      <c r="B89" s="31" t="s">
        <v>122</v>
      </c>
      <c r="J89" s="2">
        <v>-4525</v>
      </c>
      <c r="N89" s="2">
        <v>-2500</v>
      </c>
    </row>
    <row r="90" spans="2:14" x14ac:dyDescent="0.2">
      <c r="B90" s="31" t="s">
        <v>123</v>
      </c>
      <c r="J90" s="2">
        <v>897</v>
      </c>
      <c r="N90" s="2">
        <v>1020</v>
      </c>
    </row>
    <row r="91" spans="2:14" x14ac:dyDescent="0.2">
      <c r="B91" s="31" t="s">
        <v>124</v>
      </c>
      <c r="J91" s="2">
        <v>-14229</v>
      </c>
      <c r="N91" s="2">
        <v>-2415</v>
      </c>
    </row>
    <row r="92" spans="2:14" x14ac:dyDescent="0.2">
      <c r="B92" s="31" t="s">
        <v>125</v>
      </c>
      <c r="J92" s="2">
        <v>-5568</v>
      </c>
      <c r="N92" s="2">
        <v>-5644</v>
      </c>
    </row>
    <row r="93" spans="2:14" x14ac:dyDescent="0.2">
      <c r="B93" s="31" t="s">
        <v>109</v>
      </c>
      <c r="J93" s="2">
        <v>261</v>
      </c>
      <c r="N93" s="2">
        <v>-1297</v>
      </c>
    </row>
    <row r="94" spans="2:14" s="11" customFormat="1" ht="15" x14ac:dyDescent="0.25">
      <c r="B94" s="11" t="s">
        <v>126</v>
      </c>
      <c r="J94" s="7">
        <f>+SUM(J88:J93)</f>
        <v>-12917</v>
      </c>
      <c r="N94" s="7">
        <f>+SUM(N88:N93)</f>
        <v>-5862</v>
      </c>
    </row>
    <row r="95" spans="2:14" s="11" customFormat="1" ht="15" x14ac:dyDescent="0.25">
      <c r="B95" s="11" t="s">
        <v>127</v>
      </c>
      <c r="J95" s="7">
        <f>+J74+J86+J94</f>
        <v>1671</v>
      </c>
      <c r="N95" s="7">
        <f>+N74+N86+N94</f>
        <v>-1038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2021-12-22T15:57:48Z</dcterms:created>
  <dcterms:modified xsi:type="dcterms:W3CDTF">2022-10-21T18:06:55Z</dcterms:modified>
</cp:coreProperties>
</file>