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206A12EF-06C5-41AA-8905-0A3CF33B29A4}" xr6:coauthVersionLast="47" xr6:coauthVersionMax="47" xr10:uidLastSave="{00000000-0000-0000-0000-000000000000}"/>
  <bookViews>
    <workbookView xWindow="11955" yWindow="450" windowWidth="13590" windowHeight="14280" activeTab="1" xr2:uid="{B078EE3C-C88C-4DA4-878C-98B569C20B96}"/>
  </bookViews>
  <sheets>
    <sheet name="Main" sheetId="1" r:id="rId1"/>
    <sheet name="Model" sheetId="2" r:id="rId2"/>
    <sheet name="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K73" i="2"/>
  <c r="J73" i="2"/>
  <c r="I73" i="2"/>
  <c r="H73" i="2"/>
  <c r="G73" i="2"/>
  <c r="L73" i="2"/>
  <c r="O1" i="2" l="1"/>
  <c r="P1" i="2" s="1"/>
  <c r="Q1" i="2" s="1"/>
  <c r="R1" i="2" s="1"/>
  <c r="N1" i="2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P13" i="2"/>
  <c r="Q13" i="2" s="1"/>
  <c r="H41" i="2"/>
  <c r="G13" i="2"/>
  <c r="G41" i="2"/>
  <c r="H70" i="2"/>
  <c r="G70" i="2"/>
  <c r="G65" i="2"/>
  <c r="G67" i="2" s="1"/>
  <c r="G71" i="2" s="1"/>
  <c r="G64" i="2"/>
  <c r="G55" i="2"/>
  <c r="G54" i="2"/>
  <c r="H65" i="2"/>
  <c r="H67" i="2" s="1"/>
  <c r="H71" i="2" s="1"/>
  <c r="H64" i="2"/>
  <c r="H55" i="2"/>
  <c r="H54" i="2"/>
  <c r="R13" i="2" l="1"/>
  <c r="X13" i="2" s="1"/>
  <c r="H69" i="2"/>
  <c r="G69" i="2"/>
  <c r="X24" i="2" l="1"/>
  <c r="X19" i="2"/>
  <c r="X32" i="2" s="1"/>
  <c r="Y13" i="2"/>
  <c r="Z13" i="2" l="1"/>
  <c r="Y24" i="2"/>
  <c r="Y36" i="2"/>
  <c r="Y19" i="2"/>
  <c r="Y32" i="2" s="1"/>
  <c r="X25" i="2"/>
  <c r="X33" i="2"/>
  <c r="Y25" i="2" l="1"/>
  <c r="Y34" i="2" s="1"/>
  <c r="Y33" i="2"/>
  <c r="X34" i="2"/>
  <c r="X26" i="2"/>
  <c r="X28" i="2" s="1"/>
  <c r="AA13" i="2"/>
  <c r="Z36" i="2"/>
  <c r="Z24" i="2"/>
  <c r="Z19" i="2"/>
  <c r="Z32" i="2" s="1"/>
  <c r="L1" i="2"/>
  <c r="K1" i="2" s="1"/>
  <c r="J1" i="2" s="1"/>
  <c r="I1" i="2" s="1"/>
  <c r="H1" i="2" s="1"/>
  <c r="G1" i="2" s="1"/>
  <c r="F1" i="2" s="1"/>
  <c r="E1" i="2" s="1"/>
  <c r="D1" i="2" s="1"/>
  <c r="C1" i="2" s="1"/>
  <c r="G37" i="2"/>
  <c r="I38" i="2"/>
  <c r="H38" i="2"/>
  <c r="G38" i="2"/>
  <c r="I37" i="2"/>
  <c r="H37" i="2"/>
  <c r="F27" i="2"/>
  <c r="E23" i="2"/>
  <c r="E18" i="2"/>
  <c r="E13" i="2"/>
  <c r="E30" i="2" s="1"/>
  <c r="C23" i="2"/>
  <c r="C18" i="2"/>
  <c r="C13" i="2"/>
  <c r="C31" i="2" s="1"/>
  <c r="D18" i="2"/>
  <c r="D23" i="2"/>
  <c r="D13" i="2"/>
  <c r="D30" i="2" s="1"/>
  <c r="F25" i="2"/>
  <c r="F22" i="2"/>
  <c r="F21" i="2"/>
  <c r="F20" i="2"/>
  <c r="F17" i="2"/>
  <c r="F16" i="2"/>
  <c r="F15" i="2"/>
  <c r="F14" i="2"/>
  <c r="F12" i="2"/>
  <c r="F11" i="2"/>
  <c r="F10" i="2"/>
  <c r="F9" i="2"/>
  <c r="F8" i="2"/>
  <c r="F7" i="2"/>
  <c r="F6" i="2"/>
  <c r="F5" i="2"/>
  <c r="F4" i="2"/>
  <c r="F3" i="2"/>
  <c r="F70" i="2"/>
  <c r="I70" i="2"/>
  <c r="F41" i="2"/>
  <c r="F65" i="2"/>
  <c r="F67" i="2" s="1"/>
  <c r="F71" i="2" s="1"/>
  <c r="F64" i="2"/>
  <c r="F55" i="2"/>
  <c r="F54" i="2"/>
  <c r="I65" i="2"/>
  <c r="I67" i="2" s="1"/>
  <c r="I71" i="2" s="1"/>
  <c r="I64" i="2"/>
  <c r="I55" i="2"/>
  <c r="I54" i="2"/>
  <c r="I41" i="2"/>
  <c r="I23" i="2"/>
  <c r="I18" i="2"/>
  <c r="I13" i="2"/>
  <c r="J27" i="2"/>
  <c r="J25" i="2"/>
  <c r="J22" i="2"/>
  <c r="J21" i="2"/>
  <c r="J20" i="2"/>
  <c r="J17" i="2"/>
  <c r="J16" i="2"/>
  <c r="J15" i="2"/>
  <c r="J14" i="2"/>
  <c r="J12" i="2"/>
  <c r="J11" i="2"/>
  <c r="J10" i="2"/>
  <c r="J9" i="2"/>
  <c r="J8" i="2"/>
  <c r="J7" i="2"/>
  <c r="J6" i="2"/>
  <c r="J5" i="2"/>
  <c r="J4" i="2"/>
  <c r="J3" i="2"/>
  <c r="U41" i="2"/>
  <c r="V70" i="2"/>
  <c r="U70" i="2"/>
  <c r="U65" i="2"/>
  <c r="U67" i="2" s="1"/>
  <c r="U71" i="2" s="1"/>
  <c r="U64" i="2"/>
  <c r="U55" i="2"/>
  <c r="U54" i="2"/>
  <c r="V65" i="2"/>
  <c r="V67" i="2" s="1"/>
  <c r="V71" i="2" s="1"/>
  <c r="V64" i="2"/>
  <c r="V55" i="2"/>
  <c r="V54" i="2"/>
  <c r="V41" i="2"/>
  <c r="U38" i="2"/>
  <c r="V38" i="2"/>
  <c r="U37" i="2"/>
  <c r="V37" i="2"/>
  <c r="L37" i="2"/>
  <c r="T23" i="2"/>
  <c r="T18" i="2"/>
  <c r="T13" i="2"/>
  <c r="T30" i="2" s="1"/>
  <c r="U23" i="2"/>
  <c r="U18" i="2"/>
  <c r="U13" i="2"/>
  <c r="U30" i="2" s="1"/>
  <c r="V23" i="2"/>
  <c r="V18" i="2"/>
  <c r="V13" i="2"/>
  <c r="V30" i="2" s="1"/>
  <c r="K70" i="2"/>
  <c r="K65" i="2"/>
  <c r="K67" i="2" s="1"/>
  <c r="K71" i="2" s="1"/>
  <c r="K64" i="2"/>
  <c r="K55" i="2"/>
  <c r="K54" i="2"/>
  <c r="K41" i="2"/>
  <c r="K38" i="2"/>
  <c r="G23" i="2"/>
  <c r="G18" i="2"/>
  <c r="G30" i="2"/>
  <c r="K37" i="2"/>
  <c r="K23" i="2"/>
  <c r="K18" i="2"/>
  <c r="K13" i="2"/>
  <c r="C12" i="4"/>
  <c r="C13" i="4"/>
  <c r="C14" i="4"/>
  <c r="I30" i="2" l="1"/>
  <c r="M36" i="2"/>
  <c r="Z33" i="2"/>
  <c r="Z25" i="2"/>
  <c r="Z34" i="2" s="1"/>
  <c r="O36" i="2"/>
  <c r="Y26" i="2"/>
  <c r="Y28" i="2" s="1"/>
  <c r="Z26" i="2"/>
  <c r="Z28" i="2" s="1"/>
  <c r="AB13" i="2"/>
  <c r="AA19" i="2"/>
  <c r="AA32" i="2" s="1"/>
  <c r="AA36" i="2"/>
  <c r="AA24" i="2"/>
  <c r="I69" i="2"/>
  <c r="F69" i="2"/>
  <c r="J37" i="2"/>
  <c r="J38" i="2"/>
  <c r="G36" i="2"/>
  <c r="F18" i="2"/>
  <c r="V69" i="2"/>
  <c r="U69" i="2"/>
  <c r="I36" i="2"/>
  <c r="K31" i="2"/>
  <c r="K36" i="2"/>
  <c r="I31" i="2"/>
  <c r="T31" i="2"/>
  <c r="E31" i="2"/>
  <c r="E19" i="2"/>
  <c r="E32" i="2" s="1"/>
  <c r="F23" i="2"/>
  <c r="C30" i="2"/>
  <c r="C19" i="2"/>
  <c r="C32" i="2" s="1"/>
  <c r="F13" i="2"/>
  <c r="F31" i="2" s="1"/>
  <c r="D31" i="2"/>
  <c r="D19" i="2"/>
  <c r="V36" i="2"/>
  <c r="U36" i="2"/>
  <c r="I19" i="2"/>
  <c r="U31" i="2"/>
  <c r="K69" i="2"/>
  <c r="T19" i="2"/>
  <c r="U19" i="2"/>
  <c r="V31" i="2"/>
  <c r="V19" i="2"/>
  <c r="G31" i="2"/>
  <c r="K30" i="2"/>
  <c r="G19" i="2"/>
  <c r="K19" i="2"/>
  <c r="E14" i="4"/>
  <c r="E12" i="4"/>
  <c r="D14" i="4"/>
  <c r="D13" i="4"/>
  <c r="E13" i="4"/>
  <c r="D12" i="4"/>
  <c r="AA33" i="2" l="1"/>
  <c r="AA25" i="2"/>
  <c r="AC13" i="2"/>
  <c r="AB24" i="2"/>
  <c r="AB19" i="2"/>
  <c r="AB32" i="2" s="1"/>
  <c r="AB36" i="2"/>
  <c r="E24" i="2"/>
  <c r="E33" i="2" s="1"/>
  <c r="C24" i="2"/>
  <c r="C33" i="2" s="1"/>
  <c r="F30" i="2"/>
  <c r="D32" i="2"/>
  <c r="F19" i="2"/>
  <c r="F32" i="2" s="1"/>
  <c r="D24" i="2"/>
  <c r="I32" i="2"/>
  <c r="I24" i="2"/>
  <c r="U24" i="2"/>
  <c r="U32" i="2"/>
  <c r="T24" i="2"/>
  <c r="T32" i="2"/>
  <c r="V24" i="2"/>
  <c r="V32" i="2"/>
  <c r="K24" i="2"/>
  <c r="K32" i="2"/>
  <c r="G24" i="2"/>
  <c r="G32" i="2"/>
  <c r="AB25" i="2" l="1"/>
  <c r="AB33" i="2"/>
  <c r="AD13" i="2"/>
  <c r="AC24" i="2"/>
  <c r="AC19" i="2"/>
  <c r="AC32" i="2" s="1"/>
  <c r="AC36" i="2"/>
  <c r="AA34" i="2"/>
  <c r="AA26" i="2"/>
  <c r="AA28" i="2" s="1"/>
  <c r="E34" i="2"/>
  <c r="E26" i="2"/>
  <c r="E28" i="2" s="1"/>
  <c r="C34" i="2"/>
  <c r="C26" i="2"/>
  <c r="C28" i="2" s="1"/>
  <c r="D34" i="2"/>
  <c r="D33" i="2"/>
  <c r="F24" i="2"/>
  <c r="D26" i="2"/>
  <c r="I26" i="2"/>
  <c r="I28" i="2" s="1"/>
  <c r="I33" i="2"/>
  <c r="I34" i="2"/>
  <c r="T26" i="2"/>
  <c r="T28" i="2" s="1"/>
  <c r="T34" i="2"/>
  <c r="T33" i="2"/>
  <c r="U26" i="2"/>
  <c r="U28" i="2" s="1"/>
  <c r="U34" i="2"/>
  <c r="U33" i="2"/>
  <c r="V34" i="2"/>
  <c r="V33" i="2"/>
  <c r="V26" i="2"/>
  <c r="V28" i="2" s="1"/>
  <c r="K26" i="2"/>
  <c r="K28" i="2" s="1"/>
  <c r="K34" i="2"/>
  <c r="K33" i="2"/>
  <c r="G26" i="2"/>
  <c r="G28" i="2" s="1"/>
  <c r="G34" i="2"/>
  <c r="G33" i="2"/>
  <c r="AE13" i="2" l="1"/>
  <c r="AD36" i="2"/>
  <c r="AD24" i="2"/>
  <c r="AD19" i="2"/>
  <c r="AD32" i="2" s="1"/>
  <c r="AC25" i="2"/>
  <c r="AC34" i="2" s="1"/>
  <c r="AC33" i="2"/>
  <c r="AB26" i="2"/>
  <c r="AB28" i="2" s="1"/>
  <c r="AB34" i="2"/>
  <c r="D28" i="2"/>
  <c r="F26" i="2"/>
  <c r="F28" i="2" s="1"/>
  <c r="F33" i="2"/>
  <c r="F34" i="2"/>
  <c r="J70" i="2"/>
  <c r="L70" i="2"/>
  <c r="AC26" i="2" l="1"/>
  <c r="AC28" i="2" s="1"/>
  <c r="AD25" i="2"/>
  <c r="AD33" i="2"/>
  <c r="AF13" i="2"/>
  <c r="AE19" i="2"/>
  <c r="AE32" i="2" s="1"/>
  <c r="AE24" i="2"/>
  <c r="AE36" i="2"/>
  <c r="L41" i="2"/>
  <c r="J41" i="2"/>
  <c r="J65" i="2"/>
  <c r="J67" i="2" s="1"/>
  <c r="J71" i="2" s="1"/>
  <c r="J64" i="2"/>
  <c r="L65" i="2"/>
  <c r="L67" i="2" s="1"/>
  <c r="L71" i="2" s="1"/>
  <c r="L64" i="2"/>
  <c r="J55" i="2"/>
  <c r="J54" i="2"/>
  <c r="L54" i="2"/>
  <c r="L55" i="2"/>
  <c r="H13" i="2"/>
  <c r="H36" i="2" s="1"/>
  <c r="H18" i="2"/>
  <c r="J18" i="2" s="1"/>
  <c r="H23" i="2"/>
  <c r="J23" i="2" s="1"/>
  <c r="L38" i="2"/>
  <c r="L23" i="2"/>
  <c r="L18" i="2"/>
  <c r="L13" i="2"/>
  <c r="W13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I14" i="1"/>
  <c r="I13" i="1"/>
  <c r="I12" i="1"/>
  <c r="I15" i="1" s="1"/>
  <c r="J69" i="2" l="1"/>
  <c r="AE33" i="2"/>
  <c r="AE25" i="2"/>
  <c r="AD34" i="2"/>
  <c r="AD26" i="2"/>
  <c r="AD28" i="2" s="1"/>
  <c r="W19" i="2"/>
  <c r="W32" i="2" s="1"/>
  <c r="W24" i="2"/>
  <c r="W36" i="2"/>
  <c r="X36" i="2"/>
  <c r="AG13" i="2"/>
  <c r="AF36" i="2"/>
  <c r="AF24" i="2"/>
  <c r="AF19" i="2"/>
  <c r="AF32" i="2" s="1"/>
  <c r="H31" i="2"/>
  <c r="J13" i="2"/>
  <c r="L69" i="2"/>
  <c r="H19" i="2"/>
  <c r="J19" i="2" s="1"/>
  <c r="L19" i="2"/>
  <c r="L36" i="2"/>
  <c r="L30" i="2"/>
  <c r="L31" i="2"/>
  <c r="H30" i="2"/>
  <c r="W33" i="2" l="1"/>
  <c r="W25" i="2"/>
  <c r="W34" i="2" s="1"/>
  <c r="W26" i="2"/>
  <c r="W28" i="2" s="1"/>
  <c r="AE26" i="2"/>
  <c r="AE28" i="2" s="1"/>
  <c r="AE34" i="2"/>
  <c r="AF33" i="2"/>
  <c r="AF25" i="2"/>
  <c r="AF34" i="2" s="1"/>
  <c r="J36" i="2"/>
  <c r="N36" i="2"/>
  <c r="AH13" i="2"/>
  <c r="AG36" i="2"/>
  <c r="AG19" i="2"/>
  <c r="AG32" i="2" s="1"/>
  <c r="AG24" i="2"/>
  <c r="J32" i="2"/>
  <c r="J30" i="2"/>
  <c r="J31" i="2"/>
  <c r="H32" i="2"/>
  <c r="H24" i="2"/>
  <c r="L24" i="2"/>
  <c r="L34" i="2" s="1"/>
  <c r="L32" i="2"/>
  <c r="AI13" i="2" l="1"/>
  <c r="AH19" i="2"/>
  <c r="AH32" i="2" s="1"/>
  <c r="AH36" i="2"/>
  <c r="AH24" i="2"/>
  <c r="AG33" i="2"/>
  <c r="AG25" i="2"/>
  <c r="AF26" i="2"/>
  <c r="AF28" i="2" s="1"/>
  <c r="H34" i="2"/>
  <c r="J24" i="2"/>
  <c r="L33" i="2"/>
  <c r="L26" i="2"/>
  <c r="L28" i="2" s="1"/>
  <c r="H33" i="2"/>
  <c r="H26" i="2"/>
  <c r="AG34" i="2" l="1"/>
  <c r="AG26" i="2"/>
  <c r="AG28" i="2" s="1"/>
  <c r="AH25" i="2"/>
  <c r="AH34" i="2" s="1"/>
  <c r="AH33" i="2"/>
  <c r="AJ13" i="2"/>
  <c r="AI19" i="2"/>
  <c r="AI32" i="2" s="1"/>
  <c r="AI36" i="2"/>
  <c r="AI24" i="2"/>
  <c r="H28" i="2"/>
  <c r="J26" i="2"/>
  <c r="J28" i="2" s="1"/>
  <c r="J33" i="2"/>
  <c r="J34" i="2"/>
  <c r="AK13" i="2" l="1"/>
  <c r="AJ24" i="2"/>
  <c r="AJ36" i="2"/>
  <c r="AJ19" i="2"/>
  <c r="AJ32" i="2" s="1"/>
  <c r="AI25" i="2"/>
  <c r="AI33" i="2"/>
  <c r="AH26" i="2"/>
  <c r="AH28" i="2" s="1"/>
  <c r="AJ25" i="2" l="1"/>
  <c r="AJ33" i="2"/>
  <c r="AI26" i="2"/>
  <c r="AI28" i="2" s="1"/>
  <c r="AI34" i="2"/>
  <c r="AK36" i="2"/>
  <c r="AK24" i="2"/>
  <c r="AK19" i="2"/>
  <c r="AK32" i="2" s="1"/>
  <c r="AK25" i="2" l="1"/>
  <c r="AK33" i="2"/>
  <c r="AJ34" i="2"/>
  <c r="AJ26" i="2"/>
  <c r="AJ28" i="2" s="1"/>
  <c r="AK34" i="2" l="1"/>
  <c r="AK26" i="2"/>
  <c r="AL26" i="2" l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AK28" i="2"/>
  <c r="P46" i="2" l="1"/>
  <c r="P47" i="2" s="1"/>
  <c r="P48" i="2" s="1"/>
  <c r="P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D2" authorId="0" shapeId="0" xr:uid="{44E98E2A-520E-4DEC-B07B-DFA7819578D3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China Virus Struck!</t>
        </r>
      </text>
    </comment>
    <comment ref="B47" authorId="0" shapeId="0" xr:uid="{9952DCDD-767E-4332-9D6A-38B2ED842FB7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Avaiable for Sale!</t>
        </r>
      </text>
    </comment>
    <comment ref="B48" authorId="0" shapeId="0" xr:uid="{5DC49557-3B30-4F5D-BE45-D05EB73D5BFD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Held til Maturity</t>
        </r>
      </text>
    </comment>
  </commentList>
</comments>
</file>

<file path=xl/sharedStrings.xml><?xml version="1.0" encoding="utf-8"?>
<sst xmlns="http://schemas.openxmlformats.org/spreadsheetml/2006/main" count="133" uniqueCount="125">
  <si>
    <t>Price</t>
  </si>
  <si>
    <t>Shares</t>
  </si>
  <si>
    <t>MC</t>
  </si>
  <si>
    <t>Cash</t>
  </si>
  <si>
    <t>Debt</t>
  </si>
  <si>
    <t>EV</t>
  </si>
  <si>
    <t>Q222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</si>
  <si>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</si>
  <si>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</si>
  <si>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</si>
  <si>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</si>
  <si>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</si>
  <si>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</si>
  <si>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</si>
  <si>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</si>
  <si>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</si>
  <si>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</si>
  <si>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</si>
  <si>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Investment Banking Service</t>
  </si>
  <si>
    <t>Principal</t>
  </si>
  <si>
    <t>Lending</t>
  </si>
  <si>
    <t>Asset Management</t>
  </si>
  <si>
    <t>Investment Securities</t>
  </si>
  <si>
    <t>Mortgage Fees</t>
  </si>
  <si>
    <t>Card Income</t>
  </si>
  <si>
    <t>Other</t>
  </si>
  <si>
    <t>Interest Income</t>
  </si>
  <si>
    <t>Interest Expense</t>
  </si>
  <si>
    <t>Revenue</t>
  </si>
  <si>
    <t>Revenue Growth Y/Y</t>
  </si>
  <si>
    <t>Noninterest Margin %</t>
  </si>
  <si>
    <t>Interest Margin %</t>
  </si>
  <si>
    <t>Credit Loss</t>
  </si>
  <si>
    <t>Compensation</t>
  </si>
  <si>
    <t>Occupancy</t>
  </si>
  <si>
    <t>COGS</t>
  </si>
  <si>
    <t>Gross Profit</t>
  </si>
  <si>
    <t xml:space="preserve">Technology </t>
  </si>
  <si>
    <t>Professional Services</t>
  </si>
  <si>
    <t>Marketing</t>
  </si>
  <si>
    <t>Operating Expense</t>
  </si>
  <si>
    <t>Operating Income</t>
  </si>
  <si>
    <t>Gross Margin %</t>
  </si>
  <si>
    <t>Operating Margin %</t>
  </si>
  <si>
    <t>Taxes</t>
  </si>
  <si>
    <t>Net Income</t>
  </si>
  <si>
    <t>Noninterest Rev Growth Y/Y</t>
  </si>
  <si>
    <t>Interest Rev Growth Y/Y</t>
  </si>
  <si>
    <t>EPS</t>
  </si>
  <si>
    <t>Deposits</t>
  </si>
  <si>
    <t>Federal Funds Sold</t>
  </si>
  <si>
    <t>Borrowed Securites</t>
  </si>
  <si>
    <t>AFS Securites</t>
  </si>
  <si>
    <t>HTM Securities</t>
  </si>
  <si>
    <t>Loans</t>
  </si>
  <si>
    <t>A/R + Accured Inteest</t>
  </si>
  <si>
    <t>Intangibles</t>
  </si>
  <si>
    <t>OA</t>
  </si>
  <si>
    <t>Total Assets</t>
  </si>
  <si>
    <t>PP&amp;E</t>
  </si>
  <si>
    <t>Current Assets</t>
  </si>
  <si>
    <t>Trading Assets</t>
  </si>
  <si>
    <t>Federal Funds Purchased</t>
  </si>
  <si>
    <t>ST Borrowings</t>
  </si>
  <si>
    <t>Trading Liabilites</t>
  </si>
  <si>
    <t>A/P + OL</t>
  </si>
  <si>
    <t>VIEs</t>
  </si>
  <si>
    <t>Total Liabilties</t>
  </si>
  <si>
    <t>Current Liabilties</t>
  </si>
  <si>
    <t>LT Debt</t>
  </si>
  <si>
    <t>Equity</t>
  </si>
  <si>
    <t>L + S/E</t>
  </si>
  <si>
    <t>Net Cash</t>
  </si>
  <si>
    <t>Quick</t>
  </si>
  <si>
    <t>Debt2Equity</t>
  </si>
  <si>
    <t>Total Debt</t>
  </si>
  <si>
    <t>Tax Rate %</t>
  </si>
  <si>
    <t>Q420</t>
  </si>
  <si>
    <t>Q120</t>
  </si>
  <si>
    <t>Q320</t>
  </si>
  <si>
    <t>Q220</t>
  </si>
  <si>
    <t>Timeline</t>
  </si>
  <si>
    <t>Values</t>
  </si>
  <si>
    <t>Forecast</t>
  </si>
  <si>
    <t>Lower Confidence Bound</t>
  </si>
  <si>
    <t>Upper Confidence Bound</t>
  </si>
  <si>
    <t>GDP Y/Y</t>
  </si>
  <si>
    <t>NonInt</t>
  </si>
  <si>
    <t>Int</t>
  </si>
  <si>
    <t>Total Rev</t>
  </si>
  <si>
    <t>X</t>
  </si>
  <si>
    <t>Y1</t>
  </si>
  <si>
    <t>Y2</t>
  </si>
  <si>
    <t>T3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</si>
  <si>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</si>
  <si>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</si>
  <si>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</si>
  <si>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</si>
  <si>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</si>
  <si>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</si>
  <si>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</si>
  <si>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</si>
  <si>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</si>
  <si>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</si>
  <si>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</si>
  <si>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</si>
  <si>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</si>
  <si>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</si>
  <si>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</si>
  <si>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</si>
  <si>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</si>
  <si>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</si>
  <si>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</si>
  <si>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</si>
  <si>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</si>
  <si>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</si>
  <si>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</si>
  <si>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</si>
  <si>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</si>
  <si>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Maturity</t>
  </si>
  <si>
    <t>Discount</t>
  </si>
  <si>
    <t>NPV</t>
  </si>
  <si>
    <t>Curr</t>
  </si>
  <si>
    <t>per Share</t>
  </si>
  <si>
    <t>Federal Fund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</si>
</sst>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3" fontId="0" fillId="2" borderId="0" xfId="0" applyNumberFormat="1" applyFill="1"/>
    <xf numFmtId="3" fontId="1" fillId="2" borderId="0" xfId="0" applyNumberFormat="1" applyFont="1" applyFill="1"/>
    <xf numFmtId="0" fontId="1" fillId="2" borderId="0" xfId="0" applyFont="1" applyFill="1"/>
    <xf numFmtId="4" fontId="0" fillId="2" borderId="0" xfId="0" applyNumberFormat="1" applyFill="1"/>
    <xf numFmtId="0" fontId="4" fillId="2" borderId="0" xfId="0" applyFont="1" applyFill="1"/>
    <xf numFmtId="9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9" fontId="0" fillId="0" borderId="0" xfId="1" applyFont="1"/>
    <xf numFmtId="9" fontId="4" fillId="3" borderId="0" xfId="0" applyNumberFormat="1" applyFont="1" applyFill="1"/>
    <xf numFmtId="3" fontId="0" fillId="3" borderId="0" xfId="0" applyNumberFormat="1" applyFill="1"/>
    <xf numFmtId="3" fontId="0" fillId="4" borderId="0" xfId="0" applyNumberFormat="1" applyFill="1"/>
    <xf numFmtId="10" fontId="4" fillId="2" borderId="0" xfId="0" applyNumberFormat="1" applyFont="1" applyFill="1"/>
    <xf numFmtId="3" fontId="0" fillId="2" borderId="3" xfId="0" applyNumberFormat="1" applyFill="1" applyBorder="1"/>
    <xf numFmtId="164" fontId="0" fillId="2" borderId="4" xfId="1" applyNumberFormat="1" applyFont="1" applyFill="1" applyBorder="1"/>
    <xf numFmtId="3" fontId="0" fillId="2" borderId="5" xfId="0" applyNumberFormat="1" applyFill="1" applyBorder="1"/>
    <xf numFmtId="9" fontId="0" fillId="2" borderId="6" xfId="0" applyNumberFormat="1" applyFill="1" applyBorder="1"/>
    <xf numFmtId="3" fontId="0" fillId="2" borderId="6" xfId="0" applyNumberFormat="1" applyFill="1" applyBorder="1"/>
    <xf numFmtId="4" fontId="0" fillId="2" borderId="6" xfId="0" applyNumberFormat="1" applyFill="1" applyBorder="1"/>
    <xf numFmtId="3" fontId="0" fillId="2" borderId="7" xfId="0" applyNumberFormat="1" applyFill="1" applyBorder="1"/>
    <xf numFmtId="9" fontId="0" fillId="2" borderId="8" xfId="0" applyNumberFormat="1" applyFill="1" applyBorder="1"/>
  </cellXfs>
  <cellStyles count="2">
    <cellStyle name="Normal" xfId="0" builtinId="0"/>
    <cellStyle name="Percent" xfId="1" builtinId="5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Statistics!$B$2:$B$14</c:f>
              <c:numCache>
                <c:formatCode>#,##0</c:formatCode>
                <c:ptCount val="13"/>
                <c:pt idx="0">
                  <c:v>37730</c:v>
                </c:pt>
                <c:pt idx="1">
                  <c:v>33075</c:v>
                </c:pt>
                <c:pt idx="2">
                  <c:v>29255</c:v>
                </c:pt>
                <c:pt idx="3">
                  <c:v>19891</c:v>
                </c:pt>
                <c:pt idx="4">
                  <c:v>32266</c:v>
                </c:pt>
                <c:pt idx="5">
                  <c:v>30479</c:v>
                </c:pt>
                <c:pt idx="6">
                  <c:v>29647</c:v>
                </c:pt>
                <c:pt idx="7">
                  <c:v>29257</c:v>
                </c:pt>
                <c:pt idx="8">
                  <c:v>30717</c:v>
                </c:pt>
                <c:pt idx="9">
                  <c:v>30715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C-42A9-80E0-AD30789EE9A3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Statistics!$A$2:$A$14</c:f>
              <c:numCache>
                <c:formatCode>m/d/yyyy</c:formatCode>
                <c:ptCount val="13"/>
                <c:pt idx="0">
                  <c:v>44039</c:v>
                </c:pt>
                <c:pt idx="1">
                  <c:v>44129</c:v>
                </c:pt>
                <c:pt idx="2">
                  <c:v>44219</c:v>
                </c:pt>
                <c:pt idx="3">
                  <c:v>44309</c:v>
                </c:pt>
                <c:pt idx="4">
                  <c:v>44399</c:v>
                </c:pt>
                <c:pt idx="5">
                  <c:v>44489</c:v>
                </c:pt>
                <c:pt idx="6">
                  <c:v>44579</c:v>
                </c:pt>
                <c:pt idx="7">
                  <c:v>44669</c:v>
                </c:pt>
                <c:pt idx="8">
                  <c:v>44759</c:v>
                </c:pt>
                <c:pt idx="9">
                  <c:v>44849</c:v>
                </c:pt>
                <c:pt idx="10">
                  <c:v>44939</c:v>
                </c:pt>
                <c:pt idx="11">
                  <c:v>45029</c:v>
                </c:pt>
                <c:pt idx="12">
                  <c:v>45119</c:v>
                </c:pt>
              </c:numCache>
            </c:numRef>
          </c:cat>
          <c:val>
            <c:numRef>
              <c:f>Statistics!$C$2:$C$14</c:f>
              <c:numCache>
                <c:formatCode>General</c:formatCode>
                <c:ptCount val="13"/>
                <c:pt idx="9" formatCode="#,##0">
                  <c:v>30715</c:v>
                </c:pt>
                <c:pt idx="10" formatCode="#,##0">
                  <c:v>29758.711960756453</c:v>
                </c:pt>
                <c:pt idx="11" formatCode="#,##0">
                  <c:v>29433.24961589013</c:v>
                </c:pt>
                <c:pt idx="12" formatCode="#,##0">
                  <c:v>29107.787271023808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C-42A9-80E0-AD30789EE9A3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Statistics!$A$2:$A$14</c:f>
              <c:numCache>
                <c:formatCode>m/d/yyyy</c:formatCode>
                <c:ptCount val="13"/>
                <c:pt idx="0">
                  <c:v>44039</c:v>
                </c:pt>
                <c:pt idx="1">
                  <c:v>44129</c:v>
                </c:pt>
                <c:pt idx="2">
                  <c:v>44219</c:v>
                </c:pt>
                <c:pt idx="3">
                  <c:v>44309</c:v>
                </c:pt>
                <c:pt idx="4">
                  <c:v>44399</c:v>
                </c:pt>
                <c:pt idx="5">
                  <c:v>44489</c:v>
                </c:pt>
                <c:pt idx="6">
                  <c:v>44579</c:v>
                </c:pt>
                <c:pt idx="7">
                  <c:v>44669</c:v>
                </c:pt>
                <c:pt idx="8">
                  <c:v>44759</c:v>
                </c:pt>
                <c:pt idx="9">
                  <c:v>44849</c:v>
                </c:pt>
                <c:pt idx="10">
                  <c:v>44939</c:v>
                </c:pt>
                <c:pt idx="11">
                  <c:v>45029</c:v>
                </c:pt>
                <c:pt idx="12">
                  <c:v>45119</c:v>
                </c:pt>
              </c:numCache>
            </c:numRef>
          </c:cat>
          <c:val>
            <c:numRef>
              <c:f>Statistics!$D$2:$D$14</c:f>
              <c:numCache>
                <c:formatCode>General</c:formatCode>
                <c:ptCount val="13"/>
                <c:pt idx="9" formatCode="#,##0">
                  <c:v>30715</c:v>
                </c:pt>
                <c:pt idx="10" formatCode="#,##0">
                  <c:v>20019.335524731752</c:v>
                </c:pt>
                <c:pt idx="11" formatCode="#,##0">
                  <c:v>18539.936666559355</c:v>
                </c:pt>
                <c:pt idx="12" formatCode="#,##0">
                  <c:v>17167.593776727139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C-42A9-80E0-AD30789EE9A3}"/>
            </c:ext>
          </c:extLst>
        </c:ser>
        <c:ser>
          <c:idx val="3"/>
          <c:order val="3"/>
          <c:tx>
            <c:strRef>
              <c:f>Statistics!$E$1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Statistics!$A$2:$A$14</c:f>
              <c:numCache>
                <c:formatCode>m/d/yyyy</c:formatCode>
                <c:ptCount val="13"/>
                <c:pt idx="0">
                  <c:v>44039</c:v>
                </c:pt>
                <c:pt idx="1">
                  <c:v>44129</c:v>
                </c:pt>
                <c:pt idx="2">
                  <c:v>44219</c:v>
                </c:pt>
                <c:pt idx="3">
                  <c:v>44309</c:v>
                </c:pt>
                <c:pt idx="4">
                  <c:v>44399</c:v>
                </c:pt>
                <c:pt idx="5">
                  <c:v>44489</c:v>
                </c:pt>
                <c:pt idx="6">
                  <c:v>44579</c:v>
                </c:pt>
                <c:pt idx="7">
                  <c:v>44669</c:v>
                </c:pt>
                <c:pt idx="8">
                  <c:v>44759</c:v>
                </c:pt>
                <c:pt idx="9">
                  <c:v>44849</c:v>
                </c:pt>
                <c:pt idx="10">
                  <c:v>44939</c:v>
                </c:pt>
                <c:pt idx="11">
                  <c:v>45029</c:v>
                </c:pt>
                <c:pt idx="12">
                  <c:v>45119</c:v>
                </c:pt>
              </c:numCache>
            </c:numRef>
          </c:cat>
          <c:val>
            <c:numRef>
              <c:f>Statistics!$E$2:$E$14</c:f>
              <c:numCache>
                <c:formatCode>General</c:formatCode>
                <c:ptCount val="13"/>
                <c:pt idx="9" formatCode="#,##0">
                  <c:v>30715</c:v>
                </c:pt>
                <c:pt idx="10" formatCode="#,##0">
                  <c:v>39498.088396781153</c:v>
                </c:pt>
                <c:pt idx="11" formatCode="#,##0">
                  <c:v>40326.562565220906</c:v>
                </c:pt>
                <c:pt idx="12" formatCode="#,##0">
                  <c:v>41047.980765320477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C-42A9-80E0-AD30789E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980543"/>
        <c:axId val="1053981375"/>
      </c:lineChart>
      <c:catAx>
        <c:axId val="10539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1375"/>
        <c:crosses val="autoZero"/>
        <c:auto val="1"/>
        <c:lblAlgn val="ctr"/>
        <c:lblOffset val="100"/>
        <c:noMultiLvlLbl val="0"/>
      </c:catAx>
      <c:valAx>
        <c:axId val="10539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Statistics!$D$50:$D$55</c:f>
              <c:numCache>
                <c:formatCode>0%</c:formatCode>
                <c:ptCount val="6"/>
                <c:pt idx="0">
                  <c:v>2.5922884702821669E-2</c:v>
                </c:pt>
                <c:pt idx="1">
                  <c:v>0.16755355579510334</c:v>
                </c:pt>
                <c:pt idx="2">
                  <c:v>9.7630521339802767E-2</c:v>
                </c:pt>
                <c:pt idx="3">
                  <c:v>0.11757451264217322</c:v>
                </c:pt>
                <c:pt idx="4">
                  <c:v>0.10656520175444251</c:v>
                </c:pt>
                <c:pt idx="5">
                  <c:v>9.4188683951279328E-2</c:v>
                </c:pt>
              </c:numCache>
            </c:numRef>
          </c:xVal>
          <c:yVal>
            <c:numRef>
              <c:f>Statistics!$G$50:$G$55</c:f>
              <c:numCache>
                <c:formatCode>0%</c:formatCode>
                <c:ptCount val="6"/>
                <c:pt idx="0">
                  <c:v>-0.14481844685926315</c:v>
                </c:pt>
                <c:pt idx="1">
                  <c:v>-7.8488284202569925E-2</c:v>
                </c:pt>
                <c:pt idx="2">
                  <c:v>1.3399418902751759E-2</c:v>
                </c:pt>
                <c:pt idx="3">
                  <c:v>0.47086622090392649</c:v>
                </c:pt>
                <c:pt idx="4">
                  <c:v>-4.8007190231203145E-2</c:v>
                </c:pt>
                <c:pt idx="5">
                  <c:v>7.7430361888513044E-3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0-4C21-B3E5-3B58C073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26655"/>
        <c:axId val="1092127071"/>
      </c:scatterChart>
      <c:valAx>
        <c:axId val="10921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27071"/>
        <c:crosses val="autoZero"/>
        <c:crossBetween val="midCat"/>
      </c:valAx>
      <c:valAx>
        <c:axId val="1092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2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47625</xdr:rowOff>
    </xdr:from>
    <xdr:to>
      <xdr:col>12</xdr:col>
      <xdr:colOff>38100</xdr:colOff>
      <xdr:row>95</xdr:row>
      <xdr:rowOff>71437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D05BE92-F784-C4BB-5F04-824A2454C5C0}"/>
            </a:ext>
          </a:extLst>
        </xdr:cNvPr>
        <xdr:cNvCxnSpPr/>
      </xdr:nvCxnSpPr>
      <xdr:spPr>
        <a:xfrm>
          <a:off x="9586913" y="47625"/>
          <a:ext cx="0" cy="185023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42862</xdr:colOff>
      <xdr:row>0</xdr:row>
      <xdr:rowOff>128587</xdr:rowOff>
    </xdr:from>
    <xdr:to>
      <xdr:col>22</xdr:col>
      <xdr:colOff>42862</xdr:colOff>
      <xdr:row>94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20E81B-5FC8-3C8B-7DF8-2F5EE121FDFD}"/>
            </a:ext>
          </a:extLst>
        </xdr:cNvPr>
        <xdr:cNvCxnSpPr/>
      </xdr:nvCxnSpPr>
      <xdr:spPr>
        <a:xfrm>
          <a:off x="16787812" y="128587"/>
          <a:ext cx="0" cy="17321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69756</xdr:colOff>
      <xdr:row>16</xdr:row>
      <xdr:rowOff>5603</xdr:rowOff>
    </xdr:from>
    <xdr:to>
      <xdr:col>8</xdr:col>
      <xdr:colOff>65274</xdr:colOff>
      <xdr:row>32</xdr:row>
      <xdr:rowOff>43703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36789-2032-9ACF-E98F-8A1CF05D8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17</xdr:col>
      <xdr:colOff>457200</xdr:colOff>
      <xdr:row>53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5DE7F-F26C-46CB-8B6D-1EAA4E43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4B824-B5EB-4977-96C9-22084F33B452}" name="Table1" displayName="Table1" ref="A1:E14" totalsRowShown="0">
  <autoFilter ref="A1:E14" xr:uid="{AF34B824-B5EB-4977-96C9-22084F33B452}"/>
  <tableColumns count="5">
    <tableColumn id="1" xr3:uid="{7F3E57AF-036D-4648-A06C-10394BBF1D2B}" name="Timeline" dataDxfId="3"/>
    <tableColumn id="2" xr3:uid="{A4C13B6D-A201-4E29-84A2-B02B7362C1EF}" name="Values"/>
    <tableColumn id="3" xr3:uid="{3FE4BF35-3917-4341-8FC7-13281452919E}" name="Forecast" dataDxfId="2"/>
    <tableColumn id="4" xr3:uid="{ABC13EDD-7430-418D-98AA-C4A95C6C466B}" name="Lower Confidence Bound" dataDxfId="1"/>
    <tableColumn id="5" xr3:uid="{EC3064C6-66B2-4299-BFCC-5B10326F435D}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95E-D01C-4803-981A-A19A6CEF48A5}">
  <dimension ref="G10:J15"/>
  <sheetViews>
    <sheetView workbookViewId="0">
      <selection activeCell="D6" sqref="D6"/>
    </sheetView>
  </sheetViews>
  <sheetFormatPr defaultRowHeight="14.25" x14ac:dyDescent="0.2"/>
  <cols>
    <col min="7" max="7" width="9" style="1"/>
  </cols>
  <sheetData>
    <row r="10" spans="8:10" x14ac:dyDescent="0.2">
      <c r="H10" t="s">
        <v>0</v>
      </c>
      <c r="I10">
        <v>122.7</v>
      </c>
      <c r="J10" s="1"/>
    </row>
    <row r="11" spans="8:10" x14ac:dyDescent="0.2">
      <c r="H11" t="s">
        <v>1</v>
      </c>
      <c r="I11" s="2">
        <v>2932.5723899999998</v>
      </c>
      <c r="J11" s="1" t="s">
        <v>6</v>
      </c>
    </row>
    <row r="12" spans="8:10" x14ac:dyDescent="0.2">
      <c r="H12" t="s">
        <v>2</v>
      </c>
      <c r="I12" s="2">
        <f>+I10*I11</f>
        <v>359826.63225299999</v>
      </c>
      <c r="J12" s="1"/>
    </row>
    <row r="13" spans="8:10" x14ac:dyDescent="0.2">
      <c r="H13" t="s">
        <v>3</v>
      </c>
      <c r="I13" s="2">
        <f>27215+222069</f>
        <v>249284</v>
      </c>
      <c r="J13" s="1" t="s">
        <v>6</v>
      </c>
    </row>
    <row r="14" spans="8:10" x14ac:dyDescent="0.2">
      <c r="H14" t="s">
        <v>4</v>
      </c>
      <c r="I14" s="2">
        <f>58422+288212</f>
        <v>346634</v>
      </c>
      <c r="J14" s="1" t="s">
        <v>6</v>
      </c>
    </row>
    <row r="15" spans="8:10" x14ac:dyDescent="0.2">
      <c r="H15" t="s">
        <v>5</v>
      </c>
      <c r="I15" s="2">
        <f>+I12-I13+I14</f>
        <v>457176.63225299999</v>
      </c>
      <c r="J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5F48-D99C-4E23-B5C5-C1D0EDA01E8F}">
  <dimension ref="B1:DU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RowHeight="14.25" x14ac:dyDescent="0.2"/>
  <cols>
    <col min="1" max="1" width="9" style="5"/>
    <col min="2" max="2" width="23.75" style="5" bestFit="1" customWidth="1"/>
    <col min="3" max="3" width="8.875" style="5" bestFit="1" customWidth="1"/>
    <col min="4" max="4" width="9.875" style="5" bestFit="1" customWidth="1"/>
    <col min="5" max="5" width="8.875" style="5" bestFit="1" customWidth="1"/>
    <col min="6" max="6" width="8.625" style="5" customWidth="1"/>
    <col min="7" max="7" width="9" style="5"/>
    <col min="8" max="8" width="9.875" style="5" bestFit="1" customWidth="1"/>
    <col min="9" max="11" width="9" style="5"/>
    <col min="12" max="15" width="9.875" style="5" bestFit="1" customWidth="1"/>
    <col min="16" max="16" width="9.625" style="5" customWidth="1"/>
    <col min="17" max="18" width="9.875" style="5" bestFit="1" customWidth="1"/>
    <col min="19" max="58" width="9" style="5"/>
    <col min="59" max="59" width="12.25" style="5" bestFit="1" customWidth="1"/>
    <col min="60" max="16384" width="9" style="5"/>
  </cols>
  <sheetData>
    <row r="1" spans="2:37" x14ac:dyDescent="0.2">
      <c r="C1" s="6">
        <f t="shared" ref="C1:L1" si="0">+D1-90</f>
        <v>44039</v>
      </c>
      <c r="D1" s="6">
        <f t="shared" si="0"/>
        <v>44129</v>
      </c>
      <c r="E1" s="6">
        <f t="shared" si="0"/>
        <v>44219</v>
      </c>
      <c r="F1" s="6">
        <f t="shared" si="0"/>
        <v>44309</v>
      </c>
      <c r="G1" s="6">
        <f t="shared" si="0"/>
        <v>44399</v>
      </c>
      <c r="H1" s="6">
        <f t="shared" si="0"/>
        <v>44489</v>
      </c>
      <c r="I1" s="6">
        <f t="shared" si="0"/>
        <v>44579</v>
      </c>
      <c r="J1" s="6">
        <f t="shared" si="0"/>
        <v>44669</v>
      </c>
      <c r="K1" s="6">
        <f t="shared" si="0"/>
        <v>44759</v>
      </c>
      <c r="L1" s="6">
        <f>+M1-90</f>
        <v>44849</v>
      </c>
      <c r="M1" s="6">
        <v>44939</v>
      </c>
      <c r="N1" s="6">
        <f>+M1+90</f>
        <v>45029</v>
      </c>
      <c r="O1" s="6">
        <f t="shared" ref="O1:R1" si="1">+N1+90</f>
        <v>45119</v>
      </c>
      <c r="P1" s="6">
        <f t="shared" si="1"/>
        <v>45209</v>
      </c>
      <c r="Q1" s="6">
        <f>+P1+90</f>
        <v>45299</v>
      </c>
      <c r="R1" s="6">
        <f t="shared" si="1"/>
        <v>45389</v>
      </c>
    </row>
    <row r="2" spans="2:37" x14ac:dyDescent="0.2">
      <c r="C2" s="5" t="s">
        <v>78</v>
      </c>
      <c r="D2" s="5" t="s">
        <v>80</v>
      </c>
      <c r="E2" s="5" t="s">
        <v>79</v>
      </c>
      <c r="F2" s="5" t="s">
        <v>77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6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T2" s="5">
        <v>2019</v>
      </c>
      <c r="U2" s="5">
        <f>+T2+1</f>
        <v>2020</v>
      </c>
      <c r="V2" s="5">
        <f t="shared" ref="V2:AK2" si="2">+U2+1</f>
        <v>2021</v>
      </c>
      <c r="W2" s="5">
        <f t="shared" si="2"/>
        <v>2022</v>
      </c>
      <c r="X2" s="5">
        <f t="shared" si="2"/>
        <v>2023</v>
      </c>
      <c r="Y2" s="5">
        <f t="shared" si="2"/>
        <v>2024</v>
      </c>
      <c r="Z2" s="5">
        <f t="shared" si="2"/>
        <v>2025</v>
      </c>
      <c r="AA2" s="5">
        <f t="shared" si="2"/>
        <v>2026</v>
      </c>
      <c r="AB2" s="5">
        <f t="shared" si="2"/>
        <v>2027</v>
      </c>
      <c r="AC2" s="5">
        <f t="shared" si="2"/>
        <v>2028</v>
      </c>
      <c r="AD2" s="5">
        <f t="shared" si="2"/>
        <v>2029</v>
      </c>
      <c r="AE2" s="5">
        <f t="shared" si="2"/>
        <v>2030</v>
      </c>
      <c r="AF2" s="5">
        <f t="shared" si="2"/>
        <v>2031</v>
      </c>
      <c r="AG2" s="5">
        <f t="shared" si="2"/>
        <v>2032</v>
      </c>
      <c r="AH2" s="5">
        <f t="shared" si="2"/>
        <v>2033</v>
      </c>
      <c r="AI2" s="5">
        <f t="shared" si="2"/>
        <v>2034</v>
      </c>
      <c r="AJ2" s="5">
        <f t="shared" si="2"/>
        <v>2035</v>
      </c>
      <c r="AK2" s="5">
        <f t="shared" si="2"/>
        <v>2036</v>
      </c>
    </row>
    <row r="3" spans="2:37" s="7" customFormat="1" x14ac:dyDescent="0.2">
      <c r="B3" s="7" t="s">
        <v>18</v>
      </c>
      <c r="C3" s="7">
        <v>1866</v>
      </c>
      <c r="D3" s="7">
        <v>2850</v>
      </c>
      <c r="E3" s="7">
        <v>2187</v>
      </c>
      <c r="F3" s="7">
        <f>+U3-SUM(C3:E3)</f>
        <v>2583</v>
      </c>
      <c r="G3" s="7">
        <v>2970</v>
      </c>
      <c r="H3" s="7">
        <v>3470</v>
      </c>
      <c r="I3" s="7">
        <v>3282</v>
      </c>
      <c r="J3" s="7">
        <f>+V3-SUM(G3:I3)</f>
        <v>3494</v>
      </c>
      <c r="K3" s="7">
        <v>2008</v>
      </c>
      <c r="L3" s="7">
        <v>1586</v>
      </c>
      <c r="T3" s="7">
        <v>7501</v>
      </c>
      <c r="U3" s="7">
        <v>9486</v>
      </c>
      <c r="V3" s="7">
        <v>13216</v>
      </c>
    </row>
    <row r="4" spans="2:37" s="7" customFormat="1" x14ac:dyDescent="0.2">
      <c r="B4" s="7" t="s">
        <v>19</v>
      </c>
      <c r="C4" s="7">
        <v>2937</v>
      </c>
      <c r="D4" s="7">
        <v>7621</v>
      </c>
      <c r="E4" s="7">
        <v>4142</v>
      </c>
      <c r="F4" s="7">
        <f t="shared" ref="F4:F26" si="3">+U4-SUM(C4:E4)</f>
        <v>3321</v>
      </c>
      <c r="G4" s="7">
        <v>6500</v>
      </c>
      <c r="H4" s="7">
        <v>4076</v>
      </c>
      <c r="I4" s="7">
        <v>3546</v>
      </c>
      <c r="J4" s="7">
        <f t="shared" ref="J4:J26" si="4">+V4-SUM(G4:I4)</f>
        <v>2182</v>
      </c>
      <c r="K4" s="7">
        <v>5105</v>
      </c>
      <c r="L4" s="7">
        <v>4990</v>
      </c>
      <c r="T4" s="7">
        <v>14018</v>
      </c>
      <c r="U4" s="7">
        <v>18021</v>
      </c>
      <c r="V4" s="7">
        <v>16304</v>
      </c>
    </row>
    <row r="5" spans="2:37" s="7" customFormat="1" x14ac:dyDescent="0.2">
      <c r="B5" s="7" t="s">
        <v>20</v>
      </c>
      <c r="C5" s="7">
        <v>1706</v>
      </c>
      <c r="D5" s="7">
        <v>1431</v>
      </c>
      <c r="E5" s="7">
        <v>1647</v>
      </c>
      <c r="F5" s="7">
        <f t="shared" si="3"/>
        <v>1727</v>
      </c>
      <c r="G5" s="7">
        <v>1687</v>
      </c>
      <c r="H5" s="7">
        <v>1760</v>
      </c>
      <c r="I5" s="7">
        <v>1801</v>
      </c>
      <c r="J5" s="7">
        <f t="shared" si="4"/>
        <v>1784</v>
      </c>
      <c r="K5" s="7">
        <v>1839</v>
      </c>
      <c r="L5" s="7">
        <v>1873</v>
      </c>
      <c r="T5" s="7">
        <v>6626</v>
      </c>
      <c r="U5" s="7">
        <v>6511</v>
      </c>
      <c r="V5" s="7">
        <v>7032</v>
      </c>
    </row>
    <row r="6" spans="2:37" s="7" customFormat="1" x14ac:dyDescent="0.2">
      <c r="B6" s="7" t="s">
        <v>21</v>
      </c>
      <c r="C6" s="7">
        <v>4540</v>
      </c>
      <c r="D6" s="7">
        <v>4266</v>
      </c>
      <c r="E6" s="7">
        <v>4470</v>
      </c>
      <c r="F6" s="7">
        <f t="shared" si="3"/>
        <v>4901</v>
      </c>
      <c r="G6" s="7">
        <v>5029</v>
      </c>
      <c r="H6" s="7">
        <v>5194</v>
      </c>
      <c r="I6" s="7">
        <v>5257</v>
      </c>
      <c r="J6" s="7">
        <f t="shared" si="4"/>
        <v>5549</v>
      </c>
      <c r="K6" s="7">
        <v>5362</v>
      </c>
      <c r="L6" s="7">
        <v>5240</v>
      </c>
      <c r="T6" s="7">
        <v>16908</v>
      </c>
      <c r="U6" s="7">
        <v>18177</v>
      </c>
      <c r="V6" s="7">
        <v>21029</v>
      </c>
    </row>
    <row r="7" spans="2:37" s="7" customFormat="1" x14ac:dyDescent="0.2">
      <c r="B7" s="7" t="s">
        <v>22</v>
      </c>
      <c r="C7" s="7">
        <v>233</v>
      </c>
      <c r="D7" s="7">
        <v>26</v>
      </c>
      <c r="E7" s="7">
        <v>473</v>
      </c>
      <c r="F7" s="7">
        <f t="shared" si="3"/>
        <v>70</v>
      </c>
      <c r="G7" s="7">
        <v>14</v>
      </c>
      <c r="H7" s="7">
        <v>-155</v>
      </c>
      <c r="I7" s="7">
        <v>-256</v>
      </c>
      <c r="J7" s="7">
        <f t="shared" si="4"/>
        <v>52</v>
      </c>
      <c r="K7" s="7">
        <v>-394</v>
      </c>
      <c r="L7" s="7">
        <v>-153</v>
      </c>
      <c r="T7" s="7">
        <v>258</v>
      </c>
      <c r="U7" s="7">
        <v>802</v>
      </c>
      <c r="V7" s="7">
        <v>-345</v>
      </c>
    </row>
    <row r="8" spans="2:37" s="7" customFormat="1" x14ac:dyDescent="0.2">
      <c r="B8" s="7" t="s">
        <v>23</v>
      </c>
      <c r="C8" s="7">
        <v>320</v>
      </c>
      <c r="D8" s="7">
        <v>917</v>
      </c>
      <c r="E8" s="7">
        <v>1087</v>
      </c>
      <c r="F8" s="7">
        <f t="shared" si="3"/>
        <v>767</v>
      </c>
      <c r="G8" s="7">
        <v>704</v>
      </c>
      <c r="H8" s="7">
        <v>551</v>
      </c>
      <c r="I8" s="7">
        <v>600</v>
      </c>
      <c r="J8" s="7">
        <f t="shared" si="4"/>
        <v>315</v>
      </c>
      <c r="K8" s="7">
        <v>460</v>
      </c>
      <c r="L8" s="7">
        <v>378</v>
      </c>
      <c r="T8" s="7">
        <v>2036</v>
      </c>
      <c r="U8" s="7">
        <v>3091</v>
      </c>
      <c r="V8" s="7">
        <v>2170</v>
      </c>
    </row>
    <row r="9" spans="2:37" s="7" customFormat="1" x14ac:dyDescent="0.2">
      <c r="B9" s="7" t="s">
        <v>24</v>
      </c>
      <c r="C9" s="7">
        <v>995</v>
      </c>
      <c r="D9" s="7">
        <v>974</v>
      </c>
      <c r="E9" s="7">
        <v>1169</v>
      </c>
      <c r="F9" s="7">
        <f t="shared" si="3"/>
        <v>1297</v>
      </c>
      <c r="G9" s="7">
        <v>1350</v>
      </c>
      <c r="H9" s="7">
        <v>1647</v>
      </c>
      <c r="I9" s="7">
        <v>1005</v>
      </c>
      <c r="J9" s="7">
        <f t="shared" si="4"/>
        <v>1100</v>
      </c>
      <c r="K9" s="7">
        <v>975</v>
      </c>
      <c r="L9" s="7">
        <v>1133</v>
      </c>
      <c r="T9" s="7">
        <v>5076</v>
      </c>
      <c r="U9" s="7">
        <v>4435</v>
      </c>
      <c r="V9" s="7">
        <v>5102</v>
      </c>
    </row>
    <row r="10" spans="2:37" s="7" customFormat="1" x14ac:dyDescent="0.2">
      <c r="B10" s="7" t="s">
        <v>25</v>
      </c>
      <c r="C10" s="7">
        <v>1250</v>
      </c>
      <c r="D10" s="7">
        <v>1137</v>
      </c>
      <c r="E10" s="7">
        <v>1067</v>
      </c>
      <c r="F10" s="7">
        <f t="shared" si="3"/>
        <v>1411</v>
      </c>
      <c r="G10" s="7">
        <v>1123</v>
      </c>
      <c r="H10" s="7">
        <v>1195</v>
      </c>
      <c r="I10" s="7">
        <v>1332</v>
      </c>
      <c r="J10" s="7">
        <f t="shared" si="4"/>
        <v>1180</v>
      </c>
      <c r="K10" s="7">
        <v>1490</v>
      </c>
      <c r="L10" s="7">
        <v>540</v>
      </c>
      <c r="T10" s="7">
        <v>6052</v>
      </c>
      <c r="U10" s="7">
        <v>4865</v>
      </c>
      <c r="V10" s="7">
        <v>4830</v>
      </c>
    </row>
    <row r="11" spans="2:37" s="7" customFormat="1" x14ac:dyDescent="0.2">
      <c r="B11" s="7" t="s">
        <v>26</v>
      </c>
      <c r="C11" s="7">
        <v>19161</v>
      </c>
      <c r="D11" s="7">
        <v>16112</v>
      </c>
      <c r="E11" s="7">
        <v>14700</v>
      </c>
      <c r="F11" s="7">
        <f t="shared" si="3"/>
        <v>14550</v>
      </c>
      <c r="G11" s="7">
        <v>14271</v>
      </c>
      <c r="H11" s="7">
        <v>14094</v>
      </c>
      <c r="I11" s="7">
        <v>14480</v>
      </c>
      <c r="J11" s="7">
        <f t="shared" si="4"/>
        <v>15019</v>
      </c>
      <c r="K11" s="7">
        <v>15496</v>
      </c>
      <c r="L11" s="7">
        <v>18646</v>
      </c>
      <c r="T11" s="7">
        <v>84040</v>
      </c>
      <c r="U11" s="7">
        <v>64523</v>
      </c>
      <c r="V11" s="7">
        <v>57864</v>
      </c>
    </row>
    <row r="12" spans="2:37" s="7" customFormat="1" x14ac:dyDescent="0.2">
      <c r="B12" s="7" t="s">
        <v>27</v>
      </c>
      <c r="C12" s="7">
        <v>4722</v>
      </c>
      <c r="D12" s="7">
        <v>-2259</v>
      </c>
      <c r="E12" s="7">
        <v>-1687</v>
      </c>
      <c r="F12" s="20">
        <f t="shared" si="3"/>
        <v>-10736</v>
      </c>
      <c r="G12" s="7">
        <v>-1382</v>
      </c>
      <c r="H12" s="7">
        <v>-1353</v>
      </c>
      <c r="I12" s="7">
        <v>-1400</v>
      </c>
      <c r="J12" s="7">
        <f t="shared" si="4"/>
        <v>-1418</v>
      </c>
      <c r="K12" s="7">
        <v>-1624</v>
      </c>
      <c r="L12" s="7">
        <v>-3518</v>
      </c>
      <c r="T12" s="7">
        <v>-26795</v>
      </c>
      <c r="U12" s="7">
        <v>-9960</v>
      </c>
      <c r="V12" s="7">
        <v>-5553</v>
      </c>
    </row>
    <row r="13" spans="2:37" s="8" customFormat="1" ht="15" x14ac:dyDescent="0.25">
      <c r="B13" s="8" t="s">
        <v>28</v>
      </c>
      <c r="C13" s="8">
        <f>+SUM(C3:C12)</f>
        <v>37730</v>
      </c>
      <c r="D13" s="8">
        <f>+SUM(D3:D12)</f>
        <v>33075</v>
      </c>
      <c r="E13" s="8">
        <f>+SUM(E3:E12)</f>
        <v>29255</v>
      </c>
      <c r="F13" s="8">
        <f t="shared" si="3"/>
        <v>19891</v>
      </c>
      <c r="G13" s="8">
        <f>+SUM(G3:G12)</f>
        <v>32266</v>
      </c>
      <c r="H13" s="8">
        <f>+SUM(H3:H12)</f>
        <v>30479</v>
      </c>
      <c r="I13" s="8">
        <f>+SUM(I3:I12)</f>
        <v>29647</v>
      </c>
      <c r="J13" s="8">
        <f t="shared" si="4"/>
        <v>29257</v>
      </c>
      <c r="K13" s="8">
        <f>+SUM(K3:K12)</f>
        <v>30717</v>
      </c>
      <c r="L13" s="8">
        <f>+SUM(L3:L12)</f>
        <v>30715</v>
      </c>
      <c r="M13" s="3">
        <v>29758.711960756453</v>
      </c>
      <c r="N13" s="3">
        <v>29433.24961589013</v>
      </c>
      <c r="O13" s="3">
        <v>29107.787271023808</v>
      </c>
      <c r="P13" s="8">
        <f>+O13*1.02</f>
        <v>29689.943016444286</v>
      </c>
      <c r="Q13" s="8">
        <f t="shared" ref="Q13:R13" si="5">+P13*1.02</f>
        <v>30283.741876773172</v>
      </c>
      <c r="R13" s="8">
        <f t="shared" si="5"/>
        <v>30889.416714308638</v>
      </c>
      <c r="T13" s="8">
        <f>+SUM(T3:T12)</f>
        <v>115720</v>
      </c>
      <c r="U13" s="8">
        <f>+SUM(U3:U12)</f>
        <v>119951</v>
      </c>
      <c r="V13" s="8">
        <f>+SUM(V3:V12)</f>
        <v>121649</v>
      </c>
      <c r="W13" s="8">
        <f>+SUM(K13:N13)</f>
        <v>120623.96157664659</v>
      </c>
      <c r="X13" s="8">
        <f>+SUM(O13:R13)</f>
        <v>119970.8888785499</v>
      </c>
      <c r="Y13" s="8">
        <f>+X13*1</f>
        <v>119970.8888785499</v>
      </c>
      <c r="Z13" s="8">
        <f>+Y13*1</f>
        <v>119970.8888785499</v>
      </c>
      <c r="AA13" s="8">
        <f>+Z13*1.0154</f>
        <v>121818.44056727958</v>
      </c>
      <c r="AB13" s="8">
        <f t="shared" ref="AB13" si="6">+AA13*1.0154</f>
        <v>123694.4445520157</v>
      </c>
      <c r="AC13" s="8">
        <f>+AB13*1.01</f>
        <v>124931.38899753586</v>
      </c>
      <c r="AD13" s="8">
        <f t="shared" ref="AD13:AF13" si="7">+AC13*1.01</f>
        <v>126180.70288751122</v>
      </c>
      <c r="AE13" s="8">
        <f t="shared" si="7"/>
        <v>127442.50991638633</v>
      </c>
      <c r="AF13" s="8">
        <f t="shared" si="7"/>
        <v>128716.9350155502</v>
      </c>
      <c r="AG13" s="8">
        <f t="shared" ref="AG13" si="8">+AF13*1.01</f>
        <v>130004.1043657057</v>
      </c>
      <c r="AH13" s="8">
        <f>+AG13*0.84</f>
        <v>109203.44766719278</v>
      </c>
      <c r="AI13" s="8">
        <f>+AH13*1.09</f>
        <v>119031.75795724014</v>
      </c>
      <c r="AJ13" s="8">
        <f t="shared" ref="AJ13:AK13" si="9">+AI13*1.03</f>
        <v>122602.71069595736</v>
      </c>
      <c r="AK13" s="8">
        <f t="shared" si="9"/>
        <v>126280.79201683609</v>
      </c>
    </row>
    <row r="14" spans="2:37" x14ac:dyDescent="0.2">
      <c r="B14" s="7" t="s">
        <v>32</v>
      </c>
      <c r="C14" s="7">
        <v>8285</v>
      </c>
      <c r="D14" s="7">
        <v>10473</v>
      </c>
      <c r="E14" s="7">
        <v>611</v>
      </c>
      <c r="F14" s="7">
        <f t="shared" si="3"/>
        <v>-1889</v>
      </c>
      <c r="G14" s="7">
        <v>-4156</v>
      </c>
      <c r="H14" s="7">
        <v>-2285</v>
      </c>
      <c r="I14" s="7">
        <v>-1527</v>
      </c>
      <c r="J14" s="7">
        <f t="shared" si="4"/>
        <v>-1288</v>
      </c>
      <c r="K14" s="7">
        <v>1463</v>
      </c>
      <c r="L14" s="7">
        <v>1101</v>
      </c>
      <c r="T14" s="7">
        <v>5585</v>
      </c>
      <c r="U14" s="7">
        <v>17480</v>
      </c>
      <c r="V14" s="7">
        <v>-9256</v>
      </c>
    </row>
    <row r="15" spans="2:37" x14ac:dyDescent="0.2">
      <c r="B15" s="7" t="s">
        <v>33</v>
      </c>
      <c r="C15" s="7">
        <v>8895</v>
      </c>
      <c r="D15" s="7">
        <v>9509</v>
      </c>
      <c r="E15" s="7">
        <v>8630</v>
      </c>
      <c r="F15" s="7">
        <f t="shared" si="3"/>
        <v>7954</v>
      </c>
      <c r="G15" s="7">
        <v>10601</v>
      </c>
      <c r="H15" s="7">
        <v>9814</v>
      </c>
      <c r="I15" s="7">
        <v>9087</v>
      </c>
      <c r="J15" s="7">
        <f t="shared" si="4"/>
        <v>9065</v>
      </c>
      <c r="K15" s="7">
        <v>10787</v>
      </c>
      <c r="L15" s="7">
        <v>10301</v>
      </c>
      <c r="T15" s="7">
        <v>34155</v>
      </c>
      <c r="U15" s="7">
        <v>34988</v>
      </c>
      <c r="V15" s="7">
        <v>38567</v>
      </c>
    </row>
    <row r="16" spans="2:37" x14ac:dyDescent="0.2">
      <c r="B16" s="7" t="s">
        <v>34</v>
      </c>
      <c r="C16" s="7">
        <v>1066</v>
      </c>
      <c r="D16" s="7">
        <v>1080</v>
      </c>
      <c r="E16" s="7">
        <v>1142</v>
      </c>
      <c r="F16" s="7">
        <f t="shared" si="3"/>
        <v>1161</v>
      </c>
      <c r="G16" s="7">
        <v>1115</v>
      </c>
      <c r="H16" s="7">
        <v>1090</v>
      </c>
      <c r="I16" s="7">
        <v>1109</v>
      </c>
      <c r="J16" s="7">
        <f t="shared" si="4"/>
        <v>1202</v>
      </c>
      <c r="K16" s="7">
        <v>1134</v>
      </c>
      <c r="L16" s="7">
        <v>1129</v>
      </c>
      <c r="T16" s="7">
        <v>4322</v>
      </c>
      <c r="U16" s="7">
        <v>4449</v>
      </c>
      <c r="V16" s="7">
        <v>4516</v>
      </c>
    </row>
    <row r="17" spans="2:125" x14ac:dyDescent="0.2">
      <c r="B17" s="7" t="s">
        <v>37</v>
      </c>
      <c r="C17" s="7">
        <v>2578</v>
      </c>
      <c r="D17" s="7">
        <v>2590</v>
      </c>
      <c r="E17" s="7">
        <v>2564</v>
      </c>
      <c r="F17" s="7">
        <f t="shared" si="3"/>
        <v>2606</v>
      </c>
      <c r="G17" s="7">
        <v>2519</v>
      </c>
      <c r="H17" s="7">
        <v>2488</v>
      </c>
      <c r="I17" s="7">
        <v>2473</v>
      </c>
      <c r="J17" s="7">
        <f t="shared" si="4"/>
        <v>2461</v>
      </c>
      <c r="K17" s="7">
        <v>2360</v>
      </c>
      <c r="L17" s="7">
        <v>2376</v>
      </c>
      <c r="T17" s="7">
        <v>9821</v>
      </c>
      <c r="U17" s="7">
        <v>10338</v>
      </c>
      <c r="V17" s="7">
        <v>9941</v>
      </c>
    </row>
    <row r="18" spans="2:125" x14ac:dyDescent="0.2">
      <c r="B18" s="7" t="s">
        <v>35</v>
      </c>
      <c r="C18" s="7">
        <f>+SUM(C14:C17)</f>
        <v>20824</v>
      </c>
      <c r="D18" s="7">
        <f>+SUM(D14:D17)</f>
        <v>23652</v>
      </c>
      <c r="E18" s="7">
        <f>+SUM(E14:E17)</f>
        <v>12947</v>
      </c>
      <c r="F18" s="7">
        <f>+U18-SUM(C18:E18)</f>
        <v>9832</v>
      </c>
      <c r="G18" s="7">
        <f>+SUM(G14:G17)</f>
        <v>10079</v>
      </c>
      <c r="H18" s="7">
        <f>+SUM(H14:H17)</f>
        <v>11107</v>
      </c>
      <c r="I18" s="7">
        <f>+SUM(I14:I17)</f>
        <v>11142</v>
      </c>
      <c r="J18" s="7">
        <f t="shared" si="4"/>
        <v>11440</v>
      </c>
      <c r="K18" s="7">
        <f>+SUM(K14:K17)</f>
        <v>15744</v>
      </c>
      <c r="L18" s="7">
        <f>+SUM(L14:L17)</f>
        <v>14907</v>
      </c>
      <c r="T18" s="7">
        <f>+SUM(T14:T17)</f>
        <v>53883</v>
      </c>
      <c r="U18" s="7">
        <f>+SUM(U14:U17)</f>
        <v>67255</v>
      </c>
      <c r="V18" s="7">
        <f>+SUM(V14:V17)</f>
        <v>43768</v>
      </c>
    </row>
    <row r="19" spans="2:125" x14ac:dyDescent="0.2">
      <c r="B19" s="7" t="s">
        <v>36</v>
      </c>
      <c r="C19" s="7">
        <f>+C13-C18</f>
        <v>16906</v>
      </c>
      <c r="D19" s="7">
        <f>+D13-D18</f>
        <v>9423</v>
      </c>
      <c r="E19" s="7">
        <f>+E13-E18</f>
        <v>16308</v>
      </c>
      <c r="F19" s="7">
        <f t="shared" si="3"/>
        <v>10059</v>
      </c>
      <c r="G19" s="7">
        <f>+G13-G18</f>
        <v>22187</v>
      </c>
      <c r="H19" s="7">
        <f>+H13-H18</f>
        <v>19372</v>
      </c>
      <c r="I19" s="7">
        <f>+I13-I18</f>
        <v>18505</v>
      </c>
      <c r="J19" s="7">
        <f t="shared" si="4"/>
        <v>17817</v>
      </c>
      <c r="K19" s="7">
        <f>+K13-K18</f>
        <v>14973</v>
      </c>
      <c r="L19" s="7">
        <f>+L13-L18</f>
        <v>15808</v>
      </c>
      <c r="T19" s="7">
        <f>+T13-T18</f>
        <v>61837</v>
      </c>
      <c r="U19" s="7">
        <f>+U13-U18</f>
        <v>52696</v>
      </c>
      <c r="V19" s="7">
        <f>+V13-V18</f>
        <v>77881</v>
      </c>
      <c r="W19" s="7">
        <f>+W13*0.58</f>
        <v>69961.897714455015</v>
      </c>
      <c r="X19" s="7">
        <f>+X13*0.57</f>
        <v>68383.406660773442</v>
      </c>
      <c r="Y19" s="7">
        <f t="shared" ref="Y19:AK19" si="10">+Y13*0.57</f>
        <v>68383.406660773442</v>
      </c>
      <c r="Z19" s="7">
        <f t="shared" si="10"/>
        <v>68383.406660773442</v>
      </c>
      <c r="AA19" s="7">
        <f t="shared" si="10"/>
        <v>69436.511123349352</v>
      </c>
      <c r="AB19" s="7">
        <f t="shared" si="10"/>
        <v>70505.833394648944</v>
      </c>
      <c r="AC19" s="7">
        <f t="shared" si="10"/>
        <v>71210.891728595438</v>
      </c>
      <c r="AD19" s="7">
        <f t="shared" si="10"/>
        <v>71923.000645881388</v>
      </c>
      <c r="AE19" s="7">
        <f t="shared" si="10"/>
        <v>72642.230652340208</v>
      </c>
      <c r="AF19" s="7">
        <f t="shared" si="10"/>
        <v>73368.652958863604</v>
      </c>
      <c r="AG19" s="7">
        <f t="shared" si="10"/>
        <v>74102.339488452242</v>
      </c>
      <c r="AH19" s="7">
        <f t="shared" si="10"/>
        <v>62245.965170299882</v>
      </c>
      <c r="AI19" s="7">
        <f t="shared" si="10"/>
        <v>67848.102035626871</v>
      </c>
      <c r="AJ19" s="7">
        <f t="shared" si="10"/>
        <v>69883.545096695685</v>
      </c>
      <c r="AK19" s="7">
        <f t="shared" si="10"/>
        <v>71980.051449596562</v>
      </c>
    </row>
    <row r="20" spans="2:125" x14ac:dyDescent="0.2">
      <c r="B20" s="7" t="s">
        <v>38</v>
      </c>
      <c r="C20" s="7">
        <v>2028</v>
      </c>
      <c r="D20" s="7">
        <v>1999</v>
      </c>
      <c r="E20" s="7">
        <v>2178</v>
      </c>
      <c r="F20" s="7">
        <f t="shared" si="3"/>
        <v>2259</v>
      </c>
      <c r="G20" s="7">
        <v>2203</v>
      </c>
      <c r="H20" s="7">
        <v>2385</v>
      </c>
      <c r="I20" s="7">
        <v>2523</v>
      </c>
      <c r="J20" s="7">
        <f t="shared" si="4"/>
        <v>2703</v>
      </c>
      <c r="K20" s="7">
        <v>2572</v>
      </c>
      <c r="L20" s="7">
        <v>2469</v>
      </c>
      <c r="T20" s="7">
        <v>8533</v>
      </c>
      <c r="U20" s="7">
        <v>8464</v>
      </c>
      <c r="V20" s="7">
        <v>9814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2:125" x14ac:dyDescent="0.2">
      <c r="B21" s="7" t="s">
        <v>39</v>
      </c>
      <c r="C21" s="7">
        <v>800</v>
      </c>
      <c r="D21" s="7">
        <v>481</v>
      </c>
      <c r="E21" s="7">
        <v>470</v>
      </c>
      <c r="F21" s="7">
        <f t="shared" si="3"/>
        <v>725</v>
      </c>
      <c r="G21" s="7">
        <v>751</v>
      </c>
      <c r="H21" s="7">
        <v>626</v>
      </c>
      <c r="I21" s="7">
        <v>712</v>
      </c>
      <c r="J21" s="7">
        <f t="shared" si="4"/>
        <v>947</v>
      </c>
      <c r="K21" s="7">
        <v>920</v>
      </c>
      <c r="L21" s="7">
        <v>881</v>
      </c>
      <c r="T21" s="7">
        <v>3351</v>
      </c>
      <c r="U21" s="7">
        <v>2476</v>
      </c>
      <c r="V21" s="7">
        <v>3036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2:125" x14ac:dyDescent="0.2">
      <c r="B22" s="7" t="s">
        <v>25</v>
      </c>
      <c r="C22" s="7">
        <v>1424</v>
      </c>
      <c r="D22" s="7">
        <v>1283</v>
      </c>
      <c r="E22" s="7">
        <v>1891</v>
      </c>
      <c r="F22" s="7">
        <f t="shared" si="3"/>
        <v>1343</v>
      </c>
      <c r="G22" s="7">
        <v>1536</v>
      </c>
      <c r="H22" s="7">
        <v>1264</v>
      </c>
      <c r="I22" s="7">
        <v>1159</v>
      </c>
      <c r="J22" s="7">
        <f t="shared" si="4"/>
        <v>1510</v>
      </c>
      <c r="K22" s="7">
        <v>1418</v>
      </c>
      <c r="L22" s="7">
        <v>1593</v>
      </c>
      <c r="T22" s="7">
        <v>5087</v>
      </c>
      <c r="U22" s="7">
        <v>5941</v>
      </c>
      <c r="V22" s="7">
        <v>5469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2:125" x14ac:dyDescent="0.2">
      <c r="B23" s="7" t="s">
        <v>40</v>
      </c>
      <c r="C23" s="7">
        <f>+SUM(C20:C22)</f>
        <v>4252</v>
      </c>
      <c r="D23" s="7">
        <f>+SUM(D20:D22)</f>
        <v>3763</v>
      </c>
      <c r="E23" s="7">
        <f>+SUM(E20:E22)</f>
        <v>4539</v>
      </c>
      <c r="F23" s="7">
        <f t="shared" si="3"/>
        <v>4327</v>
      </c>
      <c r="G23" s="7">
        <f>+SUM(G20:G22)</f>
        <v>4490</v>
      </c>
      <c r="H23" s="7">
        <f>+SUM(H20:H22)</f>
        <v>4275</v>
      </c>
      <c r="I23" s="7">
        <f>+SUM(I20:I22)</f>
        <v>4394</v>
      </c>
      <c r="J23" s="7">
        <f t="shared" si="4"/>
        <v>5160</v>
      </c>
      <c r="K23" s="7">
        <f>+SUM(K20:K22)</f>
        <v>4910</v>
      </c>
      <c r="L23" s="7">
        <f>+SUM(L20:L22)</f>
        <v>4943</v>
      </c>
      <c r="T23" s="7">
        <f>+SUM(T20:T22)</f>
        <v>16971</v>
      </c>
      <c r="U23" s="7">
        <f>+SUM(U20:U22)</f>
        <v>16881</v>
      </c>
      <c r="V23" s="7">
        <f>+SUM(V20:V22)</f>
        <v>18319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2:125" x14ac:dyDescent="0.2">
      <c r="B24" s="7" t="s">
        <v>41</v>
      </c>
      <c r="C24" s="7">
        <f>+C19-C23</f>
        <v>12654</v>
      </c>
      <c r="D24" s="7">
        <f>+D19-D23</f>
        <v>5660</v>
      </c>
      <c r="E24" s="7">
        <f>+E19-E23</f>
        <v>11769</v>
      </c>
      <c r="F24" s="7">
        <f t="shared" si="3"/>
        <v>5732</v>
      </c>
      <c r="G24" s="7">
        <f>+G19-G23</f>
        <v>17697</v>
      </c>
      <c r="H24" s="7">
        <f>+H19-H23</f>
        <v>15097</v>
      </c>
      <c r="I24" s="7">
        <f>+I19-I23</f>
        <v>14111</v>
      </c>
      <c r="J24" s="7">
        <f t="shared" si="4"/>
        <v>12657</v>
      </c>
      <c r="K24" s="7">
        <f>+K19-K23</f>
        <v>10063</v>
      </c>
      <c r="L24" s="7">
        <f>+L19-L23</f>
        <v>10865</v>
      </c>
      <c r="T24" s="7">
        <f>+T19-T23</f>
        <v>44866</v>
      </c>
      <c r="U24" s="7">
        <f>+U19-U23</f>
        <v>35815</v>
      </c>
      <c r="V24" s="7">
        <f>+V19-V23</f>
        <v>59562</v>
      </c>
      <c r="W24" s="7">
        <f>+W13*0.43</f>
        <v>51868.303477958034</v>
      </c>
      <c r="X24" s="7">
        <f>+X13*0.45</f>
        <v>53986.899995347456</v>
      </c>
      <c r="Y24" s="7">
        <f t="shared" ref="Y24:AK24" si="11">+Y13*0.45</f>
        <v>53986.899995347456</v>
      </c>
      <c r="Z24" s="7">
        <f t="shared" si="11"/>
        <v>53986.899995347456</v>
      </c>
      <c r="AA24" s="7">
        <f t="shared" si="11"/>
        <v>54818.298255275811</v>
      </c>
      <c r="AB24" s="7">
        <f t="shared" si="11"/>
        <v>55662.50004840707</v>
      </c>
      <c r="AC24" s="7">
        <f t="shared" si="11"/>
        <v>56219.125048891139</v>
      </c>
      <c r="AD24" s="7">
        <f t="shared" si="11"/>
        <v>56781.316299380051</v>
      </c>
      <c r="AE24" s="7">
        <f t="shared" si="11"/>
        <v>57349.12946237385</v>
      </c>
      <c r="AF24" s="7">
        <f t="shared" si="11"/>
        <v>57922.620756997596</v>
      </c>
      <c r="AG24" s="7">
        <f t="shared" si="11"/>
        <v>58501.846964567565</v>
      </c>
      <c r="AH24" s="7">
        <f t="shared" si="11"/>
        <v>49141.551450236751</v>
      </c>
      <c r="AI24" s="7">
        <f t="shared" si="11"/>
        <v>53564.291080758063</v>
      </c>
      <c r="AJ24" s="7">
        <f t="shared" si="11"/>
        <v>55171.219813180811</v>
      </c>
      <c r="AK24" s="7">
        <f t="shared" si="11"/>
        <v>56826.356407576241</v>
      </c>
    </row>
    <row r="25" spans="2:125" x14ac:dyDescent="0.2">
      <c r="B25" s="7" t="s">
        <v>44</v>
      </c>
      <c r="C25" s="7">
        <v>345</v>
      </c>
      <c r="D25" s="7">
        <v>973</v>
      </c>
      <c r="E25" s="7">
        <v>2326</v>
      </c>
      <c r="F25" s="7">
        <f t="shared" si="3"/>
        <v>3040</v>
      </c>
      <c r="G25" s="7">
        <v>3397</v>
      </c>
      <c r="H25" s="7">
        <v>3149</v>
      </c>
      <c r="I25" s="7">
        <v>2424</v>
      </c>
      <c r="J25" s="7">
        <f t="shared" si="4"/>
        <v>2258</v>
      </c>
      <c r="K25" s="7">
        <v>1781</v>
      </c>
      <c r="L25" s="7">
        <v>2216</v>
      </c>
      <c r="T25" s="7">
        <v>8435</v>
      </c>
      <c r="U25" s="7">
        <v>6684</v>
      </c>
      <c r="V25" s="7">
        <v>11228</v>
      </c>
      <c r="W25" s="7">
        <f>+W24*0.2</f>
        <v>10373.660695591607</v>
      </c>
      <c r="X25" s="7">
        <f t="shared" ref="X25" si="12">+X24*0.2</f>
        <v>10797.379999069492</v>
      </c>
      <c r="Y25" s="7">
        <f t="shared" ref="Y25" si="13">+Y24*0.2</f>
        <v>10797.379999069492</v>
      </c>
      <c r="Z25" s="7">
        <f t="shared" ref="Z25" si="14">+Z24*0.2</f>
        <v>10797.379999069492</v>
      </c>
      <c r="AA25" s="7">
        <f t="shared" ref="AA25" si="15">+AA24*0.2</f>
        <v>10963.659651055163</v>
      </c>
      <c r="AB25" s="7">
        <f t="shared" ref="AB25" si="16">+AB24*0.2</f>
        <v>11132.500009681415</v>
      </c>
      <c r="AC25" s="7">
        <f t="shared" ref="AC25" si="17">+AC24*0.2</f>
        <v>11243.825009778229</v>
      </c>
      <c r="AD25" s="7">
        <f t="shared" ref="AD25" si="18">+AD24*0.2</f>
        <v>11356.26325987601</v>
      </c>
      <c r="AE25" s="7">
        <f t="shared" ref="AE25" si="19">+AE24*0.2</f>
        <v>11469.825892474772</v>
      </c>
      <c r="AF25" s="7">
        <f t="shared" ref="AF25" si="20">+AF24*0.2</f>
        <v>11584.524151399521</v>
      </c>
      <c r="AG25" s="7">
        <f t="shared" ref="AG25" si="21">+AG24*0.2</f>
        <v>11700.369392913513</v>
      </c>
      <c r="AH25" s="7">
        <f t="shared" ref="AH25" si="22">+AH24*0.2</f>
        <v>9828.3102900473514</v>
      </c>
      <c r="AI25" s="7">
        <f t="shared" ref="AI25" si="23">+AI24*0.2</f>
        <v>10712.858216151613</v>
      </c>
      <c r="AJ25" s="7">
        <f t="shared" ref="AJ25" si="24">+AJ24*0.2</f>
        <v>11034.243962636163</v>
      </c>
      <c r="AK25" s="7">
        <f t="shared" ref="AK25" si="25">+AK24*0.2</f>
        <v>11365.271281515248</v>
      </c>
    </row>
    <row r="26" spans="2:125" s="9" customFormat="1" ht="15" x14ac:dyDescent="0.25">
      <c r="B26" s="8" t="s">
        <v>45</v>
      </c>
      <c r="C26" s="8">
        <f>+C24-C25</f>
        <v>12309</v>
      </c>
      <c r="D26" s="8">
        <f>+D24-D25</f>
        <v>4687</v>
      </c>
      <c r="E26" s="8">
        <f>+E24-E25</f>
        <v>9443</v>
      </c>
      <c r="F26" s="8">
        <f t="shared" si="3"/>
        <v>2692</v>
      </c>
      <c r="G26" s="8">
        <f>+G24-G25</f>
        <v>14300</v>
      </c>
      <c r="H26" s="8">
        <f>+H24-H25</f>
        <v>11948</v>
      </c>
      <c r="I26" s="8">
        <f>+I24-I25</f>
        <v>11687</v>
      </c>
      <c r="J26" s="8">
        <f t="shared" si="4"/>
        <v>10399</v>
      </c>
      <c r="K26" s="8">
        <f>+K24-K25</f>
        <v>8282</v>
      </c>
      <c r="L26" s="8">
        <f>+L24-L25</f>
        <v>8649</v>
      </c>
      <c r="O26" s="8"/>
      <c r="T26" s="8">
        <f>+T24-T25</f>
        <v>36431</v>
      </c>
      <c r="U26" s="8">
        <f>+U24-U25</f>
        <v>29131</v>
      </c>
      <c r="V26" s="8">
        <f>+V24-V25</f>
        <v>48334</v>
      </c>
      <c r="W26" s="8">
        <f t="shared" ref="W26:X26" si="26">+W24-W25</f>
        <v>41494.642782366427</v>
      </c>
      <c r="X26" s="8">
        <f t="shared" si="26"/>
        <v>43189.519996277966</v>
      </c>
      <c r="Y26" s="8">
        <f t="shared" ref="Y26" si="27">+Y24-Y25</f>
        <v>43189.519996277966</v>
      </c>
      <c r="Z26" s="8">
        <f t="shared" ref="Z26" si="28">+Z24-Z25</f>
        <v>43189.519996277966</v>
      </c>
      <c r="AA26" s="8">
        <f t="shared" ref="AA26" si="29">+AA24-AA25</f>
        <v>43854.63860422065</v>
      </c>
      <c r="AB26" s="8">
        <f t="shared" ref="AB26" si="30">+AB24-AB25</f>
        <v>44530.000038725659</v>
      </c>
      <c r="AC26" s="8">
        <f t="shared" ref="AC26" si="31">+AC24-AC25</f>
        <v>44975.30003911291</v>
      </c>
      <c r="AD26" s="8">
        <f t="shared" ref="AD26" si="32">+AD24-AD25</f>
        <v>45425.05303950404</v>
      </c>
      <c r="AE26" s="8">
        <f t="shared" ref="AE26" si="33">+AE24-AE25</f>
        <v>45879.303569899079</v>
      </c>
      <c r="AF26" s="8">
        <f t="shared" ref="AF26" si="34">+AF24-AF25</f>
        <v>46338.096605598075</v>
      </c>
      <c r="AG26" s="8">
        <f t="shared" ref="AG26" si="35">+AG24-AG25</f>
        <v>46801.477571654053</v>
      </c>
      <c r="AH26" s="8">
        <f t="shared" ref="AH26" si="36">+AH24-AH25</f>
        <v>39313.241160189398</v>
      </c>
      <c r="AI26" s="8">
        <f t="shared" ref="AI26" si="37">+AI24-AI25</f>
        <v>42851.432864606453</v>
      </c>
      <c r="AJ26" s="8">
        <f t="shared" ref="AJ26" si="38">+AJ24-AJ25</f>
        <v>44136.975850544652</v>
      </c>
      <c r="AK26" s="8">
        <f t="shared" ref="AK26" si="39">+AK24-AK25</f>
        <v>45461.085126060992</v>
      </c>
      <c r="AL26" s="9">
        <f>+AK26*(1+$P$44)</f>
        <v>45597.468381439168</v>
      </c>
      <c r="AM26" s="9">
        <f>+AL26*(1+$P$44)</f>
        <v>45734.26078658348</v>
      </c>
      <c r="AN26" s="9">
        <f>+AM26*(1+$P$44)</f>
        <v>45871.463568943225</v>
      </c>
      <c r="AO26" s="9">
        <f>+AN26*(1+$P$44)</f>
        <v>46009.077959650051</v>
      </c>
      <c r="AP26" s="9">
        <f>+AO26*(1+$P$44)</f>
        <v>46147.105193528994</v>
      </c>
      <c r="AQ26" s="9">
        <f>+AP26*(1+$P$44)</f>
        <v>46285.546509109576</v>
      </c>
      <c r="AR26" s="9">
        <f>+AQ26*(1+$P$44)</f>
        <v>46424.403148636899</v>
      </c>
      <c r="AS26" s="9">
        <f>+AR26*(1+$P$44)</f>
        <v>46563.676358082805</v>
      </c>
      <c r="AT26" s="9">
        <f>+AS26*(1+$P$44)</f>
        <v>46703.36738715705</v>
      </c>
      <c r="AU26" s="9">
        <f>+AT26*(1+$P$44)</f>
        <v>46843.477489318517</v>
      </c>
      <c r="AV26" s="9">
        <f>+AU26*(1+$P$44)</f>
        <v>46984.00792178647</v>
      </c>
      <c r="AW26" s="9">
        <f>+AV26*(1+$P$44)</f>
        <v>47124.959945551826</v>
      </c>
      <c r="AX26" s="9">
        <f>+AW26*(1+$P$44)</f>
        <v>47266.334825388476</v>
      </c>
      <c r="AY26" s="9">
        <f>+AX26*(1+$P$44)</f>
        <v>47408.133829864637</v>
      </c>
      <c r="AZ26" s="9">
        <f>+AY26*(1+$P$44)</f>
        <v>47550.358231354228</v>
      </c>
      <c r="BA26" s="9">
        <f>+AZ26*(1+$P$44)</f>
        <v>47693.009306048283</v>
      </c>
      <c r="BB26" s="9">
        <f>+BA26*(1+$P$44)</f>
        <v>47836.088333966421</v>
      </c>
      <c r="BC26" s="9">
        <f>+BB26*(1+$P$44)</f>
        <v>47979.596598968317</v>
      </c>
      <c r="BD26" s="9">
        <f>+BC26*(1+$P$44)</f>
        <v>48123.535388765216</v>
      </c>
      <c r="BE26" s="9">
        <f>+BD26*(1+$P$44)</f>
        <v>48267.905994931505</v>
      </c>
      <c r="BF26" s="9">
        <f>+BE26*(1+$P$44)</f>
        <v>48412.709712916294</v>
      </c>
      <c r="BG26" s="9">
        <f>+BF26*(1+$P$44)</f>
        <v>48557.947842055037</v>
      </c>
      <c r="BH26" s="9">
        <f>+BG26*(1+$P$44)</f>
        <v>48703.621685581194</v>
      </c>
      <c r="BI26" s="9">
        <f>+BH26*(1+$P$44)</f>
        <v>48849.732550637935</v>
      </c>
      <c r="BJ26" s="9">
        <f>+BI26*(1+$P$44)</f>
        <v>48996.281748289846</v>
      </c>
      <c r="BK26" s="9">
        <f>+BJ26*(1+$P$44)</f>
        <v>49143.270593534711</v>
      </c>
      <c r="BL26" s="9">
        <f>+BK26*(1+$P$44)</f>
        <v>49290.700405315307</v>
      </c>
      <c r="BM26" s="9">
        <f>+BL26*(1+$P$44)</f>
        <v>49438.572506531251</v>
      </c>
      <c r="BN26" s="9">
        <f>+BM26*(1+$P$44)</f>
        <v>49586.888224050839</v>
      </c>
      <c r="BO26" s="9">
        <f>+BN26*(1+$P$44)</f>
        <v>49735.648888722986</v>
      </c>
      <c r="BP26" s="9">
        <f>+BO26*(1+$P$44)</f>
        <v>49884.855835389149</v>
      </c>
      <c r="BQ26" s="9">
        <f>+BP26*(1+$P$44)</f>
        <v>50034.510402895314</v>
      </c>
      <c r="BR26" s="9">
        <f>+BQ26*(1+$P$44)</f>
        <v>50184.613934103996</v>
      </c>
      <c r="BS26" s="9">
        <f>+BR26*(1+$P$44)</f>
        <v>50335.167775906302</v>
      </c>
      <c r="BT26" s="9">
        <f>+BS26*(1+$P$44)</f>
        <v>50486.173279234019</v>
      </c>
      <c r="BU26" s="9">
        <f>+BT26*(1+$P$44)</f>
        <v>50637.631799071714</v>
      </c>
      <c r="BV26" s="9">
        <f>+BU26*(1+$P$44)</f>
        <v>50789.544694468925</v>
      </c>
      <c r="BW26" s="9">
        <f>+BV26*(1+$P$44)</f>
        <v>50941.913328552328</v>
      </c>
      <c r="BX26" s="9">
        <f>+BW26*(1+$P$44)</f>
        <v>51094.73906853798</v>
      </c>
      <c r="BY26" s="9">
        <f>+BX26*(1+$P$44)</f>
        <v>51248.023285743591</v>
      </c>
      <c r="BZ26" s="9">
        <f>+BY26*(1+$P$44)</f>
        <v>51401.767355600816</v>
      </c>
      <c r="CA26" s="9">
        <f>+BZ26*(1+$P$44)</f>
        <v>51555.972657667611</v>
      </c>
      <c r="CB26" s="9">
        <f>+CA26*(1+$P$44)</f>
        <v>51710.640575640609</v>
      </c>
      <c r="CC26" s="9">
        <f>+CB26*(1+$P$44)</f>
        <v>51865.772497367529</v>
      </c>
      <c r="CD26" s="9">
        <f>+CC26*(1+$P$44)</f>
        <v>52021.369814859623</v>
      </c>
      <c r="CE26" s="9">
        <f>+CD26*(1+$P$44)</f>
        <v>52177.433924304198</v>
      </c>
      <c r="CF26" s="9">
        <f>+CE26*(1+$P$44)</f>
        <v>52333.966226077107</v>
      </c>
      <c r="CG26" s="9">
        <f>+CF26*(1+$P$44)</f>
        <v>52490.968124755331</v>
      </c>
      <c r="CH26" s="9">
        <f>+CG26*(1+$P$44)</f>
        <v>52648.441029129594</v>
      </c>
      <c r="CI26" s="9">
        <f>+CH26*(1+$P$44)</f>
        <v>52806.386352216978</v>
      </c>
      <c r="CJ26" s="9">
        <f>+CI26*(1+$P$44)</f>
        <v>52964.805511273626</v>
      </c>
      <c r="CK26" s="9">
        <f>+CJ26*(1+$P$44)</f>
        <v>53123.699927807444</v>
      </c>
      <c r="CL26" s="9">
        <f>+CK26*(1+$P$44)</f>
        <v>53283.071027590857</v>
      </c>
      <c r="CM26" s="9">
        <f>+CL26*(1+$P$44)</f>
        <v>53442.920240673622</v>
      </c>
      <c r="CN26" s="9">
        <f>+CM26*(1+$P$44)</f>
        <v>53603.249001395634</v>
      </c>
      <c r="CO26" s="9">
        <f>+CN26*(1+$P$44)</f>
        <v>53764.058748399817</v>
      </c>
      <c r="CP26" s="9">
        <f>+CO26*(1+$P$44)</f>
        <v>53925.350924645012</v>
      </c>
      <c r="CQ26" s="9">
        <f>+CP26*(1+$P$44)</f>
        <v>54087.126977418942</v>
      </c>
      <c r="CR26" s="9">
        <f>+CQ26*(1+$P$44)</f>
        <v>54249.388358351192</v>
      </c>
      <c r="CS26" s="9">
        <f>+CR26*(1+$P$44)</f>
        <v>54412.136523426241</v>
      </c>
      <c r="CT26" s="9">
        <f>+CS26*(1+$P$44)</f>
        <v>54575.372932996514</v>
      </c>
      <c r="CU26" s="9">
        <f>+CT26*(1+$P$44)</f>
        <v>54739.0990517955</v>
      </c>
      <c r="CV26" s="9">
        <f>+CU26*(1+$P$44)</f>
        <v>54903.316348950881</v>
      </c>
      <c r="CW26" s="9">
        <f>+CV26*(1+$P$44)</f>
        <v>55068.026297997727</v>
      </c>
      <c r="CX26" s="9">
        <f>+CW26*(1+$P$44)</f>
        <v>55233.230376891712</v>
      </c>
      <c r="CY26" s="9">
        <f>+CX26*(1+$P$44)</f>
        <v>55398.930068022382</v>
      </c>
      <c r="CZ26" s="9">
        <f>+CY26*(1+$P$44)</f>
        <v>55565.126858226446</v>
      </c>
      <c r="DA26" s="9">
        <f>+CZ26*(1+$P$44)</f>
        <v>55731.82223880112</v>
      </c>
      <c r="DB26" s="9">
        <f>+DA26*(1+$P$44)</f>
        <v>55899.017705517515</v>
      </c>
      <c r="DC26" s="9">
        <f>+DB26*(1+$P$44)</f>
        <v>56066.714758634065</v>
      </c>
      <c r="DD26" s="9">
        <f>+DC26*(1+$P$44)</f>
        <v>56234.914902909964</v>
      </c>
      <c r="DE26" s="9">
        <f>+DD26*(1+$P$44)</f>
        <v>56403.619647618689</v>
      </c>
      <c r="DF26" s="9">
        <f>+DE26*(1+$P$44)</f>
        <v>56572.830506561542</v>
      </c>
      <c r="DG26" s="9">
        <f>+DF26*(1+$P$44)</f>
        <v>56742.54899808122</v>
      </c>
      <c r="DH26" s="9">
        <f>+DG26*(1+$P$44)</f>
        <v>56912.776645075457</v>
      </c>
      <c r="DI26" s="9">
        <f>+DH26*(1+$P$44)</f>
        <v>57083.514975010679</v>
      </c>
      <c r="DJ26" s="9">
        <f>+DI26*(1+$P$44)</f>
        <v>57254.765519935703</v>
      </c>
      <c r="DK26" s="9">
        <f>+DJ26*(1+$P$44)</f>
        <v>57426.529816495502</v>
      </c>
      <c r="DL26" s="9">
        <f>+DK26*(1+$P$44)</f>
        <v>57598.80940594498</v>
      </c>
      <c r="DM26" s="9">
        <f>+DL26*(1+$P$44)</f>
        <v>57771.605834162809</v>
      </c>
      <c r="DN26" s="9">
        <f>+DM26*(1+$P$44)</f>
        <v>57944.920651665292</v>
      </c>
      <c r="DO26" s="9">
        <f>+DN26*(1+$P$44)</f>
        <v>58118.755413620282</v>
      </c>
      <c r="DP26" s="9">
        <f>+DO26*(1+$P$44)</f>
        <v>58293.111679861133</v>
      </c>
      <c r="DQ26" s="9">
        <f>+DP26*(1+$P$44)</f>
        <v>58467.991014900712</v>
      </c>
      <c r="DR26" s="9">
        <f>+DQ26*(1+$P$44)</f>
        <v>58643.394987945409</v>
      </c>
      <c r="DS26" s="9">
        <f>+DR26*(1+$P$44)</f>
        <v>58819.325172909237</v>
      </c>
      <c r="DT26" s="9">
        <f>+DS26*(1+$P$44)</f>
        <v>58995.78314842796</v>
      </c>
      <c r="DU26" s="9">
        <f>+DT26*(1+$P$44)</f>
        <v>59172.770497873236</v>
      </c>
    </row>
    <row r="27" spans="2:125" s="7" customFormat="1" x14ac:dyDescent="0.2">
      <c r="B27" s="7" t="s">
        <v>1</v>
      </c>
      <c r="C27" s="7">
        <v>3100.7</v>
      </c>
      <c r="D27" s="7">
        <v>3081</v>
      </c>
      <c r="E27" s="7">
        <v>3082.8</v>
      </c>
      <c r="F27" s="7">
        <f>+AVERAGE(C27:E27)</f>
        <v>3088.1666666666665</v>
      </c>
      <c r="G27" s="7">
        <v>3078.9</v>
      </c>
      <c r="H27" s="7">
        <v>3041.9</v>
      </c>
      <c r="I27" s="7">
        <v>3005.1</v>
      </c>
      <c r="J27" s="7">
        <f>+AVERAGE(G27:I27)</f>
        <v>3041.9666666666667</v>
      </c>
      <c r="K27" s="7">
        <v>2981</v>
      </c>
      <c r="L27" s="7">
        <v>2966.3</v>
      </c>
      <c r="T27" s="7">
        <v>3230.4</v>
      </c>
      <c r="U27" s="7">
        <v>3087.4</v>
      </c>
      <c r="V27" s="7">
        <v>3026.6</v>
      </c>
      <c r="W27" s="7">
        <f>+V27</f>
        <v>3026.6</v>
      </c>
      <c r="X27" s="7">
        <f>+W27</f>
        <v>3026.6</v>
      </c>
      <c r="Y27" s="7">
        <f t="shared" ref="Y27:AK27" si="40">+X27</f>
        <v>3026.6</v>
      </c>
      <c r="Z27" s="7">
        <f t="shared" si="40"/>
        <v>3026.6</v>
      </c>
      <c r="AA27" s="7">
        <f t="shared" si="40"/>
        <v>3026.6</v>
      </c>
      <c r="AB27" s="7">
        <f t="shared" si="40"/>
        <v>3026.6</v>
      </c>
      <c r="AC27" s="7">
        <f t="shared" si="40"/>
        <v>3026.6</v>
      </c>
      <c r="AD27" s="7">
        <f t="shared" si="40"/>
        <v>3026.6</v>
      </c>
      <c r="AE27" s="7">
        <f t="shared" si="40"/>
        <v>3026.6</v>
      </c>
      <c r="AF27" s="7">
        <f t="shared" si="40"/>
        <v>3026.6</v>
      </c>
      <c r="AG27" s="7">
        <f t="shared" si="40"/>
        <v>3026.6</v>
      </c>
      <c r="AH27" s="7">
        <f t="shared" si="40"/>
        <v>3026.6</v>
      </c>
      <c r="AI27" s="7">
        <f t="shared" si="40"/>
        <v>3026.6</v>
      </c>
      <c r="AJ27" s="7">
        <f t="shared" si="40"/>
        <v>3026.6</v>
      </c>
      <c r="AK27" s="7">
        <f t="shared" si="40"/>
        <v>3026.6</v>
      </c>
    </row>
    <row r="28" spans="2:125" x14ac:dyDescent="0.2">
      <c r="B28" s="7" t="s">
        <v>48</v>
      </c>
      <c r="C28" s="10">
        <f>+C26/C27</f>
        <v>3.9697487664075854</v>
      </c>
      <c r="D28" s="10">
        <f>+D26/D27</f>
        <v>1.5212593313859137</v>
      </c>
      <c r="E28" s="10">
        <f>+E26/E27</f>
        <v>3.0631244323342415</v>
      </c>
      <c r="F28" s="10">
        <f>+F26/F27</f>
        <v>0.87171460953100555</v>
      </c>
      <c r="G28" s="10">
        <f>+G26/G27</f>
        <v>4.6445158985351913</v>
      </c>
      <c r="H28" s="10">
        <f>+H26/H27</f>
        <v>3.9278082777211609</v>
      </c>
      <c r="I28" s="10">
        <f>+I26/I27</f>
        <v>3.8890552727030716</v>
      </c>
      <c r="J28" s="10">
        <f>+J26/J27</f>
        <v>3.4185121467471702</v>
      </c>
      <c r="K28" s="10">
        <f>+K26/K27</f>
        <v>2.778262328077826</v>
      </c>
      <c r="L28" s="10">
        <f>+L26/L27</f>
        <v>2.915753632471429</v>
      </c>
      <c r="T28" s="10">
        <f>+T26/T27</f>
        <v>11.277550767706785</v>
      </c>
      <c r="U28" s="10">
        <f>+U26/U27</f>
        <v>9.4354473019369038</v>
      </c>
      <c r="V28" s="10">
        <f>+V26/V27</f>
        <v>15.969735016189784</v>
      </c>
      <c r="W28" s="10">
        <f t="shared" ref="W28:X28" si="41">+W26/W27</f>
        <v>13.709985720731655</v>
      </c>
      <c r="X28" s="10">
        <f t="shared" si="41"/>
        <v>14.269979513737516</v>
      </c>
      <c r="Y28" s="10">
        <f t="shared" ref="Y28" si="42">+Y26/Y27</f>
        <v>14.269979513737516</v>
      </c>
      <c r="Z28" s="10">
        <f t="shared" ref="Z28" si="43">+Z26/Z27</f>
        <v>14.269979513737516</v>
      </c>
      <c r="AA28" s="10">
        <f t="shared" ref="AA28" si="44">+AA26/AA27</f>
        <v>14.489737198249076</v>
      </c>
      <c r="AB28" s="10">
        <f t="shared" ref="AB28" si="45">+AB26/AB27</f>
        <v>14.712879151102115</v>
      </c>
      <c r="AC28" s="10">
        <f t="shared" ref="AC28" si="46">+AC26/AC27</f>
        <v>14.860007942613134</v>
      </c>
      <c r="AD28" s="10">
        <f t="shared" ref="AD28" si="47">+AD26/AD27</f>
        <v>15.008608022039265</v>
      </c>
      <c r="AE28" s="10">
        <f t="shared" ref="AE28" si="48">+AE26/AE27</f>
        <v>15.158694102259657</v>
      </c>
      <c r="AF28" s="10">
        <f t="shared" ref="AF28" si="49">+AF26/AF27</f>
        <v>15.310281043282256</v>
      </c>
      <c r="AG28" s="10">
        <f t="shared" ref="AG28" si="50">+AG26/AG27</f>
        <v>15.463383853715078</v>
      </c>
      <c r="AH28" s="10">
        <f t="shared" ref="AH28" si="51">+AH26/AH27</f>
        <v>12.989242437120664</v>
      </c>
      <c r="AI28" s="10">
        <f t="shared" ref="AI28" si="52">+AI26/AI27</f>
        <v>14.158274256461526</v>
      </c>
      <c r="AJ28" s="10">
        <f t="shared" ref="AJ28" si="53">+AJ26/AJ27</f>
        <v>14.583022484155373</v>
      </c>
      <c r="AK28" s="10">
        <f t="shared" ref="AK28" si="54">+AK26/AK27</f>
        <v>15.020513158680036</v>
      </c>
    </row>
    <row r="30" spans="2:125" s="11" customFormat="1" x14ac:dyDescent="0.2">
      <c r="B30" s="11" t="s">
        <v>30</v>
      </c>
      <c r="C30" s="12">
        <f>+SUM(C3:C10)/C13</f>
        <v>0.36700238536973229</v>
      </c>
      <c r="D30" s="12">
        <f>+SUM(D3:D10)/D13</f>
        <v>0.58116402116402122</v>
      </c>
      <c r="E30" s="12">
        <f>+SUM(E3:E10)/E13</f>
        <v>0.5551871474961545</v>
      </c>
      <c r="F30" s="12">
        <f>+SUM(F3:F10)/F13</f>
        <v>0.80825498969383136</v>
      </c>
      <c r="G30" s="12">
        <f>+SUM(G3:G10)/G13</f>
        <v>0.60053926734023433</v>
      </c>
      <c r="H30" s="12">
        <f>+SUM(H3:H10)/H13</f>
        <v>0.58197447422815707</v>
      </c>
      <c r="I30" s="12">
        <f>+SUM(I3:I10)/I13</f>
        <v>0.558808648429858</v>
      </c>
      <c r="J30" s="12">
        <f>+SUM(J3:J10)/J13</f>
        <v>0.53511980038965035</v>
      </c>
      <c r="K30" s="12">
        <f>+SUM(K3:K10)/K13</f>
        <v>0.5483933977927532</v>
      </c>
      <c r="L30" s="12">
        <f>+SUM(L3:L10)/L13</f>
        <v>0.50747191925769164</v>
      </c>
      <c r="T30" s="12">
        <f>+SUM(T3:T10)/T13</f>
        <v>0.50531455236778433</v>
      </c>
      <c r="U30" s="12">
        <f>+SUM(U3:U10)/U13</f>
        <v>0.54512259172495436</v>
      </c>
      <c r="V30" s="12">
        <f>+SUM(V3:V10)/V13</f>
        <v>0.56998413468257036</v>
      </c>
      <c r="W30" s="12"/>
      <c r="X30" s="12"/>
    </row>
    <row r="31" spans="2:125" s="11" customFormat="1" x14ac:dyDescent="0.2">
      <c r="B31" s="11" t="s">
        <v>31</v>
      </c>
      <c r="C31" s="12">
        <f>+SUM(C11:C12)/C13</f>
        <v>0.63299761463026771</v>
      </c>
      <c r="D31" s="12">
        <f>+SUM(D11:D12)/D13</f>
        <v>0.41883597883597884</v>
      </c>
      <c r="E31" s="12">
        <f>+SUM(E11:E12)/E13</f>
        <v>0.4448128525038455</v>
      </c>
      <c r="F31" s="12">
        <f>+SUM(F11:F12)/F13</f>
        <v>0.19174501030616861</v>
      </c>
      <c r="G31" s="12">
        <f>+SUM(G11:G12)/G13</f>
        <v>0.39946073265976567</v>
      </c>
      <c r="H31" s="12">
        <f>+SUM(H11:H12)/H13</f>
        <v>0.41802552577184293</v>
      </c>
      <c r="I31" s="12">
        <f>+SUM(I11:I12)/I13</f>
        <v>0.441191351570142</v>
      </c>
      <c r="J31" s="12">
        <f>+SUM(J11:J12)/J13</f>
        <v>0.46488019961034965</v>
      </c>
      <c r="K31" s="12">
        <f>+SUM(K11:K12)/K13</f>
        <v>0.4516066022072468</v>
      </c>
      <c r="L31" s="12">
        <f>+SUM(L11:L12)/L13</f>
        <v>0.49252808074230831</v>
      </c>
      <c r="T31" s="12">
        <f>+SUM(T11:T12)/T13</f>
        <v>0.49468544763221567</v>
      </c>
      <c r="U31" s="12">
        <f>+SUM(U11:U12)/U13</f>
        <v>0.45487740827504564</v>
      </c>
      <c r="V31" s="12">
        <f>+SUM(V11:V12)/V13</f>
        <v>0.43001586531742964</v>
      </c>
      <c r="W31" s="12"/>
      <c r="X31" s="12"/>
    </row>
    <row r="32" spans="2:125" s="11" customFormat="1" x14ac:dyDescent="0.2">
      <c r="B32" s="11" t="s">
        <v>42</v>
      </c>
      <c r="C32" s="12">
        <f>+C19/C13</f>
        <v>0.44807845216008479</v>
      </c>
      <c r="D32" s="12">
        <f>+D19/D13</f>
        <v>0.28489795918367344</v>
      </c>
      <c r="E32" s="12">
        <f>+E19/E13</f>
        <v>0.55744317210733207</v>
      </c>
      <c r="F32" s="12">
        <f>+F19/F13</f>
        <v>0.50570609823538282</v>
      </c>
      <c r="G32" s="12">
        <f>+G19/G13</f>
        <v>0.68762784355048656</v>
      </c>
      <c r="H32" s="12">
        <f>+H19/H13</f>
        <v>0.63558515699333973</v>
      </c>
      <c r="I32" s="12">
        <f t="shared" ref="I32:K32" si="55">+I19/I13</f>
        <v>0.6241778257496543</v>
      </c>
      <c r="J32" s="12">
        <f t="shared" si="55"/>
        <v>0.60898246573469594</v>
      </c>
      <c r="K32" s="12">
        <f>+K19/K13</f>
        <v>0.48744994628381677</v>
      </c>
      <c r="L32" s="12">
        <f>+L19/L13</f>
        <v>0.51466710076509847</v>
      </c>
      <c r="T32" s="12">
        <f t="shared" ref="T32:V32" si="56">+T19/T13</f>
        <v>0.53436743864500513</v>
      </c>
      <c r="U32" s="12">
        <f t="shared" si="56"/>
        <v>0.4393127193604055</v>
      </c>
      <c r="V32" s="12">
        <f>+V19/V13</f>
        <v>0.64021077033103435</v>
      </c>
      <c r="W32" s="12">
        <f t="shared" ref="W32:X32" si="57">+W19/W13</f>
        <v>0.57999999999999996</v>
      </c>
      <c r="X32" s="12">
        <f t="shared" si="57"/>
        <v>0.56999999999999995</v>
      </c>
      <c r="Y32" s="12">
        <f t="shared" ref="Y32:AK32" si="58">+Y19/Y13</f>
        <v>0.56999999999999995</v>
      </c>
      <c r="Z32" s="12">
        <f t="shared" si="58"/>
        <v>0.56999999999999995</v>
      </c>
      <c r="AA32" s="12">
        <f t="shared" si="58"/>
        <v>0.56999999999999995</v>
      </c>
      <c r="AB32" s="12">
        <f t="shared" si="58"/>
        <v>0.56999999999999995</v>
      </c>
      <c r="AC32" s="12">
        <f t="shared" si="58"/>
        <v>0.56999999999999995</v>
      </c>
      <c r="AD32" s="12">
        <f t="shared" si="58"/>
        <v>0.56999999999999995</v>
      </c>
      <c r="AE32" s="12">
        <f t="shared" si="58"/>
        <v>0.56999999999999995</v>
      </c>
      <c r="AF32" s="12">
        <f t="shared" si="58"/>
        <v>0.56999999999999995</v>
      </c>
      <c r="AG32" s="12">
        <f t="shared" si="58"/>
        <v>0.56999999999999995</v>
      </c>
      <c r="AH32" s="12">
        <f t="shared" si="58"/>
        <v>0.56999999999999995</v>
      </c>
      <c r="AI32" s="12">
        <f t="shared" si="58"/>
        <v>0.56999999999999995</v>
      </c>
      <c r="AJ32" s="12">
        <f t="shared" si="58"/>
        <v>0.56999999999999995</v>
      </c>
      <c r="AK32" s="12">
        <f t="shared" si="58"/>
        <v>0.56999999999999995</v>
      </c>
    </row>
    <row r="33" spans="2:37" s="11" customFormat="1" x14ac:dyDescent="0.2">
      <c r="B33" s="11" t="s">
        <v>43</v>
      </c>
      <c r="C33" s="12">
        <f>+C24/C13</f>
        <v>0.33538298436257619</v>
      </c>
      <c r="D33" s="12">
        <f>+D24/D13</f>
        <v>0.17112622826908541</v>
      </c>
      <c r="E33" s="12">
        <f>+E24/E13</f>
        <v>0.40229020680225602</v>
      </c>
      <c r="F33" s="12">
        <f>+F24/F13</f>
        <v>0.28817052938514909</v>
      </c>
      <c r="G33" s="12">
        <f>+G24/G13</f>
        <v>0.54847207586933611</v>
      </c>
      <c r="H33" s="12">
        <f>+H24/H13</f>
        <v>0.49532464975885038</v>
      </c>
      <c r="I33" s="12">
        <f t="shared" ref="I33:K33" si="59">+I24/I13</f>
        <v>0.47596721422066313</v>
      </c>
      <c r="J33" s="12">
        <f t="shared" si="59"/>
        <v>0.4326144170625833</v>
      </c>
      <c r="K33" s="12">
        <f>+K24/K13</f>
        <v>0.32760360712309144</v>
      </c>
      <c r="L33" s="12">
        <f>+L24/L13</f>
        <v>0.35373595962884585</v>
      </c>
      <c r="T33" s="12">
        <f t="shared" ref="T33:V33" si="60">+T24/T13</f>
        <v>0.38771171793985482</v>
      </c>
      <c r="U33" s="12">
        <f t="shared" si="60"/>
        <v>0.29858025360355478</v>
      </c>
      <c r="V33" s="12">
        <f>+V24/V13</f>
        <v>0.48962178069692314</v>
      </c>
      <c r="W33" s="12">
        <f t="shared" ref="W33:X33" si="61">+W24/W13</f>
        <v>0.43</v>
      </c>
      <c r="X33" s="12">
        <f t="shared" si="61"/>
        <v>0.45</v>
      </c>
      <c r="Y33" s="12">
        <f t="shared" ref="Y33:AK33" si="62">+Y24/Y13</f>
        <v>0.45</v>
      </c>
      <c r="Z33" s="12">
        <f t="shared" si="62"/>
        <v>0.45</v>
      </c>
      <c r="AA33" s="12">
        <f t="shared" si="62"/>
        <v>0.45</v>
      </c>
      <c r="AB33" s="12">
        <f t="shared" si="62"/>
        <v>0.45</v>
      </c>
      <c r="AC33" s="12">
        <f t="shared" si="62"/>
        <v>0.45</v>
      </c>
      <c r="AD33" s="12">
        <f t="shared" si="62"/>
        <v>0.45</v>
      </c>
      <c r="AE33" s="12">
        <f t="shared" si="62"/>
        <v>0.45</v>
      </c>
      <c r="AF33" s="12">
        <f t="shared" si="62"/>
        <v>0.45</v>
      </c>
      <c r="AG33" s="12">
        <f t="shared" si="62"/>
        <v>0.45</v>
      </c>
      <c r="AH33" s="12">
        <f t="shared" si="62"/>
        <v>0.45</v>
      </c>
      <c r="AI33" s="12">
        <f t="shared" si="62"/>
        <v>0.44999999999999996</v>
      </c>
      <c r="AJ33" s="12">
        <f t="shared" si="62"/>
        <v>0.45</v>
      </c>
      <c r="AK33" s="12">
        <f t="shared" si="62"/>
        <v>0.45</v>
      </c>
    </row>
    <row r="34" spans="2:37" s="11" customFormat="1" x14ac:dyDescent="0.2">
      <c r="B34" s="11" t="s">
        <v>76</v>
      </c>
      <c r="C34" s="12">
        <f>+C25/C24</f>
        <v>2.7264106211474633E-2</v>
      </c>
      <c r="D34" s="12">
        <f>+D25/D24</f>
        <v>0.17190812720848056</v>
      </c>
      <c r="E34" s="12">
        <f t="shared" ref="E34" si="63">+E25/E24</f>
        <v>0.19763786218030419</v>
      </c>
      <c r="F34" s="12">
        <f>+F25/F24</f>
        <v>0.53035589672016747</v>
      </c>
      <c r="G34" s="12">
        <f>+G25/G24</f>
        <v>0.19195343843589308</v>
      </c>
      <c r="H34" s="12">
        <f>+H25/H24</f>
        <v>0.20858448698416904</v>
      </c>
      <c r="I34" s="12">
        <f t="shared" ref="I34:K34" si="64">+I25/I24</f>
        <v>0.17178088016441073</v>
      </c>
      <c r="J34" s="12">
        <f t="shared" si="64"/>
        <v>0.17839930473255905</v>
      </c>
      <c r="K34" s="12">
        <f>+K25/K24</f>
        <v>0.17698499453443306</v>
      </c>
      <c r="L34" s="12">
        <f>+L25/L24</f>
        <v>0.20395766221813161</v>
      </c>
      <c r="T34" s="12">
        <f t="shared" ref="T34:V34" si="65">+T25/T24</f>
        <v>0.18800427940979805</v>
      </c>
      <c r="U34" s="12">
        <f t="shared" si="65"/>
        <v>0.1866257154823398</v>
      </c>
      <c r="V34" s="12">
        <f>+V25/V24</f>
        <v>0.18850945233538161</v>
      </c>
      <c r="W34" s="12">
        <f t="shared" ref="W34:X34" si="66">+W25/W24</f>
        <v>0.2</v>
      </c>
      <c r="X34" s="12">
        <f t="shared" si="66"/>
        <v>0.2</v>
      </c>
      <c r="Y34" s="12">
        <f t="shared" ref="Y34:AK34" si="67">+Y25/Y24</f>
        <v>0.2</v>
      </c>
      <c r="Z34" s="12">
        <f t="shared" si="67"/>
        <v>0.2</v>
      </c>
      <c r="AA34" s="12">
        <f t="shared" si="67"/>
        <v>0.2</v>
      </c>
      <c r="AB34" s="12">
        <f t="shared" si="67"/>
        <v>0.2</v>
      </c>
      <c r="AC34" s="12">
        <f t="shared" si="67"/>
        <v>0.20000000000000004</v>
      </c>
      <c r="AD34" s="12">
        <f t="shared" si="67"/>
        <v>0.2</v>
      </c>
      <c r="AE34" s="12">
        <f t="shared" si="67"/>
        <v>0.20000000000000004</v>
      </c>
      <c r="AF34" s="12">
        <f t="shared" si="67"/>
        <v>0.20000000000000004</v>
      </c>
      <c r="AG34" s="12">
        <f t="shared" si="67"/>
        <v>0.2</v>
      </c>
      <c r="AH34" s="12">
        <f t="shared" si="67"/>
        <v>0.2</v>
      </c>
      <c r="AI34" s="12">
        <f t="shared" si="67"/>
        <v>0.2</v>
      </c>
      <c r="AJ34" s="12">
        <f t="shared" si="67"/>
        <v>0.2</v>
      </c>
      <c r="AK34" s="12">
        <f t="shared" si="67"/>
        <v>0.2</v>
      </c>
    </row>
    <row r="36" spans="2:37" s="11" customFormat="1" x14ac:dyDescent="0.2">
      <c r="B36" s="11" t="s">
        <v>29</v>
      </c>
      <c r="G36" s="12">
        <f>+G13/C13-1</f>
        <v>-0.14481844685926315</v>
      </c>
      <c r="H36" s="12">
        <f>+H13/D13-1</f>
        <v>-7.8488284202569925E-2</v>
      </c>
      <c r="I36" s="12">
        <f>+I13/E13-1</f>
        <v>1.3399418902751759E-2</v>
      </c>
      <c r="J36" s="12">
        <f>+J13/F13-1</f>
        <v>0.47086622090392649</v>
      </c>
      <c r="K36" s="12">
        <f>+K13/G13-1</f>
        <v>-4.8007190231203145E-2</v>
      </c>
      <c r="L36" s="12">
        <f>+L13/H13-1</f>
        <v>7.7430361888513044E-3</v>
      </c>
      <c r="M36" s="12">
        <f>+M13/I13-1</f>
        <v>3.7680696447011108E-3</v>
      </c>
      <c r="N36" s="12">
        <f>+N13/J13-1</f>
        <v>6.0241862080914199E-3</v>
      </c>
      <c r="O36" s="12">
        <f>+O13/K13-1</f>
        <v>-5.2388342903805452E-2</v>
      </c>
      <c r="U36" s="12">
        <f>+U13/T13-1</f>
        <v>3.6562391980643039E-2</v>
      </c>
      <c r="V36" s="12">
        <f>+V13/U13-1</f>
        <v>1.4155780276946528E-2</v>
      </c>
      <c r="W36" s="22">
        <f>+W13/V13-1</f>
        <v>-8.4261968725876102E-3</v>
      </c>
      <c r="X36" s="22">
        <f>+X13/W13-1</f>
        <v>-5.4141207896054588E-3</v>
      </c>
      <c r="Y36" s="22">
        <f>+Y13/X13-1</f>
        <v>0</v>
      </c>
      <c r="Z36" s="22">
        <f>+Z13/Y13-1</f>
        <v>0</v>
      </c>
      <c r="AA36" s="22">
        <f>+AA13/Z13-1</f>
        <v>1.540000000000008E-2</v>
      </c>
      <c r="AB36" s="22">
        <f>+AB13/AA13-1</f>
        <v>1.540000000000008E-2</v>
      </c>
      <c r="AC36" s="22">
        <f>+AC13/AB13-1</f>
        <v>1.0000000000000009E-2</v>
      </c>
      <c r="AD36" s="22">
        <f>+AD13/AC13-1</f>
        <v>1.0000000000000009E-2</v>
      </c>
      <c r="AE36" s="22">
        <f>+AE13/AD13-1</f>
        <v>1.0000000000000009E-2</v>
      </c>
      <c r="AF36" s="22">
        <f>+AF13/AE13-1</f>
        <v>1.0000000000000009E-2</v>
      </c>
      <c r="AG36" s="22">
        <f>+AG13/AF13-1</f>
        <v>1.0000000000000009E-2</v>
      </c>
      <c r="AH36" s="22">
        <f>+AH13/AG13-1</f>
        <v>-0.16000000000000003</v>
      </c>
      <c r="AI36" s="22">
        <f>+AI13/AH13-1</f>
        <v>9.000000000000008E-2</v>
      </c>
      <c r="AJ36" s="22">
        <f>+AJ13/AI13-1</f>
        <v>3.0000000000000027E-2</v>
      </c>
      <c r="AK36" s="22">
        <f>+AK13/AJ13-1</f>
        <v>3.0000000000000027E-2</v>
      </c>
    </row>
    <row r="37" spans="2:37" s="11" customFormat="1" x14ac:dyDescent="0.2">
      <c r="B37" s="11" t="s">
        <v>46</v>
      </c>
      <c r="G37" s="12">
        <f>+SUM(G3:G10)/SUM(C3:C10)-1</f>
        <v>0.39936448328157725</v>
      </c>
      <c r="H37" s="12">
        <f>+SUM(H3:H10)/SUM(D3:D10)-1</f>
        <v>-7.7203204661325575E-2</v>
      </c>
      <c r="I37" s="12">
        <f>+SUM(I3:I10)/SUM(E3:E10)-1</f>
        <v>2.0009851003570889E-2</v>
      </c>
      <c r="J37" s="12">
        <f>+SUM(J3:J10)/SUM(F3:F10)-1</f>
        <v>-2.6186477576662259E-2</v>
      </c>
      <c r="K37" s="12">
        <f>+SUM(K3:K10)/SUM(G3:G10)-1</f>
        <v>-0.13067038241213813</v>
      </c>
      <c r="L37" s="12">
        <f>+SUM(L3:L10)/SUM(H3:H10)-1</f>
        <v>-0.12126508061788255</v>
      </c>
      <c r="U37" s="12">
        <f>+SUM(U3:U10)/SUM(T3:T10)-1</f>
        <v>0.11822146216331775</v>
      </c>
      <c r="V37" s="12">
        <f>+SUM(V3:V10)/SUM(U3:U10)-1</f>
        <v>6.0408637670520626E-2</v>
      </c>
    </row>
    <row r="38" spans="2:37" s="11" customFormat="1" x14ac:dyDescent="0.2">
      <c r="B38" s="11" t="s">
        <v>47</v>
      </c>
      <c r="G38" s="12">
        <f>+SUM(G11:G12)/SUM(C11:C12)-1</f>
        <v>-0.46032742955240125</v>
      </c>
      <c r="H38" s="12">
        <f>+SUM(H11:H12)/SUM(D11:D12)-1</f>
        <v>-8.027142135277554E-2</v>
      </c>
      <c r="I38" s="12">
        <f>+SUM(I11:I12)/SUM(E11:E12)-1</f>
        <v>5.1486974563896837E-3</v>
      </c>
      <c r="J38" s="19">
        <f>+SUM(J11:J12)/SUM(F11:F12)-1</f>
        <v>2.5660723649711588</v>
      </c>
      <c r="K38" s="12">
        <f>+SUM(K11:K12)/SUM(G11:G12)-1</f>
        <v>7.6266583908759511E-2</v>
      </c>
      <c r="L38" s="12">
        <f>+SUM(L11:L12)/SUM(H11:H12)-1</f>
        <v>0.18734793187347942</v>
      </c>
      <c r="U38" s="12">
        <f>+SUM(U11:U12)/SUM(T11:T12)-1</f>
        <v>-4.6851253384575076E-2</v>
      </c>
      <c r="V38" s="12">
        <f>+SUM(V11:V12)/SUM(U11:U12)-1</f>
        <v>-4.1273390392757014E-2</v>
      </c>
    </row>
    <row r="41" spans="2:37" s="9" customFormat="1" ht="15" x14ac:dyDescent="0.25">
      <c r="B41" s="9" t="s">
        <v>72</v>
      </c>
      <c r="F41" s="8">
        <f>+SUM(F42,F47)-SUM(F59,F63)</f>
        <v>86159</v>
      </c>
      <c r="G41" s="8">
        <f>+SUM(G42,G47)-SUM(G59,G63)</f>
        <v>70934</v>
      </c>
      <c r="H41" s="8">
        <f>+SUM(H42,H47)-SUM(H59,H63)</f>
        <v>-93111</v>
      </c>
      <c r="I41" s="8">
        <f>+SUM(I42,I47)-SUM(I59,I63)</f>
        <v>-71411</v>
      </c>
      <c r="J41" s="8">
        <f>+SUM(J42,J47)-SUM(J59,J63)</f>
        <v>-19636</v>
      </c>
      <c r="K41" s="8">
        <f>+SUM(K42,K47)-SUM(K59,K63)</f>
        <v>-11785</v>
      </c>
      <c r="L41" s="8">
        <f>+SUM(L42,L47)-SUM(L59,L63)</f>
        <v>-97350</v>
      </c>
      <c r="U41" s="8">
        <f>+SUM(U42,U47)-SUM(U59,U63)</f>
        <v>86159</v>
      </c>
      <c r="V41" s="8">
        <f>+SUM(V42,V47)-SUM(V59,V63)</f>
        <v>-19636</v>
      </c>
    </row>
    <row r="42" spans="2:37" s="7" customFormat="1" x14ac:dyDescent="0.2">
      <c r="B42" s="7" t="s">
        <v>3</v>
      </c>
      <c r="F42" s="7">
        <v>24874</v>
      </c>
      <c r="G42" s="7">
        <v>25397</v>
      </c>
      <c r="H42" s="7">
        <v>26592</v>
      </c>
      <c r="I42" s="7">
        <v>25857</v>
      </c>
      <c r="J42" s="7">
        <v>26438</v>
      </c>
      <c r="K42" s="7">
        <v>26165</v>
      </c>
      <c r="L42" s="7">
        <v>27215</v>
      </c>
      <c r="U42" s="7">
        <v>24874</v>
      </c>
      <c r="V42" s="7">
        <v>26438</v>
      </c>
    </row>
    <row r="43" spans="2:37" s="7" customFormat="1" x14ac:dyDescent="0.2">
      <c r="B43" s="7" t="s">
        <v>49</v>
      </c>
      <c r="F43" s="7">
        <v>502735</v>
      </c>
      <c r="G43" s="7">
        <v>385675</v>
      </c>
      <c r="H43" s="7">
        <v>678829</v>
      </c>
      <c r="I43" s="7">
        <v>734012</v>
      </c>
      <c r="J43" s="7">
        <v>714396</v>
      </c>
      <c r="K43" s="7">
        <v>728367</v>
      </c>
      <c r="L43" s="7">
        <v>642046</v>
      </c>
      <c r="U43" s="7">
        <v>502735</v>
      </c>
      <c r="V43" s="7">
        <v>714396</v>
      </c>
    </row>
    <row r="44" spans="2:37" s="7" customFormat="1" x14ac:dyDescent="0.2">
      <c r="B44" s="7" t="s">
        <v>50</v>
      </c>
      <c r="F44" s="7">
        <v>296284</v>
      </c>
      <c r="G44" s="7">
        <v>272481</v>
      </c>
      <c r="H44" s="7">
        <v>260987</v>
      </c>
      <c r="I44" s="7">
        <v>282161</v>
      </c>
      <c r="J44" s="7">
        <v>261698</v>
      </c>
      <c r="K44" s="7">
        <v>301875</v>
      </c>
      <c r="L44" s="7">
        <v>322156</v>
      </c>
      <c r="O44" s="23" t="s">
        <v>119</v>
      </c>
      <c r="P44" s="24">
        <v>3.0000000000000001E-3</v>
      </c>
      <c r="U44" s="7">
        <v>296284</v>
      </c>
      <c r="V44" s="7">
        <v>261698</v>
      </c>
    </row>
    <row r="45" spans="2:37" s="7" customFormat="1" x14ac:dyDescent="0.2">
      <c r="B45" s="7" t="s">
        <v>51</v>
      </c>
      <c r="F45" s="7">
        <v>160635</v>
      </c>
      <c r="G45" s="7">
        <v>179516</v>
      </c>
      <c r="H45" s="7">
        <v>186376</v>
      </c>
      <c r="I45" s="7">
        <v>202987</v>
      </c>
      <c r="J45" s="7">
        <v>206071</v>
      </c>
      <c r="K45" s="7">
        <v>224852</v>
      </c>
      <c r="L45" s="7">
        <v>202393</v>
      </c>
      <c r="O45" s="25" t="s">
        <v>120</v>
      </c>
      <c r="P45" s="26">
        <v>0.04</v>
      </c>
      <c r="U45" s="7">
        <v>160635</v>
      </c>
      <c r="V45" s="7">
        <v>206071</v>
      </c>
    </row>
    <row r="46" spans="2:37" s="7" customFormat="1" x14ac:dyDescent="0.2">
      <c r="B46" s="7" t="s">
        <v>61</v>
      </c>
      <c r="F46" s="7">
        <v>503126</v>
      </c>
      <c r="G46" s="7">
        <v>544052</v>
      </c>
      <c r="H46" s="7">
        <v>520588</v>
      </c>
      <c r="I46" s="7">
        <v>515901</v>
      </c>
      <c r="J46" s="7">
        <v>433575</v>
      </c>
      <c r="K46" s="7">
        <v>511528</v>
      </c>
      <c r="L46" s="7">
        <v>456577</v>
      </c>
      <c r="O46" s="25" t="s">
        <v>121</v>
      </c>
      <c r="P46" s="27">
        <f>+NPV(P45,W26:DU26)</f>
        <v>1144765.1883531013</v>
      </c>
      <c r="U46" s="7">
        <v>503126</v>
      </c>
      <c r="V46" s="7">
        <v>433575</v>
      </c>
    </row>
    <row r="47" spans="2:37" s="7" customFormat="1" x14ac:dyDescent="0.2">
      <c r="B47" s="7" t="s">
        <v>52</v>
      </c>
      <c r="F47" s="7">
        <v>388178</v>
      </c>
      <c r="G47" s="21">
        <v>379942</v>
      </c>
      <c r="H47" s="21">
        <v>232161</v>
      </c>
      <c r="I47" s="7">
        <v>251590</v>
      </c>
      <c r="J47" s="7">
        <v>308525</v>
      </c>
      <c r="K47" s="7">
        <v>312875</v>
      </c>
      <c r="L47" s="7">
        <v>222069</v>
      </c>
      <c r="O47" s="25"/>
      <c r="P47" s="27">
        <f>+P46+L41</f>
        <v>1047415.1883531013</v>
      </c>
      <c r="U47" s="7">
        <v>388178</v>
      </c>
      <c r="V47" s="7">
        <v>308525</v>
      </c>
    </row>
    <row r="48" spans="2:37" s="7" customFormat="1" x14ac:dyDescent="0.2">
      <c r="B48" s="7" t="s">
        <v>53</v>
      </c>
      <c r="F48" s="7">
        <v>201821</v>
      </c>
      <c r="G48" s="7">
        <v>217452</v>
      </c>
      <c r="H48" s="7">
        <v>241476</v>
      </c>
      <c r="I48" s="7">
        <v>343542</v>
      </c>
      <c r="J48" s="7">
        <v>363707</v>
      </c>
      <c r="K48" s="7">
        <v>366585</v>
      </c>
      <c r="L48" s="7">
        <v>441649</v>
      </c>
      <c r="O48" s="25" t="s">
        <v>123</v>
      </c>
      <c r="P48" s="28">
        <f>+P47/Main!I11</f>
        <v>357.16601299417584</v>
      </c>
      <c r="U48" s="7">
        <v>201821</v>
      </c>
      <c r="V48" s="7">
        <v>363707</v>
      </c>
    </row>
    <row r="49" spans="2:22" s="7" customFormat="1" x14ac:dyDescent="0.2">
      <c r="B49" s="7" t="s">
        <v>54</v>
      </c>
      <c r="F49" s="7">
        <v>984525</v>
      </c>
      <c r="G49" s="7">
        <v>988306</v>
      </c>
      <c r="H49" s="7">
        <v>1021454</v>
      </c>
      <c r="I49" s="7">
        <v>1026465</v>
      </c>
      <c r="J49" s="7">
        <v>1061328</v>
      </c>
      <c r="K49" s="7">
        <v>1056093</v>
      </c>
      <c r="L49" s="7">
        <v>1086405</v>
      </c>
      <c r="O49" s="25" t="s">
        <v>122</v>
      </c>
      <c r="P49" s="28">
        <v>122.7</v>
      </c>
      <c r="U49" s="7">
        <v>984525</v>
      </c>
      <c r="V49" s="7">
        <v>1061328</v>
      </c>
    </row>
    <row r="50" spans="2:22" s="7" customFormat="1" x14ac:dyDescent="0.2">
      <c r="B50" s="7" t="s">
        <v>55</v>
      </c>
      <c r="F50" s="7">
        <v>90503</v>
      </c>
      <c r="G50" s="7">
        <v>114754</v>
      </c>
      <c r="H50" s="7">
        <v>125253</v>
      </c>
      <c r="I50" s="7">
        <v>116395</v>
      </c>
      <c r="J50" s="7">
        <v>102570</v>
      </c>
      <c r="K50" s="7">
        <v>152207</v>
      </c>
      <c r="L50" s="7">
        <v>145442</v>
      </c>
      <c r="O50" s="29"/>
      <c r="P50" s="30">
        <f>+P48/P49-1</f>
        <v>1.9108884514602757</v>
      </c>
      <c r="U50" s="7">
        <v>90503</v>
      </c>
      <c r="V50" s="7">
        <v>102570</v>
      </c>
    </row>
    <row r="51" spans="2:22" s="7" customFormat="1" x14ac:dyDescent="0.2">
      <c r="B51" s="7" t="s">
        <v>59</v>
      </c>
      <c r="F51" s="7">
        <v>27109</v>
      </c>
      <c r="G51" s="7">
        <v>26926</v>
      </c>
      <c r="H51" s="7">
        <v>26631</v>
      </c>
      <c r="I51" s="7">
        <v>26996</v>
      </c>
      <c r="J51" s="7">
        <v>27070</v>
      </c>
      <c r="K51" s="7">
        <v>26916</v>
      </c>
      <c r="L51" s="7">
        <v>26770</v>
      </c>
      <c r="U51" s="7">
        <v>27109</v>
      </c>
      <c r="V51" s="7">
        <v>27070</v>
      </c>
    </row>
    <row r="52" spans="2:22" s="7" customFormat="1" x14ac:dyDescent="0.2">
      <c r="B52" s="7" t="s">
        <v>56</v>
      </c>
      <c r="F52" s="7">
        <v>53428</v>
      </c>
      <c r="G52" s="7">
        <v>54588</v>
      </c>
      <c r="H52" s="7">
        <v>54655</v>
      </c>
      <c r="I52" s="7">
        <v>56566</v>
      </c>
      <c r="J52" s="7">
        <v>56691</v>
      </c>
      <c r="K52" s="7">
        <v>58485</v>
      </c>
      <c r="L52" s="7">
        <v>59360</v>
      </c>
      <c r="U52" s="7">
        <v>53428</v>
      </c>
      <c r="V52" s="7">
        <v>56691</v>
      </c>
    </row>
    <row r="53" spans="2:22" s="7" customFormat="1" x14ac:dyDescent="0.2">
      <c r="B53" s="7" t="s">
        <v>57</v>
      </c>
      <c r="F53" s="7">
        <v>151539</v>
      </c>
      <c r="G53" s="7">
        <v>200247</v>
      </c>
      <c r="H53" s="7">
        <v>209254</v>
      </c>
      <c r="I53" s="7">
        <v>175104</v>
      </c>
      <c r="J53" s="7">
        <v>181498</v>
      </c>
      <c r="K53" s="7">
        <v>188739</v>
      </c>
      <c r="L53" s="7">
        <v>200233</v>
      </c>
      <c r="U53" s="7">
        <v>151539</v>
      </c>
      <c r="V53" s="7">
        <v>181498</v>
      </c>
    </row>
    <row r="54" spans="2:22" s="8" customFormat="1" ht="15" x14ac:dyDescent="0.25">
      <c r="B54" s="8" t="s">
        <v>60</v>
      </c>
      <c r="F54" s="8">
        <f>+SUM(F42:F47)</f>
        <v>1875832</v>
      </c>
      <c r="G54" s="8">
        <f>+SUM(G42:G47)</f>
        <v>1787063</v>
      </c>
      <c r="H54" s="8">
        <f>+SUM(H42:H47)</f>
        <v>1905533</v>
      </c>
      <c r="I54" s="8">
        <f>+SUM(I42:I47)</f>
        <v>2012508</v>
      </c>
      <c r="J54" s="8">
        <f>+SUM(J42:J47)</f>
        <v>1950703</v>
      </c>
      <c r="K54" s="8">
        <f>+SUM(K42:K47)</f>
        <v>2105662</v>
      </c>
      <c r="L54" s="8">
        <f>+SUM(L42:L47)</f>
        <v>1872456</v>
      </c>
      <c r="U54" s="8">
        <f>+SUM(U42:U47)</f>
        <v>1875832</v>
      </c>
      <c r="V54" s="8">
        <f>+SUM(V42:V47)</f>
        <v>1950703</v>
      </c>
    </row>
    <row r="55" spans="2:22" s="8" customFormat="1" ht="15" x14ac:dyDescent="0.25">
      <c r="B55" s="8" t="s">
        <v>58</v>
      </c>
      <c r="F55" s="8">
        <f>+SUM(F42:F53)</f>
        <v>3384757</v>
      </c>
      <c r="G55" s="8">
        <f>+SUM(G42:G53)</f>
        <v>3389336</v>
      </c>
      <c r="H55" s="8">
        <f>+SUM(H42:H53)</f>
        <v>3584256</v>
      </c>
      <c r="I55" s="8">
        <f>+SUM(I42:I53)</f>
        <v>3757576</v>
      </c>
      <c r="J55" s="8">
        <f>+SUM(J42:J53)</f>
        <v>3743567</v>
      </c>
      <c r="K55" s="8">
        <f>+SUM(K42:K53)</f>
        <v>3954687</v>
      </c>
      <c r="L55" s="8">
        <f>+SUM(L42:L53)</f>
        <v>3832315</v>
      </c>
      <c r="U55" s="8">
        <f>+SUM(U42:U53)</f>
        <v>3384757</v>
      </c>
      <c r="V55" s="8">
        <f>+SUM(V42:V53)</f>
        <v>3743567</v>
      </c>
    </row>
    <row r="57" spans="2:22" s="7" customFormat="1" x14ac:dyDescent="0.2">
      <c r="B57" s="7" t="s">
        <v>49</v>
      </c>
      <c r="F57" s="7">
        <v>2144257</v>
      </c>
      <c r="G57" s="7">
        <v>2278112</v>
      </c>
      <c r="H57" s="7">
        <v>2305217</v>
      </c>
      <c r="I57" s="7">
        <v>2402353</v>
      </c>
      <c r="J57" s="7">
        <v>2462303</v>
      </c>
      <c r="K57" s="7">
        <v>2561207</v>
      </c>
      <c r="L57" s="7">
        <v>2471544</v>
      </c>
      <c r="U57" s="7">
        <v>2144257</v>
      </c>
      <c r="V57" s="7">
        <v>2462303</v>
      </c>
    </row>
    <row r="58" spans="2:22" s="7" customFormat="1" x14ac:dyDescent="0.2">
      <c r="B58" s="7" t="s">
        <v>62</v>
      </c>
      <c r="F58" s="7">
        <v>215209</v>
      </c>
      <c r="G58" s="7">
        <v>304019</v>
      </c>
      <c r="H58" s="7">
        <v>245437</v>
      </c>
      <c r="I58" s="7">
        <v>254920</v>
      </c>
      <c r="J58" s="7">
        <v>194340</v>
      </c>
      <c r="K58" s="7">
        <v>223858</v>
      </c>
      <c r="L58" s="7">
        <v>222719</v>
      </c>
      <c r="U58" s="7">
        <v>215209</v>
      </c>
      <c r="V58" s="7">
        <v>194340</v>
      </c>
    </row>
    <row r="59" spans="2:22" s="7" customFormat="1" x14ac:dyDescent="0.2">
      <c r="B59" s="7" t="s">
        <v>63</v>
      </c>
      <c r="F59" s="7">
        <v>45208</v>
      </c>
      <c r="G59" s="7">
        <v>54978</v>
      </c>
      <c r="H59" s="7">
        <v>51938</v>
      </c>
      <c r="I59" s="7">
        <v>50393</v>
      </c>
      <c r="J59" s="7">
        <v>53594</v>
      </c>
      <c r="K59" s="7">
        <v>57586</v>
      </c>
      <c r="L59" s="7">
        <v>58422</v>
      </c>
      <c r="U59" s="7">
        <v>45208</v>
      </c>
      <c r="V59" s="7">
        <v>53594</v>
      </c>
    </row>
    <row r="60" spans="2:22" s="7" customFormat="1" x14ac:dyDescent="0.2">
      <c r="B60" s="7" t="s">
        <v>64</v>
      </c>
      <c r="F60" s="7">
        <v>170181</v>
      </c>
      <c r="G60" s="7">
        <v>191349</v>
      </c>
      <c r="H60" s="7">
        <v>183867</v>
      </c>
      <c r="I60" s="7">
        <v>179543</v>
      </c>
      <c r="J60" s="7">
        <v>164693</v>
      </c>
      <c r="K60" s="7">
        <v>202083</v>
      </c>
      <c r="L60" s="7">
        <v>190308</v>
      </c>
      <c r="U60" s="7">
        <v>170181</v>
      </c>
      <c r="V60" s="7">
        <v>164693</v>
      </c>
    </row>
    <row r="61" spans="2:22" s="7" customFormat="1" x14ac:dyDescent="0.2">
      <c r="B61" s="7" t="s">
        <v>65</v>
      </c>
      <c r="F61" s="7">
        <v>231285</v>
      </c>
      <c r="G61" s="7">
        <v>285066</v>
      </c>
      <c r="H61" s="7">
        <v>297082</v>
      </c>
      <c r="I61" s="7">
        <v>268604</v>
      </c>
      <c r="J61" s="7">
        <v>262755</v>
      </c>
      <c r="K61" s="7">
        <v>320671</v>
      </c>
      <c r="L61" s="7">
        <v>313326</v>
      </c>
      <c r="U61" s="7">
        <v>231285</v>
      </c>
      <c r="V61" s="7">
        <v>262755</v>
      </c>
    </row>
    <row r="62" spans="2:22" s="7" customFormat="1" x14ac:dyDescent="0.2">
      <c r="B62" s="7" t="s">
        <v>66</v>
      </c>
      <c r="F62" s="7">
        <v>17578</v>
      </c>
      <c r="G62" s="7">
        <v>15671</v>
      </c>
      <c r="H62" s="7">
        <v>14403</v>
      </c>
      <c r="I62" s="7">
        <v>13257</v>
      </c>
      <c r="J62" s="7">
        <v>10750</v>
      </c>
      <c r="K62" s="7">
        <v>10144</v>
      </c>
      <c r="L62" s="7">
        <v>10640</v>
      </c>
      <c r="U62" s="7">
        <v>17578</v>
      </c>
      <c r="V62" s="7">
        <v>10750</v>
      </c>
    </row>
    <row r="63" spans="2:22" s="7" customFormat="1" x14ac:dyDescent="0.2">
      <c r="B63" s="7" t="s">
        <v>69</v>
      </c>
      <c r="F63" s="7">
        <v>281685</v>
      </c>
      <c r="G63" s="7">
        <v>279427</v>
      </c>
      <c r="H63" s="7">
        <v>299926</v>
      </c>
      <c r="I63" s="7">
        <v>298465</v>
      </c>
      <c r="J63" s="7">
        <v>301005</v>
      </c>
      <c r="K63" s="7">
        <v>293239</v>
      </c>
      <c r="L63" s="7">
        <v>288212</v>
      </c>
      <c r="U63" s="7">
        <v>281685</v>
      </c>
      <c r="V63" s="7">
        <v>301005</v>
      </c>
    </row>
    <row r="64" spans="2:22" s="8" customFormat="1" ht="15" x14ac:dyDescent="0.25">
      <c r="B64" s="8" t="s">
        <v>68</v>
      </c>
      <c r="F64" s="8">
        <f>+SUM(F57:F61)</f>
        <v>2806140</v>
      </c>
      <c r="G64" s="8">
        <f>+SUM(G57:G61)</f>
        <v>3113524</v>
      </c>
      <c r="H64" s="8">
        <f>+SUM(H57:H61)</f>
        <v>3083541</v>
      </c>
      <c r="I64" s="8">
        <f>+SUM(I57:I61)</f>
        <v>3155813</v>
      </c>
      <c r="J64" s="8">
        <f>+SUM(J57:J61)</f>
        <v>3137685</v>
      </c>
      <c r="K64" s="8">
        <f>+SUM(K57:K61)</f>
        <v>3365405</v>
      </c>
      <c r="L64" s="8">
        <f>+SUM(L57:L61)</f>
        <v>3256319</v>
      </c>
      <c r="U64" s="8">
        <f>+SUM(U57:U61)</f>
        <v>2806140</v>
      </c>
      <c r="V64" s="8">
        <f>+SUM(V57:V61)</f>
        <v>3137685</v>
      </c>
    </row>
    <row r="65" spans="2:22" s="8" customFormat="1" ht="15" x14ac:dyDescent="0.25">
      <c r="B65" s="8" t="s">
        <v>67</v>
      </c>
      <c r="F65" s="8">
        <f>+SUM(F57:F63)</f>
        <v>3105403</v>
      </c>
      <c r="G65" s="8">
        <f>+SUM(G57:G63)</f>
        <v>3408622</v>
      </c>
      <c r="H65" s="8">
        <f>+SUM(H57:H63)</f>
        <v>3397870</v>
      </c>
      <c r="I65" s="8">
        <f>+SUM(I57:I63)</f>
        <v>3467535</v>
      </c>
      <c r="J65" s="8">
        <f>+SUM(J57:J63)</f>
        <v>3449440</v>
      </c>
      <c r="K65" s="8">
        <f>+SUM(K57:K63)</f>
        <v>3668788</v>
      </c>
      <c r="L65" s="8">
        <f>+SUM(L57:L63)</f>
        <v>3555171</v>
      </c>
      <c r="U65" s="8">
        <f>+SUM(U57:U63)</f>
        <v>3105403</v>
      </c>
      <c r="V65" s="8">
        <f>+SUM(V57:V63)</f>
        <v>3449440</v>
      </c>
    </row>
    <row r="66" spans="2:22" x14ac:dyDescent="0.2">
      <c r="B66" s="7" t="s">
        <v>70</v>
      </c>
      <c r="C66" s="7"/>
      <c r="D66" s="7"/>
      <c r="E66" s="7"/>
      <c r="F66" s="7">
        <v>279354</v>
      </c>
      <c r="G66" s="7">
        <v>280714</v>
      </c>
      <c r="H66" s="7">
        <v>286386</v>
      </c>
      <c r="I66" s="7">
        <v>290041</v>
      </c>
      <c r="J66" s="7">
        <v>294127</v>
      </c>
      <c r="K66" s="7">
        <v>285899</v>
      </c>
      <c r="L66" s="7">
        <v>286143</v>
      </c>
      <c r="U66" s="7">
        <v>279354</v>
      </c>
      <c r="V66" s="7">
        <v>294127</v>
      </c>
    </row>
    <row r="67" spans="2:22" x14ac:dyDescent="0.2">
      <c r="B67" s="7" t="s">
        <v>71</v>
      </c>
      <c r="C67" s="7"/>
      <c r="D67" s="7"/>
      <c r="E67" s="7"/>
      <c r="F67" s="7">
        <f>+SUM(F65:F66)</f>
        <v>3384757</v>
      </c>
      <c r="G67" s="7">
        <f>+SUM(G65:G66)</f>
        <v>3689336</v>
      </c>
      <c r="H67" s="7">
        <f>+SUM(H65:H66)</f>
        <v>3684256</v>
      </c>
      <c r="I67" s="7">
        <f>+SUM(I65:I66)</f>
        <v>3757576</v>
      </c>
      <c r="J67" s="7">
        <f>+SUM(J65:J66)</f>
        <v>3743567</v>
      </c>
      <c r="K67" s="7">
        <f>+SUM(K65:K66)</f>
        <v>3954687</v>
      </c>
      <c r="L67" s="7">
        <f>+SUM(L65:L66)</f>
        <v>3841314</v>
      </c>
      <c r="U67" s="7">
        <f>+SUM(U65:U66)</f>
        <v>3384757</v>
      </c>
      <c r="V67" s="7">
        <f>+SUM(V65:V66)</f>
        <v>3743567</v>
      </c>
    </row>
    <row r="69" spans="2:22" s="11" customFormat="1" x14ac:dyDescent="0.2">
      <c r="B69" s="11" t="s">
        <v>73</v>
      </c>
      <c r="F69" s="13">
        <f>+(F54)/F64</f>
        <v>0.66847413172543069</v>
      </c>
      <c r="G69" s="13">
        <f t="shared" ref="G69:H69" si="68">+(G54)/G64</f>
        <v>0.57396795399682166</v>
      </c>
      <c r="H69" s="13">
        <f t="shared" si="68"/>
        <v>0.61796908164996023</v>
      </c>
      <c r="I69" s="13">
        <f>+(I54)/I64</f>
        <v>0.63771459208768078</v>
      </c>
      <c r="J69" s="13">
        <f>+(J54)/J64</f>
        <v>0.6217013498805648</v>
      </c>
      <c r="K69" s="13">
        <f>+(K54)/K64</f>
        <v>0.62567863303227989</v>
      </c>
      <c r="L69" s="13">
        <f>+(L54)/L64</f>
        <v>0.57502228743559824</v>
      </c>
      <c r="U69" s="13">
        <f t="shared" ref="U69:V69" si="69">+(U54)/U64</f>
        <v>0.66847413172543069</v>
      </c>
      <c r="V69" s="13">
        <f t="shared" si="69"/>
        <v>0.6217013498805648</v>
      </c>
    </row>
    <row r="70" spans="2:22" s="11" customFormat="1" x14ac:dyDescent="0.2">
      <c r="B70" s="11" t="s">
        <v>74</v>
      </c>
      <c r="F70" s="13">
        <f>+SUM(F63,F59)/F66</f>
        <v>1.1701747603399271</v>
      </c>
      <c r="G70" s="13">
        <f t="shared" ref="G70:H70" si="70">+SUM(G63,G59)/G66</f>
        <v>1.191265843527576</v>
      </c>
      <c r="H70" s="13">
        <f t="shared" si="70"/>
        <v>1.2286354779912425</v>
      </c>
      <c r="I70" s="13">
        <f>+SUM(I63,I59)/I66</f>
        <v>1.2027885712709583</v>
      </c>
      <c r="J70" s="13">
        <f>+SUM(J63,J59)/J66</f>
        <v>1.2055982619752692</v>
      </c>
      <c r="K70" s="13">
        <f>+SUM(K63,K59)/K66</f>
        <v>1.227094183610296</v>
      </c>
      <c r="L70" s="13">
        <f>+SUM(L63,L59)/L66</f>
        <v>1.2114012923608126</v>
      </c>
      <c r="U70" s="13">
        <f t="shared" ref="U70:V70" si="71">+SUM(U63,U59)/U66</f>
        <v>1.1701747603399271</v>
      </c>
      <c r="V70" s="13">
        <f t="shared" si="71"/>
        <v>1.2055982619752692</v>
      </c>
    </row>
    <row r="71" spans="2:22" s="11" customFormat="1" x14ac:dyDescent="0.2">
      <c r="B71" s="11" t="s">
        <v>75</v>
      </c>
      <c r="F71" s="22">
        <f>+SUM(F63,F59)/F67</f>
        <v>9.6577981816715355E-2</v>
      </c>
      <c r="G71" s="22">
        <f t="shared" ref="G71" si="72">+SUM(G63,G59)/G67</f>
        <v>9.0640971708730242E-2</v>
      </c>
      <c r="H71" s="22">
        <f>+SUM(H63,H59)/H67</f>
        <v>9.5504764055483651E-2</v>
      </c>
      <c r="I71" s="22">
        <f>+SUM(I63,I59)/I67</f>
        <v>9.2841235945726713E-2</v>
      </c>
      <c r="J71" s="22">
        <f>+SUM(J63,J59)/J67</f>
        <v>9.472222615489452E-2</v>
      </c>
      <c r="K71" s="22">
        <f>+SUM(K63,K59)/K67</f>
        <v>8.8711192567199379E-2</v>
      </c>
      <c r="L71" s="22">
        <f>+SUM(L63,L59)/L67</f>
        <v>9.0238392383439628E-2</v>
      </c>
      <c r="U71" s="12">
        <f>+SUM(U63,U59)/U67</f>
        <v>9.6577981816715355E-2</v>
      </c>
      <c r="V71" s="12">
        <f t="shared" ref="V71" si="73">+SUM(V63,V59)/V67</f>
        <v>9.472222615489452E-2</v>
      </c>
    </row>
    <row r="73" spans="2:22" x14ac:dyDescent="0.2">
      <c r="B73" s="5" t="s">
        <v>124</v>
      </c>
      <c r="F73" s="10">
        <f>+F44/F58</f>
        <v>1.3767268097523802</v>
      </c>
      <c r="G73" s="10">
        <f t="shared" ref="F73:L73" si="74">+G44/G58</f>
        <v>0.89626306250596177</v>
      </c>
      <c r="H73" s="10">
        <f t="shared" si="74"/>
        <v>1.0633563806598028</v>
      </c>
      <c r="I73" s="10">
        <f t="shared" si="74"/>
        <v>1.1068609759924681</v>
      </c>
      <c r="J73" s="10">
        <f t="shared" si="74"/>
        <v>1.3465987444684573</v>
      </c>
      <c r="K73" s="10">
        <f t="shared" si="74"/>
        <v>1.3485111097213411</v>
      </c>
      <c r="L73" s="10">
        <f>+L44/L58</f>
        <v>1.4464684198474311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90BD-7794-4B78-B438-A700FEE9EC06}">
  <dimension ref="A1:Q73"/>
  <sheetViews>
    <sheetView topLeftCell="B1" zoomScale="85" zoomScaleNormal="85" workbookViewId="0">
      <selection activeCell="I14" sqref="I14"/>
    </sheetView>
  </sheetViews>
  <sheetFormatPr defaultRowHeight="14.25" x14ac:dyDescent="0.2"/>
  <cols>
    <col min="1" max="1" width="10.375" customWidth="1"/>
    <col min="2" max="2" width="9.125" bestFit="1" customWidth="1"/>
    <col min="3" max="3" width="10.5" customWidth="1"/>
    <col min="4" max="5" width="25.375" customWidth="1"/>
    <col min="9" max="9" width="18" bestFit="1" customWidth="1"/>
    <col min="10" max="10" width="12.5" bestFit="1" customWidth="1"/>
    <col min="11" max="11" width="13.5" bestFit="1" customWidth="1"/>
    <col min="12" max="12" width="12.5" bestFit="1" customWidth="1"/>
    <col min="13" max="13" width="11.875" bestFit="1" customWidth="1"/>
    <col min="14" max="14" width="12.875" bestFit="1" customWidth="1"/>
    <col min="15" max="15" width="11.875" bestFit="1" customWidth="1"/>
    <col min="16" max="16" width="12.5" bestFit="1" customWidth="1"/>
    <col min="17" max="17" width="12" bestFit="1" customWidth="1"/>
  </cols>
  <sheetData>
    <row r="1" spans="1:9" x14ac:dyDescent="0.2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9" x14ac:dyDescent="0.2">
      <c r="A2" s="4">
        <v>44039</v>
      </c>
      <c r="B2" s="2">
        <v>37730</v>
      </c>
    </row>
    <row r="3" spans="1:9" x14ac:dyDescent="0.2">
      <c r="A3" s="4">
        <v>44129</v>
      </c>
      <c r="B3" s="2">
        <v>33075</v>
      </c>
    </row>
    <row r="4" spans="1:9" x14ac:dyDescent="0.2">
      <c r="A4" s="4">
        <v>44219</v>
      </c>
      <c r="B4" s="2">
        <v>29255</v>
      </c>
    </row>
    <row r="5" spans="1:9" x14ac:dyDescent="0.2">
      <c r="A5" s="4">
        <v>44309</v>
      </c>
      <c r="B5" s="2">
        <v>19891</v>
      </c>
    </row>
    <row r="6" spans="1:9" x14ac:dyDescent="0.2">
      <c r="A6" s="4">
        <v>44399</v>
      </c>
      <c r="B6" s="2">
        <v>32266</v>
      </c>
    </row>
    <row r="7" spans="1:9" x14ac:dyDescent="0.2">
      <c r="A7" s="4">
        <v>44489</v>
      </c>
      <c r="B7" s="2">
        <v>30479</v>
      </c>
    </row>
    <row r="8" spans="1:9" x14ac:dyDescent="0.2">
      <c r="A8" s="4">
        <v>44579</v>
      </c>
      <c r="B8" s="2">
        <v>29647</v>
      </c>
    </row>
    <row r="9" spans="1:9" x14ac:dyDescent="0.2">
      <c r="A9" s="4">
        <v>44669</v>
      </c>
      <c r="B9" s="2">
        <v>29257</v>
      </c>
    </row>
    <row r="10" spans="1:9" x14ac:dyDescent="0.2">
      <c r="A10" s="4">
        <v>44759</v>
      </c>
      <c r="B10" s="2">
        <v>30717</v>
      </c>
    </row>
    <row r="11" spans="1:9" x14ac:dyDescent="0.2">
      <c r="A11" s="4">
        <v>44849</v>
      </c>
      <c r="B11" s="2">
        <v>30715</v>
      </c>
      <c r="C11" s="2">
        <v>30715</v>
      </c>
      <c r="D11" s="2">
        <v>30715</v>
      </c>
      <c r="E11" s="2">
        <v>30715</v>
      </c>
    </row>
    <row r="12" spans="1:9" x14ac:dyDescent="0.2">
      <c r="A12" s="4">
        <v>44939</v>
      </c>
      <c r="C12" s="2">
        <f>_xlfn.FORECAST.ETS(A12,$B$2:$B$11,$A$2:$A$11,1,1)</f>
        <v>29758.711960756453</v>
      </c>
      <c r="D12" s="2">
        <f>C12-_xlfn.FORECAST.ETS.CONFINT(A12,$B$2:$B$11,$A$2:$A$11,0.95,1,1)</f>
        <v>20019.335524731752</v>
      </c>
      <c r="E12" s="2">
        <f>C12+_xlfn.FORECAST.ETS.CONFINT(A12,$B$2:$B$11,$A$2:$A$11,0.95,1,1)</f>
        <v>39498.088396781153</v>
      </c>
      <c r="I12">
        <v>29758.711960756453</v>
      </c>
    </row>
    <row r="13" spans="1:9" x14ac:dyDescent="0.2">
      <c r="A13" s="4">
        <v>45029</v>
      </c>
      <c r="C13" s="2">
        <f>_xlfn.FORECAST.ETS(A13,$B$2:$B$11,$A$2:$A$11,1,1)</f>
        <v>29433.24961589013</v>
      </c>
      <c r="D13" s="2">
        <f>C13-_xlfn.FORECAST.ETS.CONFINT(A13,$B$2:$B$11,$A$2:$A$11,0.95,1,1)</f>
        <v>18539.936666559355</v>
      </c>
      <c r="E13" s="2">
        <f>C13+_xlfn.FORECAST.ETS.CONFINT(A13,$B$2:$B$11,$A$2:$A$11,0.95,1,1)</f>
        <v>40326.562565220906</v>
      </c>
      <c r="I13">
        <v>29433.24961589013</v>
      </c>
    </row>
    <row r="14" spans="1:9" x14ac:dyDescent="0.2">
      <c r="A14" s="4">
        <v>45119</v>
      </c>
      <c r="C14" s="2">
        <f>_xlfn.FORECAST.ETS(A14,$B$2:$B$11,$A$2:$A$11,1,1)</f>
        <v>29107.787271023808</v>
      </c>
      <c r="D14" s="2">
        <f>C14-_xlfn.FORECAST.ETS.CONFINT(A14,$B$2:$B$11,$A$2:$A$11,0.95,1,1)</f>
        <v>17167.593776727139</v>
      </c>
      <c r="E14" s="2">
        <f>C14+_xlfn.FORECAST.ETS.CONFINT(A14,$B$2:$B$11,$A$2:$A$11,0.95,1,1)</f>
        <v>41047.980765320477</v>
      </c>
      <c r="I14">
        <v>29107.787271023808</v>
      </c>
    </row>
    <row r="48" spans="4:7" x14ac:dyDescent="0.2">
      <c r="D48" t="s">
        <v>90</v>
      </c>
      <c r="E48" t="s">
        <v>91</v>
      </c>
      <c r="F48" t="s">
        <v>92</v>
      </c>
      <c r="G48" t="s">
        <v>93</v>
      </c>
    </row>
    <row r="49" spans="4:10" x14ac:dyDescent="0.2">
      <c r="D49" t="s">
        <v>86</v>
      </c>
      <c r="E49" t="s">
        <v>87</v>
      </c>
      <c r="F49" t="s">
        <v>88</v>
      </c>
      <c r="G49" t="s">
        <v>89</v>
      </c>
    </row>
    <row r="50" spans="4:10" x14ac:dyDescent="0.2">
      <c r="D50" s="18">
        <v>2.5922884702821669E-2</v>
      </c>
      <c r="E50" s="18">
        <v>0.39936448328157725</v>
      </c>
      <c r="F50" s="18">
        <v>-0.46032742955240125</v>
      </c>
      <c r="G50" s="18">
        <v>-0.14481844685926315</v>
      </c>
    </row>
    <row r="51" spans="4:10" x14ac:dyDescent="0.2">
      <c r="D51" s="18">
        <v>0.16755355579510334</v>
      </c>
      <c r="E51" s="18">
        <v>-7.7203204661325575E-2</v>
      </c>
      <c r="F51" s="18">
        <v>-8.027142135277554E-2</v>
      </c>
      <c r="G51" s="18">
        <v>-7.8488284202569925E-2</v>
      </c>
    </row>
    <row r="52" spans="4:10" x14ac:dyDescent="0.2">
      <c r="D52" s="18">
        <v>9.7630521339802767E-2</v>
      </c>
      <c r="E52" s="18">
        <v>2.0009851003570889E-2</v>
      </c>
      <c r="F52" s="18">
        <v>5.1486974563896837E-3</v>
      </c>
      <c r="G52" s="18">
        <v>1.3399418902751759E-2</v>
      </c>
    </row>
    <row r="53" spans="4:10" x14ac:dyDescent="0.2">
      <c r="D53" s="18">
        <v>0.11757451264217322</v>
      </c>
      <c r="E53" s="18">
        <v>-2.6186477576662259E-2</v>
      </c>
      <c r="F53" s="18">
        <v>2.5660723649711588</v>
      </c>
      <c r="G53" s="18">
        <v>0.47086622090392649</v>
      </c>
    </row>
    <row r="54" spans="4:10" x14ac:dyDescent="0.2">
      <c r="D54" s="18">
        <v>0.10656520175444251</v>
      </c>
      <c r="E54" s="18">
        <v>-0.13067038241213813</v>
      </c>
      <c r="F54" s="18">
        <v>7.6266583908759511E-2</v>
      </c>
      <c r="G54" s="18">
        <v>-4.8007190231203145E-2</v>
      </c>
    </row>
    <row r="55" spans="4:10" x14ac:dyDescent="0.2">
      <c r="D55" s="18">
        <v>9.4188683951279328E-2</v>
      </c>
      <c r="E55" s="18">
        <v>-0.12126508061788255</v>
      </c>
      <c r="F55" s="18">
        <v>0.18734793187347942</v>
      </c>
      <c r="G55" s="18">
        <v>7.7430361888513044E-3</v>
      </c>
    </row>
    <row r="56" spans="4:10" x14ac:dyDescent="0.2">
      <c r="I56" t="s">
        <v>94</v>
      </c>
    </row>
    <row r="57" spans="4:10" ht="15" thickBot="1" x14ac:dyDescent="0.25"/>
    <row r="58" spans="4:10" x14ac:dyDescent="0.2">
      <c r="I58" s="17" t="s">
        <v>95</v>
      </c>
      <c r="J58" s="17"/>
    </row>
    <row r="59" spans="4:10" x14ac:dyDescent="0.2">
      <c r="I59" s="14" t="s">
        <v>96</v>
      </c>
      <c r="J59" s="14">
        <v>0.25735348065371194</v>
      </c>
    </row>
    <row r="60" spans="4:10" x14ac:dyDescent="0.2">
      <c r="I60" s="14" t="s">
        <v>97</v>
      </c>
      <c r="J60" s="14">
        <v>6.6230814004580474E-2</v>
      </c>
    </row>
    <row r="61" spans="4:10" x14ac:dyDescent="0.2">
      <c r="I61" s="14" t="s">
        <v>98</v>
      </c>
      <c r="J61" s="14">
        <v>-0.16721148249427442</v>
      </c>
    </row>
    <row r="62" spans="4:10" x14ac:dyDescent="0.2">
      <c r="I62" s="14" t="s">
        <v>99</v>
      </c>
      <c r="J62" s="14">
        <v>0.23830759059559567</v>
      </c>
    </row>
    <row r="63" spans="4:10" ht="15" thickBot="1" x14ac:dyDescent="0.25">
      <c r="I63" s="15" t="s">
        <v>100</v>
      </c>
      <c r="J63" s="15">
        <v>6</v>
      </c>
    </row>
    <row r="65" spans="9:17" ht="15" thickBot="1" x14ac:dyDescent="0.25">
      <c r="I65" t="s">
        <v>101</v>
      </c>
    </row>
    <row r="66" spans="9:17" x14ac:dyDescent="0.2">
      <c r="I66" s="16"/>
      <c r="J66" s="16" t="s">
        <v>106</v>
      </c>
      <c r="K66" s="16" t="s">
        <v>107</v>
      </c>
      <c r="L66" s="16" t="s">
        <v>108</v>
      </c>
      <c r="M66" s="16" t="s">
        <v>109</v>
      </c>
      <c r="N66" s="16" t="s">
        <v>110</v>
      </c>
    </row>
    <row r="67" spans="9:17" x14ac:dyDescent="0.2">
      <c r="I67" s="14" t="s">
        <v>102</v>
      </c>
      <c r="J67" s="14">
        <v>1</v>
      </c>
      <c r="K67" s="14">
        <v>1.6112253912274999E-2</v>
      </c>
      <c r="L67" s="14">
        <v>1.6112253912274999E-2</v>
      </c>
      <c r="M67" s="14">
        <v>0.28371385562044177</v>
      </c>
      <c r="N67" s="14">
        <v>0.62249214427473576</v>
      </c>
    </row>
    <row r="68" spans="9:17" x14ac:dyDescent="0.2">
      <c r="I68" s="14" t="s">
        <v>103</v>
      </c>
      <c r="J68" s="14">
        <v>4</v>
      </c>
      <c r="K68" s="14">
        <v>0.22716203094191215</v>
      </c>
      <c r="L68" s="14">
        <v>5.6790507735478037E-2</v>
      </c>
      <c r="M68" s="14"/>
      <c r="N68" s="14"/>
    </row>
    <row r="69" spans="9:17" ht="15" thickBot="1" x14ac:dyDescent="0.25">
      <c r="I69" s="15" t="s">
        <v>104</v>
      </c>
      <c r="J69" s="15">
        <v>5</v>
      </c>
      <c r="K69" s="15">
        <v>0.24327428485418714</v>
      </c>
      <c r="L69" s="15"/>
      <c r="M69" s="15"/>
      <c r="N69" s="15"/>
    </row>
    <row r="70" spans="9:17" ht="15" thickBot="1" x14ac:dyDescent="0.25"/>
    <row r="71" spans="9:17" x14ac:dyDescent="0.2">
      <c r="I71" s="16"/>
      <c r="J71" s="16" t="s">
        <v>111</v>
      </c>
      <c r="K71" s="16" t="s">
        <v>99</v>
      </c>
      <c r="L71" s="16" t="s">
        <v>112</v>
      </c>
      <c r="M71" s="16" t="s">
        <v>113</v>
      </c>
      <c r="N71" s="16" t="s">
        <v>114</v>
      </c>
      <c r="O71" s="16" t="s">
        <v>115</v>
      </c>
      <c r="P71" s="16" t="s">
        <v>116</v>
      </c>
      <c r="Q71" s="16" t="s">
        <v>117</v>
      </c>
    </row>
    <row r="72" spans="9:17" x14ac:dyDescent="0.2">
      <c r="I72" s="14" t="s">
        <v>105</v>
      </c>
      <c r="J72" s="14">
        <v>-8.9477664149105157E-2</v>
      </c>
      <c r="K72" s="14">
        <v>0.2562306739371219</v>
      </c>
      <c r="L72" s="14">
        <v>-0.34920746518842882</v>
      </c>
      <c r="M72" s="14">
        <v>0.74454195774904997</v>
      </c>
      <c r="N72" s="14">
        <v>-0.80088806460335915</v>
      </c>
      <c r="O72" s="14">
        <v>0.62193273630514878</v>
      </c>
      <c r="P72" s="14">
        <v>-0.80088806460335915</v>
      </c>
      <c r="Q72" s="14">
        <v>0.62193273630514878</v>
      </c>
    </row>
    <row r="73" spans="9:17" ht="15" thickBot="1" x14ac:dyDescent="0.25">
      <c r="I73" s="15" t="s">
        <v>118</v>
      </c>
      <c r="J73" s="15">
        <v>1.2430534706197309</v>
      </c>
      <c r="K73" s="15">
        <v>2.3337242420988202</v>
      </c>
      <c r="L73" s="15">
        <v>0.53264796594039687</v>
      </c>
      <c r="M73" s="15">
        <v>0.62249214427473565</v>
      </c>
      <c r="N73" s="15">
        <v>-5.2364037782369692</v>
      </c>
      <c r="O73" s="15">
        <v>7.7225107194764302</v>
      </c>
      <c r="P73" s="15">
        <v>-5.2364037782369692</v>
      </c>
      <c r="Q73" s="15">
        <v>7.7225107194764302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2022-10-24T16:08:42Z</dcterms:created>
  <dcterms:modified xsi:type="dcterms:W3CDTF">2022-10-26T18:25:03Z</dcterms:modified>
</cp:coreProperties>
</file>