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l\"/>
    </mc:Choice>
  </mc:AlternateContent>
  <xr:revisionPtr revIDLastSave="0" documentId="13_ncr:1_{192C1F0D-FC74-48D3-96AC-568C314D63E7}" xr6:coauthVersionLast="47" xr6:coauthVersionMax="47" xr10:uidLastSave="{00000000-0000-0000-0000-000000000000}"/>
  <bookViews>
    <workbookView xWindow="-120" yWindow="-120" windowWidth="29040" windowHeight="15840" activeTab="1" xr2:uid="{39E99D67-AB4C-4B04-8FE1-6F15A8CADCAF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57" i="2" l="1"/>
  <c r="O72" i="2"/>
  <c r="O62" i="2"/>
  <c r="O54" i="2"/>
  <c r="O46" i="2"/>
  <c r="O70" i="2"/>
  <c r="O69" i="2"/>
  <c r="O58" i="2"/>
  <c r="O45" i="2"/>
  <c r="O42" i="2"/>
  <c r="O39" i="2"/>
  <c r="O38" i="2"/>
  <c r="J31" i="2"/>
  <c r="K33" i="2"/>
  <c r="O30" i="2"/>
  <c r="O26" i="2"/>
  <c r="O25" i="2"/>
  <c r="O19" i="2"/>
  <c r="O18" i="2"/>
  <c r="P18" i="2"/>
  <c r="O13" i="2"/>
  <c r="O10" i="2"/>
  <c r="O8" i="2"/>
  <c r="O11" i="2"/>
  <c r="O9" i="2"/>
  <c r="P8" i="2"/>
  <c r="K8" i="2"/>
  <c r="M11" i="2"/>
  <c r="L11" i="2"/>
  <c r="K11" i="2"/>
  <c r="M10" i="2"/>
  <c r="L10" i="2"/>
  <c r="K10" i="2"/>
  <c r="M9" i="2"/>
  <c r="L9" i="2"/>
  <c r="K9" i="2"/>
  <c r="M8" i="2"/>
  <c r="L8" i="2"/>
  <c r="P11" i="2"/>
  <c r="P10" i="2"/>
  <c r="P9" i="2"/>
  <c r="P57" i="2"/>
  <c r="N62" i="2"/>
  <c r="N70" i="2" s="1"/>
  <c r="N72" i="2" s="1"/>
  <c r="P62" i="2"/>
  <c r="P70" i="2" s="1"/>
  <c r="P72" i="2" s="1"/>
  <c r="N54" i="2"/>
  <c r="N46" i="2"/>
  <c r="N57" i="2"/>
  <c r="P54" i="2"/>
  <c r="P58" i="2" s="1"/>
  <c r="P25" i="2"/>
  <c r="O37" i="2" l="1"/>
  <c r="N45" i="2"/>
  <c r="N58" i="2"/>
  <c r="P45" i="2"/>
  <c r="P69" i="2"/>
  <c r="N69" i="2"/>
  <c r="O33" i="2" l="1"/>
  <c r="O34" i="2" s="1"/>
  <c r="P13" i="2" l="1"/>
  <c r="I9" i="1"/>
  <c r="M18" i="2"/>
  <c r="G18" i="2"/>
  <c r="J35" i="2"/>
  <c r="J32" i="2"/>
  <c r="J29" i="2"/>
  <c r="J28" i="2"/>
  <c r="J27" i="2"/>
  <c r="J24" i="2"/>
  <c r="J23" i="2"/>
  <c r="J22" i="2"/>
  <c r="J21" i="2"/>
  <c r="J20" i="2"/>
  <c r="J17" i="2"/>
  <c r="J16" i="2"/>
  <c r="J15" i="2"/>
  <c r="J14" i="2"/>
  <c r="J6" i="2"/>
  <c r="J5" i="2"/>
  <c r="J4" i="2"/>
  <c r="J3" i="2"/>
  <c r="W13" i="2"/>
  <c r="W25" i="2"/>
  <c r="W18" i="2"/>
  <c r="G25" i="2"/>
  <c r="G13" i="2"/>
  <c r="K18" i="2"/>
  <c r="K25" i="2"/>
  <c r="K13" i="2"/>
  <c r="H18" i="2"/>
  <c r="H25" i="2"/>
  <c r="H13" i="2"/>
  <c r="L25" i="2"/>
  <c r="L18" i="2"/>
  <c r="L13" i="2"/>
  <c r="I25" i="2"/>
  <c r="M25" i="2"/>
  <c r="M13" i="2"/>
  <c r="I13" i="2"/>
  <c r="I19" i="2" s="1"/>
  <c r="I37" i="2" s="1"/>
  <c r="V2" i="2"/>
  <c r="W2" i="2" s="1"/>
  <c r="X2" i="2" s="1"/>
  <c r="Y2" i="2" s="1"/>
  <c r="Z2" i="2" s="1"/>
  <c r="AA2" i="2" s="1"/>
  <c r="AB2" i="2" s="1"/>
  <c r="AC2" i="2" s="1"/>
  <c r="AD2" i="2" s="1"/>
  <c r="AE2" i="2" s="1"/>
  <c r="AF2" i="2" s="1"/>
  <c r="AG2" i="2" s="1"/>
  <c r="AH2" i="2" s="1"/>
  <c r="AI2" i="2" s="1"/>
  <c r="AJ2" i="2" s="1"/>
  <c r="AK2" i="2" s="1"/>
  <c r="AL2" i="2" s="1"/>
  <c r="AM2" i="2" s="1"/>
  <c r="AN2" i="2" s="1"/>
  <c r="AO2" i="2" s="1"/>
  <c r="AP2" i="2" s="1"/>
  <c r="AQ2" i="2" s="1"/>
  <c r="I7" i="1"/>
  <c r="K42" i="2" l="1"/>
  <c r="J18" i="2"/>
  <c r="L42" i="2"/>
  <c r="H19" i="2"/>
  <c r="H37" i="2" s="1"/>
  <c r="J25" i="2"/>
  <c r="M42" i="2"/>
  <c r="J13" i="2"/>
  <c r="P42" i="2"/>
  <c r="M19" i="2"/>
  <c r="M37" i="2" s="1"/>
  <c r="W19" i="2"/>
  <c r="W37" i="2" s="1"/>
  <c r="I26" i="2"/>
  <c r="I38" i="2" s="1"/>
  <c r="P19" i="2"/>
  <c r="I10" i="1"/>
  <c r="G19" i="2"/>
  <c r="K19" i="2"/>
  <c r="L19" i="2"/>
  <c r="H26" i="2" l="1"/>
  <c r="H38" i="2" s="1"/>
  <c r="M26" i="2"/>
  <c r="W26" i="2"/>
  <c r="W38" i="2" s="1"/>
  <c r="I30" i="2"/>
  <c r="I39" i="2" s="1"/>
  <c r="L26" i="2"/>
  <c r="L37" i="2"/>
  <c r="K26" i="2"/>
  <c r="K37" i="2"/>
  <c r="P37" i="2"/>
  <c r="P26" i="2"/>
  <c r="G26" i="2"/>
  <c r="J19" i="2"/>
  <c r="J37" i="2" s="1"/>
  <c r="G37" i="2"/>
  <c r="W30" i="2" l="1"/>
  <c r="W39" i="2" s="1"/>
  <c r="H30" i="2"/>
  <c r="I33" i="2"/>
  <c r="I34" i="2" s="1"/>
  <c r="M38" i="2"/>
  <c r="M30" i="2"/>
  <c r="W33" i="2"/>
  <c r="W34" i="2" s="1"/>
  <c r="K30" i="2"/>
  <c r="K38" i="2"/>
  <c r="L30" i="2"/>
  <c r="L38" i="2"/>
  <c r="P38" i="2"/>
  <c r="P30" i="2"/>
  <c r="G30" i="2"/>
  <c r="J26" i="2"/>
  <c r="J38" i="2" s="1"/>
  <c r="G38" i="2"/>
  <c r="H39" i="2" l="1"/>
  <c r="H33" i="2"/>
  <c r="H34" i="2" s="1"/>
  <c r="M33" i="2"/>
  <c r="M34" i="2" s="1"/>
  <c r="M39" i="2"/>
  <c r="K39" i="2"/>
  <c r="K34" i="2"/>
  <c r="L33" i="2"/>
  <c r="L34" i="2" s="1"/>
  <c r="L39" i="2"/>
  <c r="P39" i="2"/>
  <c r="P33" i="2"/>
  <c r="P34" i="2" s="1"/>
  <c r="G33" i="2"/>
  <c r="J33" i="2" s="1"/>
  <c r="J34" i="2" s="1"/>
  <c r="G39" i="2"/>
  <c r="J30" i="2"/>
  <c r="J39" i="2" s="1"/>
  <c r="G34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Josh Case</author>
  </authors>
  <commentList>
    <comment ref="G24" authorId="0" shapeId="0" xr:uid="{2216235D-32A4-4383-87E0-E4DD3BD0E6AF}">
      <text>
        <r>
          <rPr>
            <b/>
            <sz val="9"/>
            <color indexed="81"/>
            <rFont val="Tahoma"/>
            <family val="2"/>
          </rPr>
          <t>Josh Case:</t>
        </r>
        <r>
          <rPr>
            <sz val="9"/>
            <color indexed="81"/>
            <rFont val="Tahoma"/>
            <family val="2"/>
          </rPr>
          <t xml:space="preserve">
REIT</t>
        </r>
      </text>
    </comment>
    <comment ref="M24" authorId="0" shapeId="0" xr:uid="{18C9CC4D-312D-431A-80D1-7219C7817FEF}">
      <text>
        <r>
          <rPr>
            <b/>
            <sz val="9"/>
            <color indexed="81"/>
            <rFont val="Tahoma"/>
            <family val="2"/>
          </rPr>
          <t>Josh Case:</t>
        </r>
        <r>
          <rPr>
            <sz val="9"/>
            <color indexed="81"/>
            <rFont val="Tahoma"/>
            <family val="2"/>
          </rPr>
          <t xml:space="preserve">
SOLARCITY</t>
        </r>
      </text>
    </comment>
    <comment ref="P24" authorId="0" shapeId="0" xr:uid="{30B881F8-FE47-4298-BE1F-CEAB6765A3B7}">
      <text>
        <r>
          <rPr>
            <b/>
            <sz val="9"/>
            <color indexed="81"/>
            <rFont val="Tahoma"/>
            <family val="2"/>
          </rPr>
          <t>Josh Case:</t>
        </r>
        <r>
          <rPr>
            <sz val="9"/>
            <color indexed="81"/>
            <rFont val="Tahoma"/>
            <family val="2"/>
          </rPr>
          <t xml:space="preserve">
Fair value received on merger of MCM's REIT w/ VICI REIT</t>
        </r>
      </text>
    </comment>
    <comment ref="P51" authorId="0" shapeId="0" xr:uid="{48A1695F-0DEF-4BBD-82BA-0E0EB0FBBA14}">
      <text>
        <r>
          <rPr>
            <b/>
            <sz val="9"/>
            <color indexed="81"/>
            <rFont val="Tahoma"/>
            <family val="2"/>
          </rPr>
          <t>Josh Case:</t>
        </r>
        <r>
          <rPr>
            <sz val="9"/>
            <color indexed="81"/>
            <rFont val="Tahoma"/>
            <family val="2"/>
          </rPr>
          <t xml:space="preserve">
Gold Strike Tunica for Sale!</t>
        </r>
      </text>
    </comment>
    <comment ref="P53" authorId="0" shapeId="0" xr:uid="{6036EA55-6A0E-43F4-A015-53F0EA9052E4}">
      <text>
        <r>
          <rPr>
            <b/>
            <sz val="9"/>
            <color indexed="81"/>
            <rFont val="Tahoma"/>
            <family val="2"/>
          </rPr>
          <t>Josh Case:</t>
        </r>
        <r>
          <rPr>
            <sz val="9"/>
            <color indexed="81"/>
            <rFont val="Tahoma"/>
            <family val="2"/>
          </rPr>
          <t xml:space="preserve">
Result of VICI merger </t>
        </r>
      </text>
    </comment>
  </commentList>
</comments>
</file>

<file path=xl/sharedStrings.xml><?xml version="1.0" encoding="utf-8"?>
<sst xmlns="http://schemas.openxmlformats.org/spreadsheetml/2006/main" count="90" uniqueCount="82">
  <si>
    <t>Price</t>
  </si>
  <si>
    <t>Shares</t>
  </si>
  <si>
    <t>MC</t>
  </si>
  <si>
    <t>Cash</t>
  </si>
  <si>
    <t>Debt</t>
  </si>
  <si>
    <t>EV</t>
  </si>
  <si>
    <t>Q321</t>
  </si>
  <si>
    <t>Q119</t>
  </si>
  <si>
    <t>Q219</t>
  </si>
  <si>
    <t>Q319</t>
  </si>
  <si>
    <t>Q419</t>
  </si>
  <si>
    <t>Q120</t>
  </si>
  <si>
    <t>Q220</t>
  </si>
  <si>
    <t>Q320</t>
  </si>
  <si>
    <t>Q420</t>
  </si>
  <si>
    <t>Q121</t>
  </si>
  <si>
    <t>Q221</t>
  </si>
  <si>
    <t>Q421</t>
  </si>
  <si>
    <t>Q122</t>
  </si>
  <si>
    <t>Q222</t>
  </si>
  <si>
    <t>Q322</t>
  </si>
  <si>
    <t>Q422</t>
  </si>
  <si>
    <t>Main</t>
  </si>
  <si>
    <t>Rooms</t>
  </si>
  <si>
    <t>Food &amp; Beverage</t>
  </si>
  <si>
    <t>Entertainment</t>
  </si>
  <si>
    <t>Gambling</t>
  </si>
  <si>
    <t>Revenue</t>
  </si>
  <si>
    <t>Cost of Casino</t>
  </si>
  <si>
    <t>Cost of Rooms</t>
  </si>
  <si>
    <t>Cost of F&amp;B</t>
  </si>
  <si>
    <t>Cost of Entertainmnet</t>
  </si>
  <si>
    <t>COGS</t>
  </si>
  <si>
    <t>Gross Profit</t>
  </si>
  <si>
    <t>G&amp;A</t>
  </si>
  <si>
    <t>Corporate Expense</t>
  </si>
  <si>
    <t>Preopenings &amp; Start-up Expense</t>
  </si>
  <si>
    <t>Property Transcation</t>
  </si>
  <si>
    <t>Operating Expenses</t>
  </si>
  <si>
    <t>Operating Income</t>
  </si>
  <si>
    <t>Interest Expense</t>
  </si>
  <si>
    <t>Non-operating Items from affliates</t>
  </si>
  <si>
    <t>Pretax Income</t>
  </si>
  <si>
    <t>Taxes</t>
  </si>
  <si>
    <t>Net Income</t>
  </si>
  <si>
    <t>MI</t>
  </si>
  <si>
    <t>EPS</t>
  </si>
  <si>
    <t>Gross Margin %</t>
  </si>
  <si>
    <t>Operating Margin %</t>
  </si>
  <si>
    <t>Tax Rate %</t>
  </si>
  <si>
    <t>Revenue Y/Y</t>
  </si>
  <si>
    <t>Other Expenses</t>
  </si>
  <si>
    <t>Gain on REIT</t>
  </si>
  <si>
    <t>A/R</t>
  </si>
  <si>
    <t>Inventory</t>
  </si>
  <si>
    <t>Tax Receivables</t>
  </si>
  <si>
    <t>Prepaids</t>
  </si>
  <si>
    <t>Assets for Sale</t>
  </si>
  <si>
    <t>PP&amp;E</t>
  </si>
  <si>
    <t>Unconsolidated Affiliates</t>
  </si>
  <si>
    <t>Intangibles</t>
  </si>
  <si>
    <t>Operating Lease</t>
  </si>
  <si>
    <t>OLTA</t>
  </si>
  <si>
    <t>Current Assets</t>
  </si>
  <si>
    <t>Total Assets</t>
  </si>
  <si>
    <t>A/P</t>
  </si>
  <si>
    <t>Construction Payable</t>
  </si>
  <si>
    <t>OCL</t>
  </si>
  <si>
    <t>D/T</t>
  </si>
  <si>
    <t>LT Debt</t>
  </si>
  <si>
    <t>LT Operating Lease</t>
  </si>
  <si>
    <t>OLTL</t>
  </si>
  <si>
    <t>Total Liabilties</t>
  </si>
  <si>
    <t>Current Liabilties</t>
  </si>
  <si>
    <t>Equity</t>
  </si>
  <si>
    <t>L + S/E</t>
  </si>
  <si>
    <t>Net Cash</t>
  </si>
  <si>
    <t>&gt;</t>
  </si>
  <si>
    <t>Gambling Growth Y/Y</t>
  </si>
  <si>
    <t>Room Growth Y/Y</t>
  </si>
  <si>
    <t>Food &amp; Bev Growth Y/Y</t>
  </si>
  <si>
    <t>Entertainment Growth Y/Y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</si>
</sst>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  <xf numFmtId="0" fontId="2" fillId="0" borderId="0" xfId="1"/>
    <xf numFmtId="0" fontId="1" fillId="0" borderId="0" xfId="0" applyFont="1"/>
    <xf numFmtId="3" fontId="1" fillId="0" borderId="0" xfId="0" applyNumberFormat="1" applyFont="1"/>
    <xf numFmtId="4" fontId="0" fillId="0" borderId="0" xfId="0" applyNumberFormat="1"/>
    <xf numFmtId="9" fontId="0" fillId="0" borderId="0" xfId="0" applyNumberFormat="1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  <xf numFmtId="0" fontId="5" fillId="0" borderId="0" xfId="0" applyFont="1"/>
    <xf numFmtId="3" fontId="5" fillId="0" borderId="0" xfId="0" applyNumberFormat="1" applyFont="1"/>
    <xf numFmtId="9" fontId="5" fillId="0" borderId="0" xfId="0" applyNumberFormat="1" applyFont="1"/>
    <xf numFmtId="3" fontId="0" fillId="2" borderId="0" xfId="0" applyNumberFormat="1" applyFill="1"/>
    <xf numFmtId="3" fontId="0" fillId="3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6964A-490A-4157-950A-61BBF20CE984}">
  <dimension ref="H5:J10"/>
  <sheetViews>
    <sheetView workbookViewId="0">
      <selection activeCell="E17" sqref="E17"/>
    </sheetView>
  </sheetViews>
  <sheetFormatPr defaultRowHeight="14.25" x14ac:dyDescent="0.2"/>
  <cols>
    <col min="10" max="10" width="9" style="2"/>
  </cols>
  <sheetData>
    <row r="5" spans="8:10" x14ac:dyDescent="0.2">
      <c r="H5" t="s">
        <v>0</v>
      </c>
      <c r="I5">
        <v>33.92</v>
      </c>
    </row>
    <row r="6" spans="8:10" x14ac:dyDescent="0.2">
      <c r="H6" t="s">
        <v>1</v>
      </c>
      <c r="I6" s="1">
        <v>393.102147</v>
      </c>
      <c r="J6" s="2" t="s">
        <v>6</v>
      </c>
    </row>
    <row r="7" spans="8:10" x14ac:dyDescent="0.2">
      <c r="H7" t="s">
        <v>2</v>
      </c>
      <c r="I7" s="1">
        <f>+I5*I6</f>
        <v>13334.02482624</v>
      </c>
    </row>
    <row r="8" spans="8:10" x14ac:dyDescent="0.2">
      <c r="H8" t="s">
        <v>3</v>
      </c>
      <c r="I8" s="1">
        <v>5784.1729999999998</v>
      </c>
      <c r="J8" s="2" t="s">
        <v>6</v>
      </c>
    </row>
    <row r="9" spans="8:10" x14ac:dyDescent="0.2">
      <c r="H9" t="s">
        <v>4</v>
      </c>
      <c r="I9" s="1">
        <f>1250+82.214+7107.155</f>
        <v>8439.3689999999988</v>
      </c>
      <c r="J9" s="2" t="s">
        <v>6</v>
      </c>
    </row>
    <row r="10" spans="8:10" x14ac:dyDescent="0.2">
      <c r="H10" t="s">
        <v>5</v>
      </c>
      <c r="I10" s="1">
        <f>+I7-I8+I9</f>
        <v>15989.220826239998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66B10-33C6-49FA-9875-F0D887149CF2}">
  <dimension ref="A1:AQ73"/>
  <sheetViews>
    <sheetView tabSelected="1" workbookViewId="0">
      <pane xSplit="2" ySplit="2" topLeftCell="F3" activePane="bottomRight" state="frozen"/>
      <selection pane="topRight" activeCell="C1" sqref="C1"/>
      <selection pane="bottomLeft" activeCell="A3" sqref="A3"/>
      <selection pane="bottomRight" activeCell="S27" sqref="S27"/>
    </sheetView>
  </sheetViews>
  <sheetFormatPr defaultRowHeight="14.25" x14ac:dyDescent="0.2"/>
  <cols>
    <col min="1" max="1" width="4.625" bestFit="1" customWidth="1"/>
    <col min="2" max="2" width="30.5" bestFit="1" customWidth="1"/>
  </cols>
  <sheetData>
    <row r="1" spans="1:43" x14ac:dyDescent="0.2">
      <c r="A1" s="3" t="s">
        <v>22</v>
      </c>
    </row>
    <row r="2" spans="1:43" x14ac:dyDescent="0.2"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U2">
        <v>2018</v>
      </c>
      <c r="V2">
        <f>+U2+1</f>
        <v>2019</v>
      </c>
      <c r="W2">
        <f t="shared" ref="W2:AQ2" si="0">+V2+1</f>
        <v>2020</v>
      </c>
      <c r="X2">
        <f t="shared" si="0"/>
        <v>2021</v>
      </c>
      <c r="Y2">
        <f t="shared" si="0"/>
        <v>2022</v>
      </c>
      <c r="Z2">
        <f t="shared" si="0"/>
        <v>2023</v>
      </c>
      <c r="AA2">
        <f t="shared" si="0"/>
        <v>2024</v>
      </c>
      <c r="AB2">
        <f t="shared" si="0"/>
        <v>2025</v>
      </c>
      <c r="AC2">
        <f t="shared" si="0"/>
        <v>2026</v>
      </c>
      <c r="AD2">
        <f t="shared" si="0"/>
        <v>2027</v>
      </c>
      <c r="AE2">
        <f t="shared" si="0"/>
        <v>2028</v>
      </c>
      <c r="AF2">
        <f t="shared" si="0"/>
        <v>2029</v>
      </c>
      <c r="AG2">
        <f t="shared" si="0"/>
        <v>2030</v>
      </c>
      <c r="AH2">
        <f t="shared" si="0"/>
        <v>2031</v>
      </c>
      <c r="AI2">
        <f t="shared" si="0"/>
        <v>2032</v>
      </c>
      <c r="AJ2">
        <f t="shared" si="0"/>
        <v>2033</v>
      </c>
      <c r="AK2">
        <f t="shared" si="0"/>
        <v>2034</v>
      </c>
      <c r="AL2">
        <f t="shared" si="0"/>
        <v>2035</v>
      </c>
      <c r="AM2">
        <f t="shared" si="0"/>
        <v>2036</v>
      </c>
      <c r="AN2">
        <f t="shared" si="0"/>
        <v>2037</v>
      </c>
      <c r="AO2">
        <f t="shared" si="0"/>
        <v>2038</v>
      </c>
      <c r="AP2">
        <f t="shared" si="0"/>
        <v>2039</v>
      </c>
      <c r="AQ2">
        <f t="shared" si="0"/>
        <v>2040</v>
      </c>
    </row>
    <row r="3" spans="1:43" x14ac:dyDescent="0.2">
      <c r="B3" t="s">
        <v>26</v>
      </c>
      <c r="G3" s="1">
        <v>1054.0260000000001</v>
      </c>
      <c r="H3" s="1">
        <v>163.649</v>
      </c>
      <c r="I3" s="1">
        <v>690.21799999999996</v>
      </c>
      <c r="J3" s="1">
        <f>+W3-SUM(G3:I3)</f>
        <v>963.82699999999977</v>
      </c>
      <c r="K3" s="1">
        <v>1098.633</v>
      </c>
      <c r="L3" s="1">
        <v>1336.124</v>
      </c>
      <c r="M3" s="1">
        <v>1400.337</v>
      </c>
      <c r="O3" s="1">
        <v>1420.91</v>
      </c>
      <c r="P3" s="1">
        <v>1357.134</v>
      </c>
      <c r="W3" s="1">
        <v>2871.72</v>
      </c>
    </row>
    <row r="4" spans="1:43" x14ac:dyDescent="0.2">
      <c r="B4" t="s">
        <v>23</v>
      </c>
      <c r="G4" s="1">
        <v>433.95100000000002</v>
      </c>
      <c r="H4" s="1">
        <v>31.623000000000001</v>
      </c>
      <c r="I4" s="1">
        <v>175.45</v>
      </c>
      <c r="J4" s="1">
        <f t="shared" ref="J4:J33" si="1">+W4-SUM(G4:I4)</f>
        <v>189.35799999999995</v>
      </c>
      <c r="K4" s="1">
        <v>198.41900000000001</v>
      </c>
      <c r="L4" s="1">
        <v>365.02800000000002</v>
      </c>
      <c r="M4" s="1">
        <v>490.46</v>
      </c>
      <c r="O4" s="1">
        <v>557.07299999999998</v>
      </c>
      <c r="P4" s="1">
        <v>774.73199999999997</v>
      </c>
      <c r="W4" s="1">
        <v>830.38199999999995</v>
      </c>
    </row>
    <row r="5" spans="1:43" x14ac:dyDescent="0.2">
      <c r="B5" t="s">
        <v>24</v>
      </c>
      <c r="G5" s="1">
        <v>396.709</v>
      </c>
      <c r="H5" s="1">
        <v>29.771000000000001</v>
      </c>
      <c r="I5" s="1">
        <v>126.31699999999999</v>
      </c>
      <c r="J5" s="1">
        <f t="shared" si="1"/>
        <v>143.24299999999994</v>
      </c>
      <c r="K5" s="1">
        <v>157.41200000000001</v>
      </c>
      <c r="L5" s="1">
        <v>302.666</v>
      </c>
      <c r="M5" s="1">
        <v>416.47800000000001</v>
      </c>
      <c r="O5" s="1">
        <v>492.85399999999998</v>
      </c>
      <c r="P5" s="1">
        <v>677.75599999999997</v>
      </c>
      <c r="W5" s="1">
        <v>696.04</v>
      </c>
    </row>
    <row r="6" spans="1:43" x14ac:dyDescent="0.2">
      <c r="B6" t="s">
        <v>25</v>
      </c>
      <c r="G6" s="1">
        <v>269.94499999999999</v>
      </c>
      <c r="H6" s="1">
        <v>48.569000000000003</v>
      </c>
      <c r="I6" s="1">
        <v>101.61799999999999</v>
      </c>
      <c r="J6" s="1">
        <f t="shared" si="1"/>
        <v>98.85899999999998</v>
      </c>
      <c r="K6" s="1">
        <v>135.22200000000001</v>
      </c>
      <c r="L6" s="1">
        <v>189.011</v>
      </c>
      <c r="M6" s="1">
        <v>315.69299999999998</v>
      </c>
      <c r="O6" s="1">
        <v>371.56599999999997</v>
      </c>
      <c r="P6" s="1">
        <v>455.34199999999998</v>
      </c>
      <c r="W6" s="1">
        <v>518.99099999999999</v>
      </c>
    </row>
    <row r="7" spans="1:43" x14ac:dyDescent="0.2">
      <c r="G7" s="1"/>
      <c r="H7" s="1"/>
      <c r="I7" s="1"/>
      <c r="J7" s="1"/>
      <c r="K7" s="1"/>
      <c r="L7" s="1"/>
      <c r="M7" s="1"/>
      <c r="P7" s="1"/>
      <c r="W7" s="1"/>
    </row>
    <row r="8" spans="1:43" s="10" customFormat="1" x14ac:dyDescent="0.2">
      <c r="B8" s="10" t="s">
        <v>78</v>
      </c>
      <c r="G8" s="11"/>
      <c r="H8" s="11"/>
      <c r="I8" s="11"/>
      <c r="J8" s="12"/>
      <c r="K8" s="12">
        <f>+K3/G3-1</f>
        <v>4.2320587917186181E-2</v>
      </c>
      <c r="L8" s="12">
        <f t="shared" ref="J8:M11" si="2">+L3/H3-1</f>
        <v>7.1645717358492877</v>
      </c>
      <c r="M8" s="12">
        <f t="shared" si="2"/>
        <v>1.0288329194544334</v>
      </c>
      <c r="O8" s="12">
        <f>+O3/K3-1</f>
        <v>0.29334363704713051</v>
      </c>
      <c r="P8" s="12">
        <f>+P3/L3-1</f>
        <v>1.5724588436402565E-2</v>
      </c>
      <c r="W8" s="11"/>
    </row>
    <row r="9" spans="1:43" s="10" customFormat="1" x14ac:dyDescent="0.2">
      <c r="B9" s="10" t="s">
        <v>79</v>
      </c>
      <c r="G9" s="11"/>
      <c r="H9" s="11"/>
      <c r="I9" s="11"/>
      <c r="J9" s="12"/>
      <c r="K9" s="12">
        <f t="shared" si="2"/>
        <v>-0.54276174038082647</v>
      </c>
      <c r="L9" s="12">
        <f t="shared" si="2"/>
        <v>10.543117351294944</v>
      </c>
      <c r="M9" s="12">
        <f t="shared" si="2"/>
        <v>1.7954402963807352</v>
      </c>
      <c r="O9" s="12">
        <f t="shared" ref="O9:P11" si="3">+O4/K4-1</f>
        <v>1.8075587519340384</v>
      </c>
      <c r="P9" s="12">
        <f t="shared" si="3"/>
        <v>1.1223906111312005</v>
      </c>
      <c r="W9" s="11"/>
    </row>
    <row r="10" spans="1:43" s="10" customFormat="1" x14ac:dyDescent="0.2">
      <c r="B10" s="10" t="s">
        <v>80</v>
      </c>
      <c r="G10" s="11"/>
      <c r="H10" s="11"/>
      <c r="I10" s="11"/>
      <c r="J10" s="12"/>
      <c r="K10" s="12">
        <f t="shared" si="2"/>
        <v>-0.60320537219977366</v>
      </c>
      <c r="L10" s="12">
        <f t="shared" si="2"/>
        <v>9.1664707265459668</v>
      </c>
      <c r="M10" s="12">
        <f t="shared" si="2"/>
        <v>2.2970859029267641</v>
      </c>
      <c r="O10" s="12">
        <f>+O5/K5-1</f>
        <v>2.1309811196096864</v>
      </c>
      <c r="P10" s="12">
        <f t="shared" si="3"/>
        <v>1.2392868706759264</v>
      </c>
      <c r="W10" s="11"/>
    </row>
    <row r="11" spans="1:43" s="10" customFormat="1" x14ac:dyDescent="0.2">
      <c r="B11" s="10" t="s">
        <v>81</v>
      </c>
      <c r="G11" s="11"/>
      <c r="H11" s="11"/>
      <c r="I11" s="11"/>
      <c r="J11" s="12"/>
      <c r="K11" s="12">
        <f t="shared" si="2"/>
        <v>-0.49907573765026203</v>
      </c>
      <c r="L11" s="12">
        <f t="shared" si="2"/>
        <v>2.8915975210525229</v>
      </c>
      <c r="M11" s="12">
        <f t="shared" si="2"/>
        <v>2.1066641736700191</v>
      </c>
      <c r="O11" s="12">
        <f t="shared" si="3"/>
        <v>1.7478220999541492</v>
      </c>
      <c r="P11" s="12">
        <f t="shared" si="3"/>
        <v>1.4090767204025161</v>
      </c>
      <c r="W11" s="11"/>
    </row>
    <row r="13" spans="1:43" s="4" customFormat="1" ht="15" x14ac:dyDescent="0.25">
      <c r="B13" s="4" t="s">
        <v>27</v>
      </c>
      <c r="G13" s="5">
        <f>+SUM(G3:G6)</f>
        <v>2154.6310000000003</v>
      </c>
      <c r="H13" s="5">
        <f>+SUM(H3:H6)</f>
        <v>273.61200000000002</v>
      </c>
      <c r="I13" s="5">
        <f>+SUM(I3:I6)</f>
        <v>1093.6029999999998</v>
      </c>
      <c r="J13" s="5">
        <f t="shared" si="1"/>
        <v>1395.2869999999994</v>
      </c>
      <c r="K13" s="5">
        <f>+SUM(K3:K6)</f>
        <v>1589.6860000000001</v>
      </c>
      <c r="L13" s="5">
        <f>+SUM(L3:L6)</f>
        <v>2192.8290000000002</v>
      </c>
      <c r="M13" s="5">
        <f>+SUM(M3:M6)</f>
        <v>2622.9679999999998</v>
      </c>
      <c r="O13" s="5">
        <f>+SUM(O3:O6)</f>
        <v>2842.4029999999998</v>
      </c>
      <c r="P13" s="5">
        <f>+SUM(P3:P6)</f>
        <v>3264.9639999999999</v>
      </c>
      <c r="W13" s="5">
        <f>+SUM(W3:W6)</f>
        <v>4917.1329999999998</v>
      </c>
    </row>
    <row r="14" spans="1:43" x14ac:dyDescent="0.2">
      <c r="B14" t="s">
        <v>28</v>
      </c>
      <c r="G14" s="1">
        <v>628.66999999999996</v>
      </c>
      <c r="H14" s="1">
        <v>200.393</v>
      </c>
      <c r="I14" s="1">
        <v>368.31</v>
      </c>
      <c r="J14" s="1">
        <f t="shared" si="1"/>
        <v>504.40999999999985</v>
      </c>
      <c r="K14" s="1">
        <v>551.90499999999997</v>
      </c>
      <c r="L14" s="1">
        <v>616.90300000000002</v>
      </c>
      <c r="M14" s="1">
        <v>640.04100000000005</v>
      </c>
      <c r="O14" s="1">
        <v>674.36500000000001</v>
      </c>
      <c r="P14" s="1">
        <v>622.16600000000005</v>
      </c>
      <c r="W14" s="1">
        <v>1701.7829999999999</v>
      </c>
    </row>
    <row r="15" spans="1:43" x14ac:dyDescent="0.2">
      <c r="B15" t="s">
        <v>29</v>
      </c>
      <c r="G15" s="1">
        <v>172.60900000000001</v>
      </c>
      <c r="H15" s="1">
        <v>41.250999999999998</v>
      </c>
      <c r="I15" s="1">
        <v>107.361</v>
      </c>
      <c r="J15" s="1">
        <f t="shared" si="1"/>
        <v>97.935000000000002</v>
      </c>
      <c r="K15" s="1">
        <v>104.21299999999999</v>
      </c>
      <c r="L15" s="1">
        <v>137.28700000000001</v>
      </c>
      <c r="M15" s="1">
        <v>160.864</v>
      </c>
      <c r="O15" s="1">
        <v>196.113</v>
      </c>
      <c r="P15" s="1">
        <v>232.429</v>
      </c>
      <c r="W15" s="1">
        <v>419.15600000000001</v>
      </c>
    </row>
    <row r="16" spans="1:43" x14ac:dyDescent="0.2">
      <c r="B16" t="s">
        <v>30</v>
      </c>
      <c r="G16" s="1">
        <v>339.63600000000002</v>
      </c>
      <c r="H16" s="1">
        <v>60.305999999999997</v>
      </c>
      <c r="I16" s="1">
        <v>133.93700000000001</v>
      </c>
      <c r="J16" s="1">
        <f t="shared" si="1"/>
        <v>140.23900000000003</v>
      </c>
      <c r="K16" s="1">
        <v>135.227</v>
      </c>
      <c r="L16" s="1">
        <v>214.15899999999999</v>
      </c>
      <c r="M16" s="1">
        <v>301.96300000000002</v>
      </c>
      <c r="O16" s="1">
        <v>368.66199999999998</v>
      </c>
      <c r="P16" s="1">
        <v>480.12099999999998</v>
      </c>
      <c r="W16" s="1">
        <v>674.11800000000005</v>
      </c>
    </row>
    <row r="17" spans="2:23" x14ac:dyDescent="0.2">
      <c r="B17" t="s">
        <v>31</v>
      </c>
      <c r="G17" s="1">
        <v>199.06299999999999</v>
      </c>
      <c r="H17" s="1">
        <v>56.222999999999999</v>
      </c>
      <c r="I17" s="1">
        <v>87.591999999999999</v>
      </c>
      <c r="J17" s="1">
        <f t="shared" si="1"/>
        <v>69.826999999999998</v>
      </c>
      <c r="K17" s="1">
        <v>78.381</v>
      </c>
      <c r="L17" s="1">
        <v>102.17</v>
      </c>
      <c r="M17" s="1">
        <v>204.74199999999999</v>
      </c>
      <c r="O17" s="1">
        <v>218.749</v>
      </c>
      <c r="P17" s="1">
        <v>265.18400000000003</v>
      </c>
      <c r="W17" s="1">
        <v>412.70499999999998</v>
      </c>
    </row>
    <row r="18" spans="2:23" x14ac:dyDescent="0.2">
      <c r="B18" t="s">
        <v>32</v>
      </c>
      <c r="G18" s="1">
        <f>+SUM(G14:G17)</f>
        <v>1339.9780000000001</v>
      </c>
      <c r="H18" s="1">
        <f>+SUM(H14:H17)</f>
        <v>358.173</v>
      </c>
      <c r="I18" s="1">
        <v>32.317</v>
      </c>
      <c r="J18" s="1">
        <f>+W18-SUM(G18:I18)</f>
        <v>1477.2939999999996</v>
      </c>
      <c r="K18" s="1">
        <f>+SUM(K14:K17)</f>
        <v>869.72599999999989</v>
      </c>
      <c r="L18" s="1">
        <f>+SUM(L14:L17)</f>
        <v>1070.519</v>
      </c>
      <c r="M18" s="1">
        <f>+SUM(M14:M17)</f>
        <v>1307.6100000000001</v>
      </c>
      <c r="O18" s="1">
        <f>+SUM(O14:O17)</f>
        <v>1457.8890000000001</v>
      </c>
      <c r="P18" s="1">
        <f>+SUM(P14:P17)</f>
        <v>1599.8999999999999</v>
      </c>
      <c r="W18" s="1">
        <f>+SUM(W14:W17)</f>
        <v>3207.7619999999997</v>
      </c>
    </row>
    <row r="19" spans="2:23" x14ac:dyDescent="0.2">
      <c r="B19" t="s">
        <v>33</v>
      </c>
      <c r="G19" s="1">
        <f>+G13-G18</f>
        <v>814.65300000000025</v>
      </c>
      <c r="H19" s="1">
        <f>+H13-H18</f>
        <v>-84.560999999999979</v>
      </c>
      <c r="I19" s="1">
        <f>+I13-I18</f>
        <v>1061.2859999999998</v>
      </c>
      <c r="J19" s="1">
        <f>+W19-SUM(G19:I19)</f>
        <v>-82.007000000000062</v>
      </c>
      <c r="K19" s="1">
        <f>+K13-K18</f>
        <v>719.96000000000026</v>
      </c>
      <c r="L19" s="1">
        <f>+L13-L18</f>
        <v>1122.3100000000002</v>
      </c>
      <c r="M19" s="1">
        <f>+M13-M18</f>
        <v>1315.3579999999997</v>
      </c>
      <c r="O19" s="1">
        <f>+O13-O18</f>
        <v>1384.5139999999997</v>
      </c>
      <c r="P19" s="1">
        <f>+P13-P18</f>
        <v>1665.0640000000001</v>
      </c>
      <c r="W19" s="1">
        <f>+W13-W18</f>
        <v>1709.3710000000001</v>
      </c>
    </row>
    <row r="20" spans="2:23" x14ac:dyDescent="0.2">
      <c r="B20" t="s">
        <v>34</v>
      </c>
      <c r="G20" s="1">
        <v>574.30600000000004</v>
      </c>
      <c r="H20" s="1">
        <v>473.56400000000002</v>
      </c>
      <c r="I20" s="1">
        <v>543.29300000000001</v>
      </c>
      <c r="J20" s="1">
        <f t="shared" si="1"/>
        <v>531.17000000000007</v>
      </c>
      <c r="K20" s="1">
        <v>546.40700000000004</v>
      </c>
      <c r="L20" s="1">
        <v>590.20899999999995</v>
      </c>
      <c r="M20" s="1">
        <v>623.27499999999998</v>
      </c>
      <c r="O20" s="1">
        <v>776.83699999999999</v>
      </c>
      <c r="P20" s="1">
        <v>1028.7650000000001</v>
      </c>
      <c r="W20" s="1">
        <v>2122.3330000000001</v>
      </c>
    </row>
    <row r="21" spans="2:23" x14ac:dyDescent="0.2">
      <c r="B21" t="s">
        <v>35</v>
      </c>
      <c r="G21" s="1">
        <v>143.80799999999999</v>
      </c>
      <c r="H21" s="1">
        <v>142.578</v>
      </c>
      <c r="I21" s="1">
        <v>70.436999999999998</v>
      </c>
      <c r="J21" s="1">
        <f t="shared" si="1"/>
        <v>103.32500000000005</v>
      </c>
      <c r="K21" s="1">
        <v>78.037000000000006</v>
      </c>
      <c r="L21" s="1">
        <v>96.87</v>
      </c>
      <c r="M21" s="1">
        <v>112.114</v>
      </c>
      <c r="O21" s="1">
        <v>111.241</v>
      </c>
      <c r="P21" s="1">
        <v>119.61</v>
      </c>
      <c r="W21" s="1">
        <v>460.14800000000002</v>
      </c>
    </row>
    <row r="22" spans="2:23" x14ac:dyDescent="0.2">
      <c r="B22" t="s">
        <v>36</v>
      </c>
      <c r="G22" s="1">
        <v>0.122</v>
      </c>
      <c r="H22" s="1">
        <v>-8.2000000000000003E-2</v>
      </c>
      <c r="I22" s="1">
        <v>1.0999999999999999E-2</v>
      </c>
      <c r="J22" s="1">
        <f t="shared" si="1"/>
        <v>3.3000000000000015E-2</v>
      </c>
      <c r="K22" s="1">
        <v>5.0000000000000001E-3</v>
      </c>
      <c r="L22" s="1">
        <v>0.09</v>
      </c>
      <c r="M22" s="1">
        <v>1.5469999999999999</v>
      </c>
      <c r="O22" s="1">
        <v>0.434</v>
      </c>
      <c r="P22" s="1">
        <v>0.54200000000000004</v>
      </c>
      <c r="W22" s="1">
        <v>8.4000000000000005E-2</v>
      </c>
    </row>
    <row r="23" spans="2:23" x14ac:dyDescent="0.2">
      <c r="B23" t="s">
        <v>37</v>
      </c>
      <c r="G23" s="1">
        <v>54.975000000000001</v>
      </c>
      <c r="H23" s="1">
        <v>26.349</v>
      </c>
      <c r="I23" s="1">
        <v>4.1159999999999997</v>
      </c>
      <c r="J23" s="1">
        <f t="shared" si="1"/>
        <v>8.1269999999999953</v>
      </c>
      <c r="K23" s="1">
        <v>26.071000000000002</v>
      </c>
      <c r="L23" s="1">
        <v>-28.905999999999999</v>
      </c>
      <c r="M23" s="1">
        <v>3.677</v>
      </c>
      <c r="O23" s="1">
        <v>54.738</v>
      </c>
      <c r="P23" s="1">
        <v>-19.395</v>
      </c>
      <c r="W23" s="1">
        <v>93.566999999999993</v>
      </c>
    </row>
    <row r="24" spans="2:23" x14ac:dyDescent="0.2">
      <c r="B24" t="s">
        <v>52</v>
      </c>
      <c r="G24" s="1">
        <v>-1491.9449999999999</v>
      </c>
      <c r="H24" s="1"/>
      <c r="I24" s="1"/>
      <c r="J24" s="1">
        <f t="shared" si="1"/>
        <v>0</v>
      </c>
      <c r="K24" s="1"/>
      <c r="L24" s="1"/>
      <c r="M24" s="1">
        <v>-1562.329</v>
      </c>
      <c r="O24" s="1"/>
      <c r="P24" s="13">
        <v>-2277.7469999999998</v>
      </c>
      <c r="W24" s="1">
        <v>-1491.9449999999999</v>
      </c>
    </row>
    <row r="25" spans="2:23" x14ac:dyDescent="0.2">
      <c r="B25" t="s">
        <v>38</v>
      </c>
      <c r="G25" s="1">
        <f>+SUM(G20:G24)</f>
        <v>-718.73399999999992</v>
      </c>
      <c r="H25" s="1">
        <f>+SUM(H20:H24)</f>
        <v>642.40900000000011</v>
      </c>
      <c r="I25" s="1">
        <f>+SUM(I20:I24)</f>
        <v>617.85699999999997</v>
      </c>
      <c r="J25" s="1">
        <f t="shared" si="1"/>
        <v>642.65499999999997</v>
      </c>
      <c r="K25" s="1">
        <f>+SUM(K20:K24)</f>
        <v>650.5200000000001</v>
      </c>
      <c r="L25" s="1">
        <f>+SUM(L20:L24)</f>
        <v>658.26300000000003</v>
      </c>
      <c r="M25" s="1">
        <f>+SUM(M20:M24)</f>
        <v>-821.71599999999989</v>
      </c>
      <c r="O25" s="1">
        <f>+SUM(O20:O24)</f>
        <v>943.25</v>
      </c>
      <c r="P25" s="1">
        <f>+SUM(P20:P24)</f>
        <v>-1148.2249999999999</v>
      </c>
      <c r="W25" s="1">
        <f>+SUM(W20:W24)</f>
        <v>1184.1870000000001</v>
      </c>
    </row>
    <row r="26" spans="2:23" x14ac:dyDescent="0.2">
      <c r="B26" t="s">
        <v>39</v>
      </c>
      <c r="G26" s="1">
        <f>+G19-G25</f>
        <v>1533.3870000000002</v>
      </c>
      <c r="H26" s="1">
        <f>+H19-H25</f>
        <v>-726.97</v>
      </c>
      <c r="I26" s="1">
        <f>+I19-I25</f>
        <v>443.42899999999986</v>
      </c>
      <c r="J26" s="1">
        <f t="shared" si="1"/>
        <v>-724.66200000000003</v>
      </c>
      <c r="K26" s="1">
        <f>+K19-K25</f>
        <v>69.440000000000168</v>
      </c>
      <c r="L26" s="1">
        <f>+L19-L25</f>
        <v>464.04700000000014</v>
      </c>
      <c r="M26" s="1">
        <f>+M19-M25</f>
        <v>2137.0739999999996</v>
      </c>
      <c r="O26" s="1">
        <f>+O19-O25</f>
        <v>441.26399999999967</v>
      </c>
      <c r="P26" s="1">
        <f>+P19-P25</f>
        <v>2813.2889999999998</v>
      </c>
      <c r="W26" s="1">
        <f>+W19-W25</f>
        <v>525.18399999999997</v>
      </c>
    </row>
    <row r="27" spans="2:23" x14ac:dyDescent="0.2">
      <c r="B27" t="s">
        <v>40</v>
      </c>
      <c r="G27" s="1">
        <v>157.137</v>
      </c>
      <c r="H27" s="1">
        <v>156.756</v>
      </c>
      <c r="I27" s="1">
        <v>173.80799999999999</v>
      </c>
      <c r="J27" s="1">
        <f t="shared" si="1"/>
        <v>-114.32100000000003</v>
      </c>
      <c r="K27" s="1">
        <v>195.29499999999999</v>
      </c>
      <c r="L27" s="1">
        <v>202.77199999999999</v>
      </c>
      <c r="M27" s="1">
        <v>200.04900000000001</v>
      </c>
      <c r="O27" s="1">
        <v>-196.09100000000001</v>
      </c>
      <c r="P27" s="1">
        <v>-136.559</v>
      </c>
      <c r="W27" s="1">
        <v>373.38</v>
      </c>
    </row>
    <row r="28" spans="2:23" x14ac:dyDescent="0.2">
      <c r="B28" t="s">
        <v>41</v>
      </c>
      <c r="G28" s="1">
        <v>32.621000000000002</v>
      </c>
      <c r="H28" s="1">
        <v>23.760999999999999</v>
      </c>
      <c r="I28" s="1">
        <v>23.603999999999999</v>
      </c>
      <c r="J28" s="1">
        <f t="shared" si="1"/>
        <v>23.317999999999998</v>
      </c>
      <c r="K28" s="1">
        <v>20.835999999999999</v>
      </c>
      <c r="L28" s="1">
        <v>23.216000000000001</v>
      </c>
      <c r="M28" s="1">
        <v>23.420999999999999</v>
      </c>
      <c r="O28" s="1">
        <v>-15.132999999999999</v>
      </c>
      <c r="P28" s="1">
        <v>-6.12</v>
      </c>
      <c r="W28" s="1">
        <v>103.304</v>
      </c>
    </row>
    <row r="29" spans="2:23" x14ac:dyDescent="0.2">
      <c r="B29" t="s">
        <v>51</v>
      </c>
      <c r="G29" s="1">
        <v>124.264</v>
      </c>
      <c r="H29" s="1">
        <v>-8.3209999999999997</v>
      </c>
      <c r="I29" s="1">
        <v>-13.888999999999999</v>
      </c>
      <c r="J29" s="1">
        <f t="shared" si="1"/>
        <v>-12.692999999999998</v>
      </c>
      <c r="K29" s="1">
        <v>-32.182000000000002</v>
      </c>
      <c r="L29" s="1">
        <v>-87.358000000000004</v>
      </c>
      <c r="M29" s="1">
        <v>49.241</v>
      </c>
      <c r="O29" s="1">
        <v>34.302</v>
      </c>
      <c r="P29" s="1">
        <v>-43.308</v>
      </c>
      <c r="W29" s="1">
        <v>89.361000000000004</v>
      </c>
    </row>
    <row r="30" spans="2:23" x14ac:dyDescent="0.2">
      <c r="B30" t="s">
        <v>42</v>
      </c>
      <c r="G30" s="1">
        <f>+G26-SUM(G27:G29)</f>
        <v>1219.3650000000002</v>
      </c>
      <c r="H30" s="1">
        <f>+H26-SUM(H27:H29)</f>
        <v>-899.16600000000005</v>
      </c>
      <c r="I30" s="1">
        <f>+I26-SUM(I27:I29)</f>
        <v>259.90599999999989</v>
      </c>
      <c r="J30" s="1">
        <f t="shared" si="1"/>
        <v>-620.96600000000001</v>
      </c>
      <c r="K30" s="1">
        <f>+K26-SUM(K27:K29)</f>
        <v>-114.50899999999979</v>
      </c>
      <c r="L30" s="1">
        <f>+L26-SUM(L27:L29)</f>
        <v>325.41700000000014</v>
      </c>
      <c r="M30" s="1">
        <f>+M26-SUM(M27:M29)</f>
        <v>1864.3629999999996</v>
      </c>
      <c r="O30" s="1">
        <f>+O26-SUM(O27:O29)</f>
        <v>618.18599999999969</v>
      </c>
      <c r="P30" s="1">
        <f>+P26-SUM(P27:P29)</f>
        <v>2999.2759999999998</v>
      </c>
      <c r="W30" s="1">
        <f>+W26-SUM(W27:W29)</f>
        <v>-40.86099999999999</v>
      </c>
    </row>
    <row r="31" spans="2:23" x14ac:dyDescent="0.2">
      <c r="B31" t="s">
        <v>43</v>
      </c>
      <c r="G31" s="1">
        <v>262.30399999999997</v>
      </c>
      <c r="H31" s="1">
        <v>-270.238</v>
      </c>
      <c r="I31" s="1">
        <v>-76.733999999999995</v>
      </c>
      <c r="J31" s="1">
        <f>+W31-SUM(G31:I31)</f>
        <v>276.24</v>
      </c>
      <c r="K31" s="1">
        <v>-94.697999999999993</v>
      </c>
      <c r="L31" s="1">
        <v>34.826000000000001</v>
      </c>
      <c r="M31" s="1">
        <v>282.13499999999999</v>
      </c>
      <c r="O31" s="1">
        <v>-36.341000000000001</v>
      </c>
      <c r="P31" s="1">
        <v>572.83900000000006</v>
      </c>
      <c r="W31" s="1">
        <v>191.572</v>
      </c>
    </row>
    <row r="32" spans="2:23" x14ac:dyDescent="0.2">
      <c r="B32" t="s">
        <v>45</v>
      </c>
      <c r="G32" s="1">
        <v>132.35</v>
      </c>
      <c r="H32" s="1">
        <v>79.23</v>
      </c>
      <c r="I32" s="1">
        <v>67.239999999999995</v>
      </c>
      <c r="J32" s="1">
        <f t="shared" si="1"/>
        <v>8.3629999999999995</v>
      </c>
      <c r="K32" s="1">
        <v>4.109</v>
      </c>
      <c r="L32" s="1">
        <v>14.449</v>
      </c>
      <c r="M32" s="1">
        <v>12.497</v>
      </c>
      <c r="O32" s="1">
        <v>16.777000000000001</v>
      </c>
      <c r="P32" s="1">
        <v>161.31200000000001</v>
      </c>
      <c r="W32" s="1">
        <v>287.18299999999999</v>
      </c>
    </row>
    <row r="33" spans="2:23" s="4" customFormat="1" ht="15" x14ac:dyDescent="0.25">
      <c r="B33" s="4" t="s">
        <v>44</v>
      </c>
      <c r="G33" s="5">
        <f>+G30-G31+G32</f>
        <v>1089.4110000000003</v>
      </c>
      <c r="H33" s="5">
        <f>+H30-H31+H32</f>
        <v>-549.69800000000009</v>
      </c>
      <c r="I33" s="5">
        <f>+I30-I31+I32</f>
        <v>403.87999999999988</v>
      </c>
      <c r="J33" s="5">
        <f t="shared" si="1"/>
        <v>-888.84300000000007</v>
      </c>
      <c r="K33" s="5">
        <f>+K30-K31+K32</f>
        <v>-15.701999999999794</v>
      </c>
      <c r="L33" s="5">
        <f>+L30-L31+L32</f>
        <v>305.04000000000013</v>
      </c>
      <c r="M33" s="5">
        <f>+M30-M31+M32</f>
        <v>1594.7249999999997</v>
      </c>
      <c r="O33" s="5">
        <f>+O30-O31+O32</f>
        <v>671.30399999999975</v>
      </c>
      <c r="P33" s="5">
        <f>+P30-P31+P32</f>
        <v>2587.7489999999998</v>
      </c>
      <c r="W33" s="5">
        <f>+W30-W31+W32</f>
        <v>54.75</v>
      </c>
    </row>
    <row r="34" spans="2:23" x14ac:dyDescent="0.2">
      <c r="B34" t="s">
        <v>46</v>
      </c>
      <c r="G34" s="6">
        <f t="shared" ref="G34:M34" si="4">+G33/G35</f>
        <v>2.1920444118925366</v>
      </c>
      <c r="H34" s="6">
        <f t="shared" si="4"/>
        <v>-1.1139757141467528</v>
      </c>
      <c r="I34" s="6">
        <f t="shared" si="4"/>
        <v>0.81837099836479776</v>
      </c>
      <c r="J34" s="6">
        <f t="shared" si="4"/>
        <v>-1.7973589928563087</v>
      </c>
      <c r="K34" s="6">
        <f t="shared" si="4"/>
        <v>-3.1729929839308973E-2</v>
      </c>
      <c r="L34" s="6">
        <f t="shared" si="4"/>
        <v>0.61586668335682093</v>
      </c>
      <c r="M34" s="6">
        <f t="shared" si="4"/>
        <v>3.2934233759796778</v>
      </c>
      <c r="O34" s="6">
        <f t="shared" ref="O34:P34" si="5">+O33/O35</f>
        <v>1.5156463076520148</v>
      </c>
      <c r="P34" s="6">
        <f t="shared" si="5"/>
        <v>6.1422515386788126</v>
      </c>
      <c r="W34" s="6">
        <f>+W33/W35</f>
        <v>0.11079586847771536</v>
      </c>
    </row>
    <row r="35" spans="2:23" s="1" customFormat="1" x14ac:dyDescent="0.2">
      <c r="B35" s="1" t="s">
        <v>1</v>
      </c>
      <c r="G35" s="1">
        <v>496.98399999999998</v>
      </c>
      <c r="H35" s="1">
        <v>493.45600000000002</v>
      </c>
      <c r="I35" s="1">
        <v>493.517</v>
      </c>
      <c r="J35" s="1">
        <f>+AVERAGE(G35:I35,W35)</f>
        <v>494.52725000000004</v>
      </c>
      <c r="K35" s="1">
        <v>494.86399999999998</v>
      </c>
      <c r="L35" s="1">
        <v>495.30200000000002</v>
      </c>
      <c r="M35" s="1">
        <v>484.21499999999997</v>
      </c>
      <c r="O35" s="1">
        <v>442.916</v>
      </c>
      <c r="P35" s="1">
        <v>421.303</v>
      </c>
      <c r="W35" s="1">
        <v>494.15199999999999</v>
      </c>
    </row>
    <row r="37" spans="2:23" x14ac:dyDescent="0.2">
      <c r="B37" t="s">
        <v>47</v>
      </c>
      <c r="G37" s="7">
        <f t="shared" ref="G37:M37" si="6">+G19/G13</f>
        <v>0.37809397525608801</v>
      </c>
      <c r="H37" s="7">
        <f t="shared" si="6"/>
        <v>-0.30905442743739298</v>
      </c>
      <c r="I37" s="7">
        <f t="shared" si="6"/>
        <v>0.9704490569246792</v>
      </c>
      <c r="J37" s="7">
        <f t="shared" si="6"/>
        <v>-5.8774288013863883E-2</v>
      </c>
      <c r="K37" s="7">
        <f t="shared" si="6"/>
        <v>0.45289447098357799</v>
      </c>
      <c r="L37" s="7">
        <f t="shared" si="6"/>
        <v>0.51180917435878492</v>
      </c>
      <c r="M37" s="7">
        <f t="shared" si="6"/>
        <v>0.50147695282595894</v>
      </c>
      <c r="O37" s="7">
        <f t="shared" ref="O37:P37" si="7">+O19/O13</f>
        <v>0.48709278733522299</v>
      </c>
      <c r="P37" s="7">
        <f t="shared" si="7"/>
        <v>0.50997928307938467</v>
      </c>
      <c r="W37" s="7">
        <f>+W19/W13</f>
        <v>0.34763570560324486</v>
      </c>
    </row>
    <row r="38" spans="2:23" x14ac:dyDescent="0.2">
      <c r="B38" t="s">
        <v>48</v>
      </c>
      <c r="G38" s="7">
        <f t="shared" ref="G38:M38" si="8">+G26/G13</f>
        <v>0.71167035097889153</v>
      </c>
      <c r="H38" s="7">
        <f t="shared" si="8"/>
        <v>-2.6569375612180752</v>
      </c>
      <c r="I38" s="7">
        <f t="shared" si="8"/>
        <v>0.40547529587976616</v>
      </c>
      <c r="J38" s="7">
        <f t="shared" si="8"/>
        <v>-0.51936411648642922</v>
      </c>
      <c r="K38" s="7">
        <f t="shared" si="8"/>
        <v>4.3681582400549646E-2</v>
      </c>
      <c r="L38" s="7">
        <f t="shared" si="8"/>
        <v>0.21162024033793794</v>
      </c>
      <c r="M38" s="7">
        <f t="shared" si="8"/>
        <v>0.81475412586047546</v>
      </c>
      <c r="O38" s="7">
        <f>+O26/O13</f>
        <v>0.15524329238324042</v>
      </c>
      <c r="P38" s="7">
        <f t="shared" ref="O38:P38" si="9">+P26/P13</f>
        <v>0.86166003668034308</v>
      </c>
      <c r="W38" s="7">
        <f>+W26/W13</f>
        <v>0.10680695437768309</v>
      </c>
    </row>
    <row r="39" spans="2:23" x14ac:dyDescent="0.2">
      <c r="B39" t="s">
        <v>49</v>
      </c>
      <c r="G39" s="7">
        <f t="shared" ref="G39:M39" si="10">+G31/G30</f>
        <v>0.21511524441000021</v>
      </c>
      <c r="H39" s="7">
        <f t="shared" si="10"/>
        <v>0.30054294757586475</v>
      </c>
      <c r="I39" s="7">
        <f t="shared" si="10"/>
        <v>-0.29523750894554196</v>
      </c>
      <c r="J39" s="7">
        <f t="shared" si="10"/>
        <v>-0.44485527387972934</v>
      </c>
      <c r="K39" s="7">
        <f t="shared" si="10"/>
        <v>0.82699176483944636</v>
      </c>
      <c r="L39" s="7">
        <f t="shared" si="10"/>
        <v>0.10701960868670041</v>
      </c>
      <c r="M39" s="7">
        <f t="shared" si="10"/>
        <v>0.15133050806093024</v>
      </c>
      <c r="O39" s="7">
        <f>+O31/O30</f>
        <v>-5.8786514091228238E-2</v>
      </c>
      <c r="P39" s="7">
        <f t="shared" ref="O39:P39" si="11">+P31/P30</f>
        <v>0.19099242617218293</v>
      </c>
      <c r="W39" s="7">
        <f>+W31/W30</f>
        <v>-4.6883825652822999</v>
      </c>
    </row>
    <row r="42" spans="2:23" x14ac:dyDescent="0.2">
      <c r="B42" t="s">
        <v>50</v>
      </c>
      <c r="J42" s="7"/>
      <c r="K42" s="7">
        <f t="shared" ref="K42" si="12">+K13/G13-1</f>
        <v>-0.26220034892285504</v>
      </c>
      <c r="L42" s="7">
        <f>+L13/H13-1</f>
        <v>7.0143743695451946</v>
      </c>
      <c r="M42" s="7">
        <f>+M13/I13-1</f>
        <v>1.3984645250607399</v>
      </c>
      <c r="O42" s="7">
        <f>+O13/K13-1</f>
        <v>0.78802795017380767</v>
      </c>
      <c r="P42" s="7">
        <f>+P13/L13-1</f>
        <v>0.48892777320985803</v>
      </c>
    </row>
    <row r="45" spans="2:23" s="4" customFormat="1" ht="15" x14ac:dyDescent="0.25">
      <c r="B45" s="4" t="s">
        <v>76</v>
      </c>
      <c r="N45" s="5">
        <f>+N46-(N62+N66)</f>
        <v>-7740.3620000000001</v>
      </c>
      <c r="O45" s="5">
        <f>+O46-(O62+O66)</f>
        <v>-8707.5540000000001</v>
      </c>
      <c r="P45" s="5">
        <f>+P46-(P62+P66)</f>
        <v>-2655.195999999999</v>
      </c>
    </row>
    <row r="46" spans="2:23" s="1" customFormat="1" x14ac:dyDescent="0.2">
      <c r="B46" s="1" t="s">
        <v>3</v>
      </c>
      <c r="N46" s="1">
        <f>4703.059+500</f>
        <v>5203.0590000000002</v>
      </c>
      <c r="O46" s="1">
        <f>2719.115+500.101</f>
        <v>3219.2159999999999</v>
      </c>
      <c r="P46" s="1">
        <v>5784.1729999999998</v>
      </c>
    </row>
    <row r="47" spans="2:23" s="1" customFormat="1" x14ac:dyDescent="0.2">
      <c r="B47" s="1" t="s">
        <v>53</v>
      </c>
      <c r="N47" s="1">
        <v>583.91499999999996</v>
      </c>
      <c r="O47" s="1">
        <v>593.46600000000001</v>
      </c>
      <c r="P47" s="1">
        <v>668.91899999999998</v>
      </c>
    </row>
    <row r="48" spans="2:23" s="1" customFormat="1" x14ac:dyDescent="0.2">
      <c r="B48" s="1" t="s">
        <v>54</v>
      </c>
      <c r="N48" s="1">
        <v>96.373999999999995</v>
      </c>
      <c r="O48" s="1">
        <v>102.05</v>
      </c>
      <c r="P48" s="1">
        <v>115.1</v>
      </c>
    </row>
    <row r="49" spans="1:16" s="1" customFormat="1" x14ac:dyDescent="0.2">
      <c r="B49" s="1" t="s">
        <v>55</v>
      </c>
      <c r="N49" s="1">
        <v>273.86200000000002</v>
      </c>
      <c r="O49" s="1">
        <v>234.65899999999999</v>
      </c>
      <c r="P49" s="1">
        <v>232.62100000000001</v>
      </c>
    </row>
    <row r="50" spans="1:16" s="1" customFormat="1" x14ac:dyDescent="0.2">
      <c r="B50" s="1" t="s">
        <v>56</v>
      </c>
      <c r="N50" s="1">
        <v>258.97199999999998</v>
      </c>
      <c r="O50" s="1">
        <v>365.55399999999997</v>
      </c>
      <c r="P50" s="1">
        <v>337.70100000000002</v>
      </c>
    </row>
    <row r="51" spans="1:16" s="1" customFormat="1" x14ac:dyDescent="0.2">
      <c r="B51" s="1" t="s">
        <v>57</v>
      </c>
      <c r="P51" s="13">
        <v>2028.2670000000001</v>
      </c>
    </row>
    <row r="52" spans="1:16" s="1" customFormat="1" ht="15" x14ac:dyDescent="0.25">
      <c r="A52" s="9" t="s">
        <v>77</v>
      </c>
      <c r="B52" s="1" t="s">
        <v>58</v>
      </c>
      <c r="N52" s="1">
        <v>14435.493</v>
      </c>
      <c r="O52" s="1">
        <v>14144.526</v>
      </c>
      <c r="P52" s="1">
        <v>5027.6679999999997</v>
      </c>
    </row>
    <row r="53" spans="1:16" s="1" customFormat="1" x14ac:dyDescent="0.2">
      <c r="A53" s="8"/>
      <c r="B53" s="1" t="s">
        <v>59</v>
      </c>
      <c r="N53" s="1">
        <v>967.04399999999998</v>
      </c>
      <c r="O53" s="14">
        <v>1008.144</v>
      </c>
      <c r="P53" s="14">
        <v>155.6</v>
      </c>
    </row>
    <row r="54" spans="1:16" s="1" customFormat="1" x14ac:dyDescent="0.2">
      <c r="A54" s="8"/>
      <c r="B54" s="1" t="s">
        <v>60</v>
      </c>
      <c r="N54" s="1">
        <f>3480.997+3616.385</f>
        <v>7097.3819999999996</v>
      </c>
      <c r="O54" s="1">
        <f>3474.861+3555.466</f>
        <v>7030.3269999999993</v>
      </c>
      <c r="P54" s="1">
        <f>4705.842+3598.127</f>
        <v>8303.9689999999991</v>
      </c>
    </row>
    <row r="55" spans="1:16" s="1" customFormat="1" x14ac:dyDescent="0.2">
      <c r="A55" s="8"/>
      <c r="B55" s="1" t="s">
        <v>61</v>
      </c>
      <c r="N55" s="1">
        <v>11492.805</v>
      </c>
      <c r="O55" s="1">
        <v>11438.441999999999</v>
      </c>
      <c r="P55" s="1">
        <v>24773.651999999998</v>
      </c>
    </row>
    <row r="56" spans="1:16" s="1" customFormat="1" x14ac:dyDescent="0.2">
      <c r="A56" s="8"/>
      <c r="B56" s="1" t="s">
        <v>62</v>
      </c>
      <c r="N56" s="1">
        <v>490.21</v>
      </c>
      <c r="O56" s="1">
        <v>513.62099999999998</v>
      </c>
      <c r="P56" s="1">
        <v>1004.468</v>
      </c>
    </row>
    <row r="57" spans="1:16" s="5" customFormat="1" ht="15" x14ac:dyDescent="0.25">
      <c r="A57" s="9"/>
      <c r="B57" s="5" t="s">
        <v>63</v>
      </c>
      <c r="N57" s="5">
        <f>+SUM(N46:N51)</f>
        <v>6416.1819999999998</v>
      </c>
      <c r="O57" s="5">
        <f>+SUM(O46:O51)</f>
        <v>4514.9449999999997</v>
      </c>
      <c r="P57" s="5">
        <f>+SUM(P46:P51)</f>
        <v>9166.7810000000009</v>
      </c>
    </row>
    <row r="58" spans="1:16" s="5" customFormat="1" ht="15" x14ac:dyDescent="0.25">
      <c r="A58" s="9"/>
      <c r="B58" s="5" t="s">
        <v>64</v>
      </c>
      <c r="N58" s="5">
        <f>+SUM(N46:N56)</f>
        <v>40899.116000000002</v>
      </c>
      <c r="O58" s="5">
        <f>+SUM(O46:O56)</f>
        <v>38650.00499999999</v>
      </c>
      <c r="P58" s="5">
        <f>+SUM(P46:P56)</f>
        <v>48432.137999999999</v>
      </c>
    </row>
    <row r="59" spans="1:16" x14ac:dyDescent="0.2">
      <c r="A59" s="2"/>
    </row>
    <row r="60" spans="1:16" s="1" customFormat="1" x14ac:dyDescent="0.2">
      <c r="A60" s="8"/>
      <c r="B60" s="1" t="s">
        <v>65</v>
      </c>
      <c r="N60" s="1">
        <v>263.09699999999998</v>
      </c>
      <c r="O60" s="1">
        <v>281.22500000000002</v>
      </c>
      <c r="P60" s="1">
        <v>359.25799999999998</v>
      </c>
    </row>
    <row r="61" spans="1:16" s="1" customFormat="1" x14ac:dyDescent="0.2">
      <c r="A61" s="8"/>
      <c r="B61" s="1" t="s">
        <v>66</v>
      </c>
      <c r="N61" s="1">
        <v>23.099</v>
      </c>
      <c r="O61" s="1">
        <v>20.702999999999999</v>
      </c>
      <c r="P61" s="1">
        <v>21.029</v>
      </c>
    </row>
    <row r="62" spans="1:16" s="1" customFormat="1" x14ac:dyDescent="0.2">
      <c r="A62" s="8"/>
      <c r="B62" s="1" t="s">
        <v>4</v>
      </c>
      <c r="N62" s="1">
        <f>1000+172.624</f>
        <v>1172.624</v>
      </c>
      <c r="O62" s="1">
        <f>1250+169.63</f>
        <v>1419.63</v>
      </c>
      <c r="P62" s="1">
        <f>1250+82.214</f>
        <v>1332.2139999999999</v>
      </c>
    </row>
    <row r="63" spans="1:16" s="1" customFormat="1" x14ac:dyDescent="0.2">
      <c r="A63" s="8"/>
      <c r="B63" s="1" t="s">
        <v>67</v>
      </c>
      <c r="N63" s="1">
        <v>1983.444</v>
      </c>
      <c r="O63" s="1">
        <v>1878.0429999999999</v>
      </c>
      <c r="P63" s="1">
        <v>1874.6590000000001</v>
      </c>
    </row>
    <row r="64" spans="1:16" s="1" customFormat="1" x14ac:dyDescent="0.2">
      <c r="A64" s="8"/>
      <c r="B64" s="1" t="s">
        <v>57</v>
      </c>
      <c r="P64" s="1">
        <v>1957.42</v>
      </c>
    </row>
    <row r="65" spans="1:16" s="1" customFormat="1" ht="15" x14ac:dyDescent="0.25">
      <c r="A65" s="9" t="s">
        <v>77</v>
      </c>
      <c r="B65" s="1" t="s">
        <v>68</v>
      </c>
      <c r="N65" s="1">
        <v>2439.364</v>
      </c>
      <c r="O65" s="1">
        <v>2442.6179999999999</v>
      </c>
      <c r="P65" s="1">
        <v>2983.4569999999999</v>
      </c>
    </row>
    <row r="66" spans="1:16" s="1" customFormat="1" x14ac:dyDescent="0.2">
      <c r="B66" s="1" t="s">
        <v>69</v>
      </c>
      <c r="N66" s="1">
        <v>11770.797</v>
      </c>
      <c r="O66" s="1">
        <v>10507.14</v>
      </c>
      <c r="P66" s="1">
        <v>7107.1549999999997</v>
      </c>
    </row>
    <row r="67" spans="1:16" s="1" customFormat="1" x14ac:dyDescent="0.2">
      <c r="B67" s="1" t="s">
        <v>70</v>
      </c>
      <c r="N67" s="1">
        <v>11802.464</v>
      </c>
      <c r="O67" s="1">
        <v>11810.047</v>
      </c>
      <c r="P67" s="1">
        <v>25135.947</v>
      </c>
    </row>
    <row r="68" spans="1:16" s="1" customFormat="1" x14ac:dyDescent="0.2">
      <c r="B68" s="1" t="s">
        <v>71</v>
      </c>
      <c r="N68" s="1">
        <v>319.91399999999999</v>
      </c>
      <c r="O68" s="1">
        <v>280.077</v>
      </c>
      <c r="P68" s="1">
        <v>320.40699999999998</v>
      </c>
    </row>
    <row r="69" spans="1:16" s="5" customFormat="1" ht="15" x14ac:dyDescent="0.25">
      <c r="B69" s="5" t="s">
        <v>73</v>
      </c>
      <c r="N69" s="5">
        <f>+SUM(N60:N64)</f>
        <v>3442.2640000000001</v>
      </c>
      <c r="O69" s="5">
        <f>+SUM(O60:O64)</f>
        <v>3599.6009999999997</v>
      </c>
      <c r="P69" s="5">
        <f>+SUM(P60:P64)</f>
        <v>5544.58</v>
      </c>
    </row>
    <row r="70" spans="1:16" s="5" customFormat="1" ht="15" x14ac:dyDescent="0.25">
      <c r="B70" s="5" t="s">
        <v>72</v>
      </c>
      <c r="N70" s="5">
        <f>+SUM(N60:N68)</f>
        <v>29774.803000000004</v>
      </c>
      <c r="O70" s="5">
        <f>+SUM(O60:O68)</f>
        <v>28639.482999999997</v>
      </c>
      <c r="P70" s="5">
        <f>+SUM(P60:P68)</f>
        <v>41091.545999999995</v>
      </c>
    </row>
    <row r="71" spans="1:16" x14ac:dyDescent="0.2">
      <c r="B71" s="1" t="s">
        <v>74</v>
      </c>
      <c r="N71" s="1">
        <v>10976.766</v>
      </c>
      <c r="O71" s="1">
        <v>9879.6239999999998</v>
      </c>
      <c r="P71" s="1">
        <v>7197.683</v>
      </c>
    </row>
    <row r="72" spans="1:16" x14ac:dyDescent="0.2">
      <c r="B72" s="1" t="s">
        <v>75</v>
      </c>
      <c r="N72" s="1">
        <f>+SUM(N70:N71)</f>
        <v>40751.569000000003</v>
      </c>
      <c r="O72" s="1">
        <f>+SUM(O70:O71)</f>
        <v>38519.106999999996</v>
      </c>
      <c r="P72" s="1">
        <f>+SUM(P70:P71)</f>
        <v>48289.228999999992</v>
      </c>
    </row>
    <row r="73" spans="1:16" x14ac:dyDescent="0.2">
      <c r="B73" s="1"/>
    </row>
  </sheetData>
  <hyperlinks>
    <hyperlink ref="A1" location="Main!A1" display="Main" xr:uid="{17454DDA-45AE-4C74-AA4C-4B92816CE3E7}"/>
  </hyperlink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Case</dc:creator>
  <cp:lastModifiedBy>Josh Case</cp:lastModifiedBy>
  <dcterms:created xsi:type="dcterms:W3CDTF">2022-01-28T04:07:05Z</dcterms:created>
  <dcterms:modified xsi:type="dcterms:W3CDTF">2022-10-22T21:46:16Z</dcterms:modified>
</cp:coreProperties>
</file>