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FEBA5D3C-1371-4900-9938-E3B857581FA4}" xr6:coauthVersionLast="47" xr6:coauthVersionMax="47" xr10:uidLastSave="{00000000-0000-0000-0000-000000000000}"/>
  <bookViews>
    <workbookView xWindow="3510" yWindow="2295" windowWidth="18615" windowHeight="13905" firstSheet="1" activeTab="1" xr2:uid="{4BE5E767-4255-4456-B8C6-4C6B6E5C8DF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" i="2" l="1"/>
  <c r="G47" i="2"/>
  <c r="J47" i="2"/>
  <c r="I47" i="2"/>
  <c r="H47" i="2"/>
  <c r="K47" i="2"/>
  <c r="J46" i="2"/>
  <c r="I46" i="2"/>
  <c r="H46" i="2"/>
  <c r="G46" i="2"/>
  <c r="K46" i="2"/>
  <c r="C13" i="2"/>
  <c r="R13" i="2" s="1"/>
  <c r="C12" i="2"/>
  <c r="S20" i="2"/>
  <c r="S19" i="2"/>
  <c r="S18" i="2"/>
  <c r="S17" i="2"/>
  <c r="R20" i="2"/>
  <c r="R19" i="2"/>
  <c r="R18" i="2"/>
  <c r="R17" i="2"/>
  <c r="S13" i="2"/>
  <c r="S12" i="2"/>
  <c r="S11" i="2"/>
  <c r="R11" i="2"/>
  <c r="S8" i="2"/>
  <c r="R8" i="2"/>
  <c r="S6" i="2"/>
  <c r="R6" i="2"/>
  <c r="S5" i="2"/>
  <c r="R5" i="2"/>
  <c r="R4" i="2"/>
  <c r="S4" i="2"/>
  <c r="C7" i="2"/>
  <c r="D7" i="2"/>
  <c r="D14" i="2"/>
  <c r="H7" i="2"/>
  <c r="H14" i="2"/>
  <c r="E7" i="2"/>
  <c r="E14" i="2"/>
  <c r="I7" i="2"/>
  <c r="I14" i="2"/>
  <c r="F14" i="2"/>
  <c r="F7" i="2"/>
  <c r="J7" i="2"/>
  <c r="J14" i="2"/>
  <c r="G14" i="2"/>
  <c r="K14" i="2"/>
  <c r="G7" i="2"/>
  <c r="K7" i="2"/>
  <c r="S45" i="2"/>
  <c r="K105" i="2"/>
  <c r="K89" i="2"/>
  <c r="K82" i="2"/>
  <c r="K59" i="2"/>
  <c r="K66" i="2" s="1"/>
  <c r="K54" i="2"/>
  <c r="K50" i="2"/>
  <c r="K45" i="2"/>
  <c r="K31" i="2"/>
  <c r="K29" i="2"/>
  <c r="K25" i="2"/>
  <c r="C105" i="2"/>
  <c r="C89" i="2"/>
  <c r="C82" i="2"/>
  <c r="G105" i="2"/>
  <c r="G89" i="2"/>
  <c r="G82" i="2"/>
  <c r="G65" i="2"/>
  <c r="G66" i="2" s="1"/>
  <c r="G54" i="2"/>
  <c r="G57" i="2" s="1"/>
  <c r="G49" i="2"/>
  <c r="G45" i="2"/>
  <c r="C31" i="2"/>
  <c r="C29" i="2"/>
  <c r="C25" i="2"/>
  <c r="C41" i="2" s="1"/>
  <c r="G31" i="2"/>
  <c r="G29" i="2"/>
  <c r="G25" i="2"/>
  <c r="D105" i="2"/>
  <c r="D89" i="2"/>
  <c r="D82" i="2"/>
  <c r="H105" i="2"/>
  <c r="H89" i="2"/>
  <c r="H82" i="2"/>
  <c r="F65" i="2"/>
  <c r="F66" i="2" s="1"/>
  <c r="H65" i="2"/>
  <c r="H66" i="2" s="1"/>
  <c r="H54" i="2"/>
  <c r="H50" i="2"/>
  <c r="H49" i="2" s="1"/>
  <c r="D31" i="2"/>
  <c r="D29" i="2"/>
  <c r="D25" i="2"/>
  <c r="D41" i="2" s="1"/>
  <c r="H45" i="2"/>
  <c r="H31" i="2"/>
  <c r="H29" i="2"/>
  <c r="H25" i="2"/>
  <c r="H41" i="2" s="1"/>
  <c r="E87" i="2"/>
  <c r="E89" i="2" s="1"/>
  <c r="E105" i="2"/>
  <c r="E82" i="2"/>
  <c r="I89" i="2"/>
  <c r="I105" i="2"/>
  <c r="I82" i="2"/>
  <c r="I65" i="2"/>
  <c r="I59" i="2"/>
  <c r="I54" i="2"/>
  <c r="I50" i="2"/>
  <c r="E31" i="2"/>
  <c r="E29" i="2"/>
  <c r="E25" i="2"/>
  <c r="E41" i="2" s="1"/>
  <c r="I45" i="2"/>
  <c r="I31" i="2"/>
  <c r="I29" i="2"/>
  <c r="I25" i="2"/>
  <c r="I41" i="2" s="1"/>
  <c r="F105" i="2"/>
  <c r="F89" i="2"/>
  <c r="F82" i="2"/>
  <c r="J105" i="2"/>
  <c r="J89" i="2"/>
  <c r="J82" i="2"/>
  <c r="F49" i="2"/>
  <c r="F54" i="2"/>
  <c r="F57" i="2" s="1"/>
  <c r="J59" i="2"/>
  <c r="J54" i="2"/>
  <c r="J50" i="2"/>
  <c r="J45" i="2"/>
  <c r="F31" i="2"/>
  <c r="F29" i="2"/>
  <c r="F25" i="2"/>
  <c r="F41" i="2" s="1"/>
  <c r="J29" i="2"/>
  <c r="J25" i="2"/>
  <c r="J41" i="2" s="1"/>
  <c r="Q45" i="2"/>
  <c r="P31" i="2"/>
  <c r="P29" i="2"/>
  <c r="P25" i="2"/>
  <c r="P41" i="2" s="1"/>
  <c r="R45" i="2"/>
  <c r="S31" i="2"/>
  <c r="S29" i="2"/>
  <c r="S25" i="2"/>
  <c r="S41" i="2" s="1"/>
  <c r="R31" i="2"/>
  <c r="R25" i="2"/>
  <c r="R41" i="2" s="1"/>
  <c r="R29" i="2"/>
  <c r="Q31" i="2"/>
  <c r="Q29" i="2"/>
  <c r="Q25" i="2"/>
  <c r="Q41" i="2" s="1"/>
  <c r="Q2" i="2"/>
  <c r="R2" i="2" s="1"/>
  <c r="S2" i="2" s="1"/>
  <c r="T2" i="2" s="1"/>
  <c r="U2" i="2" s="1"/>
  <c r="V2" i="2" s="1"/>
  <c r="W2" i="2" s="1"/>
  <c r="X2" i="2" s="1"/>
  <c r="F8" i="1"/>
  <c r="F7" i="1"/>
  <c r="F6" i="1"/>
  <c r="F5" i="1"/>
  <c r="S47" i="2" l="1"/>
  <c r="S46" i="2"/>
  <c r="S7" i="2"/>
  <c r="S14" i="2"/>
  <c r="R7" i="2"/>
  <c r="F67" i="2"/>
  <c r="F68" i="2" s="1"/>
  <c r="K30" i="2"/>
  <c r="K42" i="2" s="1"/>
  <c r="G30" i="2"/>
  <c r="G32" i="2" s="1"/>
  <c r="G43" i="2" s="1"/>
  <c r="G67" i="2"/>
  <c r="G68" i="2" s="1"/>
  <c r="H57" i="2"/>
  <c r="H67" i="2" s="1"/>
  <c r="H68" i="2" s="1"/>
  <c r="K49" i="2"/>
  <c r="I66" i="2"/>
  <c r="K57" i="2"/>
  <c r="K67" i="2" s="1"/>
  <c r="K68" i="2" s="1"/>
  <c r="J57" i="2"/>
  <c r="K41" i="2"/>
  <c r="K106" i="2"/>
  <c r="G41" i="2"/>
  <c r="J49" i="2"/>
  <c r="I57" i="2"/>
  <c r="C106" i="2"/>
  <c r="G106" i="2"/>
  <c r="C30" i="2"/>
  <c r="D106" i="2"/>
  <c r="H106" i="2"/>
  <c r="D30" i="2"/>
  <c r="H30" i="2"/>
  <c r="E106" i="2"/>
  <c r="I106" i="2"/>
  <c r="J106" i="2"/>
  <c r="Q30" i="2"/>
  <c r="Q42" i="2" s="1"/>
  <c r="J66" i="2"/>
  <c r="R30" i="2"/>
  <c r="R42" i="2" s="1"/>
  <c r="I49" i="2"/>
  <c r="E30" i="2"/>
  <c r="I30" i="2"/>
  <c r="F106" i="2"/>
  <c r="F30" i="2"/>
  <c r="J30" i="2"/>
  <c r="J32" i="2" s="1"/>
  <c r="P30" i="2"/>
  <c r="S30" i="2"/>
  <c r="R32" i="2" l="1"/>
  <c r="K32" i="2"/>
  <c r="K43" i="2" s="1"/>
  <c r="I67" i="2"/>
  <c r="I68" i="2" s="1"/>
  <c r="G42" i="2"/>
  <c r="G36" i="2"/>
  <c r="G70" i="2" s="1"/>
  <c r="J67" i="2"/>
  <c r="J68" i="2" s="1"/>
  <c r="H32" i="2"/>
  <c r="H42" i="2"/>
  <c r="D32" i="2"/>
  <c r="D42" i="2"/>
  <c r="C32" i="2"/>
  <c r="C42" i="2"/>
  <c r="Q32" i="2"/>
  <c r="Q43" i="2" s="1"/>
  <c r="I32" i="2"/>
  <c r="I36" i="2" s="1"/>
  <c r="I70" i="2" s="1"/>
  <c r="I42" i="2"/>
  <c r="E32" i="2"/>
  <c r="E36" i="2" s="1"/>
  <c r="E70" i="2" s="1"/>
  <c r="E42" i="2"/>
  <c r="R36" i="2"/>
  <c r="R38" i="2" s="1"/>
  <c r="R43" i="2"/>
  <c r="S32" i="2"/>
  <c r="S36" i="2" s="1"/>
  <c r="S42" i="2"/>
  <c r="P32" i="2"/>
  <c r="P42" i="2"/>
  <c r="J36" i="2"/>
  <c r="J42" i="2"/>
  <c r="F32" i="2"/>
  <c r="F36" i="2" s="1"/>
  <c r="F42" i="2"/>
  <c r="G38" i="2" l="1"/>
  <c r="K36" i="2"/>
  <c r="K70" i="2" s="1"/>
  <c r="Q36" i="2"/>
  <c r="Q38" i="2" s="1"/>
  <c r="C43" i="2"/>
  <c r="C36" i="2"/>
  <c r="C70" i="2" s="1"/>
  <c r="D36" i="2"/>
  <c r="D70" i="2" s="1"/>
  <c r="D43" i="2"/>
  <c r="H36" i="2"/>
  <c r="H70" i="2" s="1"/>
  <c r="H43" i="2"/>
  <c r="E38" i="2"/>
  <c r="E43" i="2"/>
  <c r="I43" i="2"/>
  <c r="J43" i="2"/>
  <c r="P36" i="2"/>
  <c r="P38" i="2" s="1"/>
  <c r="P43" i="2"/>
  <c r="S38" i="2"/>
  <c r="S43" i="2"/>
  <c r="F43" i="2"/>
  <c r="K37" i="2" l="1"/>
  <c r="H38" i="2"/>
  <c r="D38" i="2"/>
  <c r="C38" i="2"/>
  <c r="F37" i="2"/>
  <c r="F70" i="2"/>
  <c r="J37" i="2"/>
  <c r="J70" i="2"/>
  <c r="I38" i="2"/>
  <c r="R12" i="2"/>
  <c r="R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C5" authorId="0" shapeId="0" xr:uid="{79A9B2DC-8C3E-4245-88E5-23D7D0286E2A}">
      <text>
        <r>
          <rPr>
            <b/>
            <sz val="9"/>
            <color indexed="81"/>
            <rFont val="Tahoma"/>
            <family val="2"/>
          </rPr>
          <t xml:space="preserve">Josh Case:
International </t>
        </r>
      </text>
    </comment>
    <comment ref="C12" authorId="0" shapeId="0" xr:uid="{90806F36-57F6-4B80-9C99-807C15294CDD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"International"</t>
        </r>
      </text>
    </comment>
    <comment ref="J31" authorId="0" shapeId="0" xr:uid="{F0A2F1BF-6667-49D6-B8EB-E9DC8155ABE3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Sean Rad legal settlement</t>
        </r>
      </text>
    </comment>
  </commentList>
</comments>
</file>

<file path=xl/sharedStrings.xml><?xml version="1.0" encoding="utf-8"?>
<sst xmlns="http://schemas.openxmlformats.org/spreadsheetml/2006/main" count="114" uniqueCount="93">
  <si>
    <t>Price</t>
  </si>
  <si>
    <t>Shares</t>
  </si>
  <si>
    <t>MC</t>
  </si>
  <si>
    <t>Cash</t>
  </si>
  <si>
    <t>Debt</t>
  </si>
  <si>
    <t>EV</t>
  </si>
  <si>
    <t>Main</t>
  </si>
  <si>
    <t>Q421</t>
  </si>
  <si>
    <t>Q120</t>
  </si>
  <si>
    <t>Q220</t>
  </si>
  <si>
    <t>Q320</t>
  </si>
  <si>
    <t>Q420</t>
  </si>
  <si>
    <t>Q121</t>
  </si>
  <si>
    <t>Q221</t>
  </si>
  <si>
    <t>Q321</t>
  </si>
  <si>
    <t>Q122</t>
  </si>
  <si>
    <t>Q222</t>
  </si>
  <si>
    <t>Q322</t>
  </si>
  <si>
    <t>Q422</t>
  </si>
  <si>
    <t>Revenue</t>
  </si>
  <si>
    <t>COGS</t>
  </si>
  <si>
    <t>Gross Profit</t>
  </si>
  <si>
    <t>S&amp;M</t>
  </si>
  <si>
    <t>G&amp;A</t>
  </si>
  <si>
    <t>R&amp;D</t>
  </si>
  <si>
    <t>Operating Expenses</t>
  </si>
  <si>
    <t>Operating Income</t>
  </si>
  <si>
    <t>Interest Expense</t>
  </si>
  <si>
    <t>Pretax Income</t>
  </si>
  <si>
    <t>Taxes</t>
  </si>
  <si>
    <t>Net Income</t>
  </si>
  <si>
    <t>NI</t>
  </si>
  <si>
    <t>EPS</t>
  </si>
  <si>
    <t>Gross Margin %</t>
  </si>
  <si>
    <t>Operating Margin %</t>
  </si>
  <si>
    <t>Tax Rate %</t>
  </si>
  <si>
    <t>Revenue Y/Y</t>
  </si>
  <si>
    <t>A/R</t>
  </si>
  <si>
    <t>OCA</t>
  </si>
  <si>
    <t>PP&amp;E</t>
  </si>
  <si>
    <t>Intangibles</t>
  </si>
  <si>
    <t>D/T</t>
  </si>
  <si>
    <t>ONCA</t>
  </si>
  <si>
    <t>Total Assets</t>
  </si>
  <si>
    <t>A/P</t>
  </si>
  <si>
    <t>D/R</t>
  </si>
  <si>
    <t>OCL</t>
  </si>
  <si>
    <t>Tax payable</t>
  </si>
  <si>
    <t>OLTL</t>
  </si>
  <si>
    <t>Total Liabilties</t>
  </si>
  <si>
    <t>Net Cash</t>
  </si>
  <si>
    <t>Model NI</t>
  </si>
  <si>
    <t>Reported NI</t>
  </si>
  <si>
    <t>SBC</t>
  </si>
  <si>
    <t>Depreciation</t>
  </si>
  <si>
    <t>Amoritzation</t>
  </si>
  <si>
    <t>Other</t>
  </si>
  <si>
    <t>OA</t>
  </si>
  <si>
    <t>CFFO</t>
  </si>
  <si>
    <t>Cash Acquired</t>
  </si>
  <si>
    <t>Capex</t>
  </si>
  <si>
    <t>Investment Purchases</t>
  </si>
  <si>
    <t>CFFF</t>
  </si>
  <si>
    <t>CFFI</t>
  </si>
  <si>
    <t>Credit Borrowings</t>
  </si>
  <si>
    <t>Senior Notes</t>
  </si>
  <si>
    <t>Credit Payment</t>
  </si>
  <si>
    <t>Exchangeable Notes Payment</t>
  </si>
  <si>
    <t>Senior Notes Payment</t>
  </si>
  <si>
    <t>Exchangeable Notes Hedge</t>
  </si>
  <si>
    <t>Exchangeable Notes Warrant</t>
  </si>
  <si>
    <t>Debt Issuance</t>
  </si>
  <si>
    <t>Stock Offering Proceeds</t>
  </si>
  <si>
    <t>Stock Based Awards</t>
  </si>
  <si>
    <t>Taxes Related to Awards</t>
  </si>
  <si>
    <t>MTCH Treasury Purchase</t>
  </si>
  <si>
    <t>NI Purchase</t>
  </si>
  <si>
    <t>Seperation of IAC</t>
  </si>
  <si>
    <t>CF</t>
  </si>
  <si>
    <t>Gain of Sale</t>
  </si>
  <si>
    <t>S/E</t>
  </si>
  <si>
    <t>L + S/E</t>
  </si>
  <si>
    <t>Direct Revenue</t>
  </si>
  <si>
    <t>EU</t>
  </si>
  <si>
    <t>US</t>
  </si>
  <si>
    <t>APAC &amp; Other</t>
  </si>
  <si>
    <t>Indirect Revenue</t>
  </si>
  <si>
    <t>Payers</t>
  </si>
  <si>
    <t>Total Payers</t>
  </si>
  <si>
    <t>Revenue Per Player</t>
  </si>
  <si>
    <t>Total</t>
  </si>
  <si>
    <t>US Revenue Y/Y</t>
  </si>
  <si>
    <t>EU 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</si>
</sst>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color rgb="FF000000"/>
      <name val="Calibri"/>
      <family val="2"/>
    </font>
    <font>
      <b/>
      <u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3" fontId="0" fillId="0" borderId="0" xfId="0" applyNumberFormat="1" applyFont="1"/>
    <xf numFmtId="0" fontId="3" fillId="0" borderId="0" xfId="0" applyFont="1"/>
    <xf numFmtId="0" fontId="4" fillId="0" borderId="0" xfId="0" applyFont="1"/>
    <xf numFmtId="164" fontId="0" fillId="0" borderId="0" xfId="0" applyNumberFormat="1" applyFont="1"/>
    <xf numFmtId="3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TCH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B6E8-5806-4A7F-A8F8-750EFF1DA008}">
  <dimension ref="E3:G8"/>
  <sheetViews>
    <sheetView topLeftCell="D1" workbookViewId="0">
      <selection activeCell="F10" sqref="F10"/>
    </sheetView>
  </sheetViews>
  <sheetFormatPr defaultRowHeight="14.25" x14ac:dyDescent="0.2"/>
  <cols>
    <col min="7" max="7" width="9" style="2"/>
  </cols>
  <sheetData>
    <row r="3" spans="5:7" x14ac:dyDescent="0.2">
      <c r="E3" t="s">
        <v>0</v>
      </c>
      <c r="F3">
        <v>102.28</v>
      </c>
    </row>
    <row r="4" spans="5:7" x14ac:dyDescent="0.2">
      <c r="E4" t="s">
        <v>1</v>
      </c>
      <c r="F4" s="1">
        <v>285.14828799999998</v>
      </c>
      <c r="G4" s="2" t="s">
        <v>7</v>
      </c>
    </row>
    <row r="5" spans="5:7" x14ac:dyDescent="0.2">
      <c r="E5" t="s">
        <v>2</v>
      </c>
      <c r="F5" s="1">
        <f>+F4*F3</f>
        <v>29164.966896639999</v>
      </c>
    </row>
    <row r="6" spans="5:7" x14ac:dyDescent="0.2">
      <c r="E6" t="s">
        <v>3</v>
      </c>
      <c r="F6" s="1">
        <f>815.384+11.818</f>
        <v>827.202</v>
      </c>
      <c r="G6" s="2" t="s">
        <v>7</v>
      </c>
    </row>
    <row r="7" spans="5:7" x14ac:dyDescent="0.2">
      <c r="E7" t="s">
        <v>4</v>
      </c>
      <c r="F7" s="1">
        <f>99.927+3829.421</f>
        <v>3929.348</v>
      </c>
      <c r="G7" s="2" t="s">
        <v>7</v>
      </c>
    </row>
    <row r="8" spans="5:7" x14ac:dyDescent="0.2">
      <c r="E8" t="s">
        <v>5</v>
      </c>
      <c r="F8" s="1">
        <f>+F5-F6+F7</f>
        <v>32267.112896639999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42AB-00CE-430E-BA50-0E72502B267A}">
  <dimension ref="A1:X106"/>
  <sheetViews>
    <sheetView tabSelected="1" zoomScaleNormal="100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D58" sqref="D58"/>
    </sheetView>
  </sheetViews>
  <sheetFormatPr defaultRowHeight="14.25" x14ac:dyDescent="0.2"/>
  <cols>
    <col min="1" max="1" width="4.625" bestFit="1" customWidth="1"/>
    <col min="2" max="2" width="25.875" bestFit="1" customWidth="1"/>
  </cols>
  <sheetData>
    <row r="1" spans="1:24" x14ac:dyDescent="0.2">
      <c r="A1" s="3" t="s">
        <v>6</v>
      </c>
    </row>
    <row r="2" spans="1:24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7</v>
      </c>
      <c r="K2" t="s">
        <v>15</v>
      </c>
      <c r="L2" t="s">
        <v>16</v>
      </c>
      <c r="M2" t="s">
        <v>17</v>
      </c>
      <c r="N2" t="s">
        <v>18</v>
      </c>
      <c r="P2">
        <v>2018</v>
      </c>
      <c r="Q2">
        <f>+P2+1</f>
        <v>2019</v>
      </c>
      <c r="R2">
        <f t="shared" ref="R2:X2" si="0">+Q2+1</f>
        <v>2020</v>
      </c>
      <c r="S2">
        <f t="shared" si="0"/>
        <v>2021</v>
      </c>
      <c r="T2">
        <f t="shared" si="0"/>
        <v>2022</v>
      </c>
      <c r="U2">
        <f t="shared" si="0"/>
        <v>2023</v>
      </c>
      <c r="V2">
        <f t="shared" si="0"/>
        <v>2024</v>
      </c>
      <c r="W2">
        <f t="shared" si="0"/>
        <v>2025</v>
      </c>
      <c r="X2">
        <f t="shared" si="0"/>
        <v>2026</v>
      </c>
    </row>
    <row r="3" spans="1:24" ht="15" x14ac:dyDescent="0.25">
      <c r="B3" s="10" t="s">
        <v>82</v>
      </c>
      <c r="C3" s="1"/>
      <c r="D3" s="1"/>
      <c r="E3" s="1"/>
      <c r="F3" s="1"/>
      <c r="G3" s="1"/>
      <c r="H3" s="1"/>
      <c r="I3" s="1"/>
      <c r="J3" s="1"/>
      <c r="K3" s="1"/>
    </row>
    <row r="4" spans="1:24" x14ac:dyDescent="0.2">
      <c r="B4" t="s">
        <v>84</v>
      </c>
      <c r="C4" s="1">
        <v>263.34699999999998</v>
      </c>
      <c r="D4" s="1">
        <v>298.69299999999998</v>
      </c>
      <c r="E4" s="1">
        <v>336.79199999999997</v>
      </c>
      <c r="F4" s="1">
        <v>331.23099999999999</v>
      </c>
      <c r="G4" s="1">
        <v>344.262</v>
      </c>
      <c r="H4" s="1">
        <v>374.38799999999998</v>
      </c>
      <c r="I4" s="1">
        <v>393.613</v>
      </c>
      <c r="J4" s="1">
        <v>399.79399999999998</v>
      </c>
      <c r="K4" s="1">
        <v>399.97800000000001</v>
      </c>
      <c r="R4" s="1">
        <f>+SUM(C4:F4)</f>
        <v>1230.0629999999999</v>
      </c>
      <c r="S4" s="1">
        <f>+SUM(G4:J4)</f>
        <v>1512.0569999999998</v>
      </c>
    </row>
    <row r="5" spans="1:24" x14ac:dyDescent="0.2">
      <c r="B5" t="s">
        <v>83</v>
      </c>
      <c r="C5" s="1">
        <v>271.47699999999998</v>
      </c>
      <c r="D5" s="1">
        <v>154.05000000000001</v>
      </c>
      <c r="E5" s="1">
        <v>181.62700000000001</v>
      </c>
      <c r="F5" s="1">
        <v>187.96100000000001</v>
      </c>
      <c r="G5" s="1">
        <v>189.059</v>
      </c>
      <c r="H5" s="1">
        <v>196.542</v>
      </c>
      <c r="I5" s="1">
        <v>217.68</v>
      </c>
      <c r="J5" s="1">
        <v>218.54599999999999</v>
      </c>
      <c r="K5" s="1">
        <v>215.328</v>
      </c>
      <c r="R5" s="1">
        <f t="shared" ref="R5:R14" si="1">+SUM(C5:F5)</f>
        <v>795.11500000000001</v>
      </c>
      <c r="S5" s="1">
        <f t="shared" ref="S5:S14" si="2">+SUM(G5:J5)</f>
        <v>821.827</v>
      </c>
    </row>
    <row r="6" spans="1:24" x14ac:dyDescent="0.2">
      <c r="B6" t="s">
        <v>85</v>
      </c>
      <c r="C6" s="1"/>
      <c r="D6" s="1">
        <v>93.998000000000005</v>
      </c>
      <c r="E6" s="1">
        <v>109.84699999999999</v>
      </c>
      <c r="F6" s="1">
        <v>115.70099999999999</v>
      </c>
      <c r="G6" s="1">
        <v>121.86</v>
      </c>
      <c r="H6" s="1">
        <v>123.392</v>
      </c>
      <c r="I6" s="1">
        <v>174.43199999999999</v>
      </c>
      <c r="J6" s="1">
        <v>169.303</v>
      </c>
      <c r="K6" s="1">
        <v>168.52699999999999</v>
      </c>
      <c r="R6" s="1">
        <f t="shared" si="1"/>
        <v>319.54599999999999</v>
      </c>
      <c r="S6" s="1">
        <f t="shared" si="2"/>
        <v>588.98699999999997</v>
      </c>
    </row>
    <row r="7" spans="1:24" ht="15" x14ac:dyDescent="0.25">
      <c r="B7" s="5" t="s">
        <v>82</v>
      </c>
      <c r="C7" s="6">
        <f t="shared" ref="C7:K7" si="3">+SUM(C4:C6)</f>
        <v>534.82399999999996</v>
      </c>
      <c r="D7" s="6">
        <f t="shared" si="3"/>
        <v>546.74099999999999</v>
      </c>
      <c r="E7" s="6">
        <f t="shared" si="3"/>
        <v>628.26599999999996</v>
      </c>
      <c r="F7" s="6">
        <f t="shared" si="3"/>
        <v>634.89300000000003</v>
      </c>
      <c r="G7" s="6">
        <f t="shared" si="3"/>
        <v>655.18100000000004</v>
      </c>
      <c r="H7" s="6">
        <f t="shared" si="3"/>
        <v>694.32199999999989</v>
      </c>
      <c r="I7" s="6">
        <f t="shared" si="3"/>
        <v>785.72500000000002</v>
      </c>
      <c r="J7" s="6">
        <f t="shared" si="3"/>
        <v>787.64299999999992</v>
      </c>
      <c r="K7" s="6">
        <f t="shared" si="3"/>
        <v>783.83300000000008</v>
      </c>
      <c r="R7" s="6">
        <f t="shared" si="1"/>
        <v>2344.7240000000002</v>
      </c>
      <c r="S7" s="6">
        <f t="shared" si="2"/>
        <v>2922.8710000000001</v>
      </c>
    </row>
    <row r="8" spans="1:24" x14ac:dyDescent="0.2">
      <c r="B8" t="s">
        <v>86</v>
      </c>
      <c r="C8" s="1">
        <v>9.8179999999999996</v>
      </c>
      <c r="D8" s="1">
        <v>8.7089999999999996</v>
      </c>
      <c r="E8" s="1">
        <v>11.504</v>
      </c>
      <c r="F8" s="1">
        <v>16.513999999999999</v>
      </c>
      <c r="G8" s="1">
        <v>12.430999999999999</v>
      </c>
      <c r="H8" s="1">
        <v>13.438000000000001</v>
      </c>
      <c r="I8" s="1">
        <v>16.11</v>
      </c>
      <c r="J8" s="1">
        <v>18.427</v>
      </c>
      <c r="K8" s="1">
        <v>14.798</v>
      </c>
      <c r="R8" s="1">
        <f t="shared" si="1"/>
        <v>46.545000000000002</v>
      </c>
      <c r="S8" s="1">
        <f t="shared" si="2"/>
        <v>60.405999999999999</v>
      </c>
    </row>
    <row r="9" spans="1:24" x14ac:dyDescent="0.2">
      <c r="R9" s="1"/>
      <c r="S9" s="1"/>
    </row>
    <row r="10" spans="1:24" ht="15" x14ac:dyDescent="0.25">
      <c r="B10" s="10" t="s">
        <v>87</v>
      </c>
      <c r="R10" s="1"/>
      <c r="S10" s="1"/>
    </row>
    <row r="11" spans="1:24" x14ac:dyDescent="0.2">
      <c r="B11" t="s">
        <v>84</v>
      </c>
      <c r="C11" s="11">
        <v>4.57</v>
      </c>
      <c r="D11" s="11">
        <v>6.8360000000000003</v>
      </c>
      <c r="E11" s="11">
        <v>7.4550000000000001</v>
      </c>
      <c r="F11" s="11">
        <v>7.4690000000000003</v>
      </c>
      <c r="G11" s="11">
        <v>8.1590000000000007</v>
      </c>
      <c r="H11" s="11">
        <v>7.9009999999999998</v>
      </c>
      <c r="I11" s="11">
        <v>8.3089999999999993</v>
      </c>
      <c r="J11" s="11">
        <v>8.23</v>
      </c>
      <c r="K11" s="11">
        <v>8.1590000000000007</v>
      </c>
      <c r="R11" s="1">
        <f t="shared" si="1"/>
        <v>26.330000000000002</v>
      </c>
      <c r="S11" s="1">
        <f t="shared" si="2"/>
        <v>32.599000000000004</v>
      </c>
    </row>
    <row r="12" spans="1:24" x14ac:dyDescent="0.2">
      <c r="B12" t="s">
        <v>83</v>
      </c>
      <c r="C12" s="11">
        <f>+C14*0.29</f>
        <v>2.871</v>
      </c>
      <c r="D12" s="11">
        <v>3.83</v>
      </c>
      <c r="E12" s="11">
        <v>4.1539999999999999</v>
      </c>
      <c r="F12" s="11">
        <v>4.2290000000000001</v>
      </c>
      <c r="G12" s="11">
        <v>4.7320000000000002</v>
      </c>
      <c r="H12" s="11">
        <v>4.3319999999999999</v>
      </c>
      <c r="I12" s="11">
        <v>4.71</v>
      </c>
      <c r="J12" s="11">
        <v>4.66</v>
      </c>
      <c r="K12" s="11">
        <v>4.7320000000000002</v>
      </c>
      <c r="R12" s="1">
        <f t="shared" si="1"/>
        <v>15.084</v>
      </c>
      <c r="S12" s="1">
        <f t="shared" si="2"/>
        <v>18.434000000000001</v>
      </c>
    </row>
    <row r="13" spans="1:24" s="5" customFormat="1" ht="15" x14ac:dyDescent="0.25">
      <c r="B13" t="s">
        <v>56</v>
      </c>
      <c r="C13" s="11">
        <f>+C14*0.18</f>
        <v>1.782</v>
      </c>
      <c r="D13" s="11">
        <v>2.339</v>
      </c>
      <c r="E13" s="11">
        <v>2.4169999999999998</v>
      </c>
      <c r="F13" s="11">
        <v>2.4630000000000001</v>
      </c>
      <c r="G13" s="11">
        <v>3.4430000000000001</v>
      </c>
      <c r="H13" s="11">
        <v>2.7360000000000002</v>
      </c>
      <c r="I13" s="11">
        <v>3.2839999999999998</v>
      </c>
      <c r="J13" s="11">
        <v>3.359</v>
      </c>
      <c r="K13" s="11">
        <v>3.4430000000000001</v>
      </c>
      <c r="R13" s="1">
        <f t="shared" si="1"/>
        <v>9.0010000000000012</v>
      </c>
      <c r="S13" s="1">
        <f t="shared" si="2"/>
        <v>12.822000000000001</v>
      </c>
    </row>
    <row r="14" spans="1:24" x14ac:dyDescent="0.2">
      <c r="B14" t="s">
        <v>88</v>
      </c>
      <c r="C14" s="11">
        <v>9.9</v>
      </c>
      <c r="D14" s="11">
        <f t="shared" ref="D14:K14" si="4">+SUM(D11:D13)</f>
        <v>13.005000000000001</v>
      </c>
      <c r="E14" s="11">
        <f t="shared" si="4"/>
        <v>14.026</v>
      </c>
      <c r="F14" s="11">
        <f t="shared" si="4"/>
        <v>14.161000000000001</v>
      </c>
      <c r="G14" s="11">
        <f t="shared" si="4"/>
        <v>16.334000000000003</v>
      </c>
      <c r="H14" s="11">
        <f t="shared" si="4"/>
        <v>14.969000000000001</v>
      </c>
      <c r="I14" s="11">
        <f t="shared" si="4"/>
        <v>16.302999999999997</v>
      </c>
      <c r="J14" s="11">
        <f t="shared" si="4"/>
        <v>16.249000000000002</v>
      </c>
      <c r="K14" s="11">
        <f t="shared" si="4"/>
        <v>16.334000000000003</v>
      </c>
      <c r="R14" s="1">
        <f t="shared" si="1"/>
        <v>51.091999999999999</v>
      </c>
      <c r="S14" s="1">
        <f t="shared" si="2"/>
        <v>63.855000000000004</v>
      </c>
    </row>
    <row r="15" spans="1:24" x14ac:dyDescent="0.2">
      <c r="R15" s="1"/>
      <c r="S15" s="1"/>
    </row>
    <row r="16" spans="1:24" ht="15" x14ac:dyDescent="0.25">
      <c r="B16" s="10" t="s">
        <v>89</v>
      </c>
      <c r="R16" s="1"/>
      <c r="S16" s="1"/>
    </row>
    <row r="17" spans="2:19" x14ac:dyDescent="0.2">
      <c r="B17" t="s">
        <v>84</v>
      </c>
      <c r="C17" s="4"/>
      <c r="D17" s="4">
        <v>14.56</v>
      </c>
      <c r="E17" s="4">
        <v>15.06</v>
      </c>
      <c r="F17" s="4">
        <v>14.78</v>
      </c>
      <c r="G17" s="4">
        <v>15.11</v>
      </c>
      <c r="H17" s="4">
        <v>15.79</v>
      </c>
      <c r="I17" s="4">
        <v>15.79</v>
      </c>
      <c r="J17" s="4">
        <v>16.190000000000001</v>
      </c>
      <c r="K17" s="4">
        <v>16.34</v>
      </c>
      <c r="R17" s="4">
        <f>+AVERAGE(C17:F17)</f>
        <v>14.799999999999999</v>
      </c>
      <c r="S17" s="4">
        <f>+AVERAGE(G17:J17)</f>
        <v>15.719999999999999</v>
      </c>
    </row>
    <row r="18" spans="2:19" x14ac:dyDescent="0.2">
      <c r="B18" t="s">
        <v>83</v>
      </c>
      <c r="C18" s="4"/>
      <c r="D18" s="4">
        <v>13.41</v>
      </c>
      <c r="E18" s="4">
        <v>14.57</v>
      </c>
      <c r="F18" s="4">
        <v>14.81</v>
      </c>
      <c r="G18" s="4">
        <v>14.81</v>
      </c>
      <c r="H18" s="4">
        <v>15.12</v>
      </c>
      <c r="I18" s="4">
        <v>15.41</v>
      </c>
      <c r="J18" s="4">
        <v>15.63</v>
      </c>
      <c r="K18" s="4">
        <v>15.17</v>
      </c>
      <c r="R18" s="4">
        <f t="shared" ref="R18:R20" si="5">+AVERAGE(C18:F18)</f>
        <v>14.263333333333334</v>
      </c>
      <c r="S18" s="4">
        <f t="shared" ref="S18:S20" si="6">+AVERAGE(G18:J18)</f>
        <v>15.242500000000001</v>
      </c>
    </row>
    <row r="19" spans="2:19" x14ac:dyDescent="0.2">
      <c r="B19" t="s">
        <v>56</v>
      </c>
      <c r="C19" s="4"/>
      <c r="D19" s="4">
        <v>13.4</v>
      </c>
      <c r="E19" s="4">
        <v>15.15</v>
      </c>
      <c r="F19" s="4">
        <v>15.66</v>
      </c>
      <c r="G19" s="4">
        <v>15.83</v>
      </c>
      <c r="H19" s="4">
        <v>15.03</v>
      </c>
      <c r="I19" s="4">
        <v>17.71</v>
      </c>
      <c r="J19" s="4">
        <v>16.8</v>
      </c>
      <c r="K19" s="4">
        <v>16.32</v>
      </c>
      <c r="R19" s="4">
        <f t="shared" si="5"/>
        <v>14.736666666666666</v>
      </c>
      <c r="S19" s="4">
        <f t="shared" si="6"/>
        <v>16.342500000000001</v>
      </c>
    </row>
    <row r="20" spans="2:19" x14ac:dyDescent="0.2">
      <c r="B20" t="s">
        <v>90</v>
      </c>
      <c r="C20" s="4"/>
      <c r="D20" s="4">
        <v>14.01</v>
      </c>
      <c r="E20" s="4">
        <v>14.93</v>
      </c>
      <c r="F20" s="4">
        <v>14.95</v>
      </c>
      <c r="G20" s="4">
        <v>15.15</v>
      </c>
      <c r="H20" s="4">
        <v>15.46</v>
      </c>
      <c r="I20" s="4">
        <v>16.059999999999999</v>
      </c>
      <c r="J20" s="4">
        <v>16.16</v>
      </c>
      <c r="K20" s="4">
        <v>16</v>
      </c>
      <c r="R20" s="4">
        <f t="shared" si="5"/>
        <v>14.63</v>
      </c>
      <c r="S20" s="4">
        <f t="shared" si="6"/>
        <v>15.7075</v>
      </c>
    </row>
    <row r="23" spans="2:19" s="5" customFormat="1" ht="15" x14ac:dyDescent="0.25">
      <c r="B23" s="5" t="s">
        <v>19</v>
      </c>
      <c r="C23" s="6">
        <v>544.64200000000005</v>
      </c>
      <c r="D23" s="6">
        <v>555.45000000000005</v>
      </c>
      <c r="E23" s="6">
        <v>639.77</v>
      </c>
      <c r="F23" s="6">
        <v>651.40700000000004</v>
      </c>
      <c r="G23" s="6">
        <v>667.61199999999997</v>
      </c>
      <c r="H23" s="6">
        <v>707.76</v>
      </c>
      <c r="I23" s="6">
        <v>801.83500000000004</v>
      </c>
      <c r="J23" s="6">
        <v>806.07</v>
      </c>
      <c r="K23" s="6">
        <v>798.63099999999997</v>
      </c>
      <c r="P23" s="6">
        <v>1729.85</v>
      </c>
      <c r="Q23" s="6">
        <v>2051.2579999999998</v>
      </c>
      <c r="R23" s="6">
        <v>2391.2689999999998</v>
      </c>
      <c r="S23" s="6">
        <v>2983.277</v>
      </c>
    </row>
    <row r="24" spans="2:19" x14ac:dyDescent="0.2">
      <c r="B24" t="s">
        <v>20</v>
      </c>
      <c r="C24" s="1">
        <v>143.89400000000001</v>
      </c>
      <c r="D24" s="1">
        <v>148.85300000000001</v>
      </c>
      <c r="E24" s="1">
        <v>169.82300000000001</v>
      </c>
      <c r="F24" s="1">
        <v>173.26300000000001</v>
      </c>
      <c r="G24" s="1">
        <v>179.45500000000001</v>
      </c>
      <c r="H24" s="1">
        <v>193.09899999999999</v>
      </c>
      <c r="I24" s="1">
        <v>232.21100000000001</v>
      </c>
      <c r="J24" s="1">
        <v>234.54300000000001</v>
      </c>
      <c r="K24" s="1">
        <v>236.23599999999999</v>
      </c>
      <c r="P24" s="1">
        <v>410</v>
      </c>
      <c r="Q24" s="1">
        <v>527.18399999999997</v>
      </c>
      <c r="R24" s="1">
        <v>635.83299999999997</v>
      </c>
      <c r="S24" s="1">
        <v>839.30799999999999</v>
      </c>
    </row>
    <row r="25" spans="2:19" x14ac:dyDescent="0.2">
      <c r="B25" t="s">
        <v>21</v>
      </c>
      <c r="C25" s="1">
        <f t="shared" ref="C25:J25" si="7">+C23-C24</f>
        <v>400.74800000000005</v>
      </c>
      <c r="D25" s="1">
        <f t="shared" si="7"/>
        <v>406.59700000000004</v>
      </c>
      <c r="E25" s="1">
        <f t="shared" si="7"/>
        <v>469.947</v>
      </c>
      <c r="F25" s="1">
        <f t="shared" si="7"/>
        <v>478.14400000000001</v>
      </c>
      <c r="G25" s="1">
        <f t="shared" si="7"/>
        <v>488.15699999999993</v>
      </c>
      <c r="H25" s="1">
        <f t="shared" si="7"/>
        <v>514.66100000000006</v>
      </c>
      <c r="I25" s="1">
        <f t="shared" si="7"/>
        <v>569.62400000000002</v>
      </c>
      <c r="J25" s="1">
        <f t="shared" si="7"/>
        <v>571.52700000000004</v>
      </c>
      <c r="K25" s="1">
        <f t="shared" ref="K25" si="8">+K23-K24</f>
        <v>562.39499999999998</v>
      </c>
      <c r="P25" s="1">
        <f>+P23-P24</f>
        <v>1319.85</v>
      </c>
      <c r="Q25" s="1">
        <f>+Q23-Q24</f>
        <v>1524.0739999999998</v>
      </c>
      <c r="R25" s="1">
        <f>+R23-R24</f>
        <v>1755.4359999999997</v>
      </c>
      <c r="S25" s="1">
        <f>+S23-S24</f>
        <v>2143.9690000000001</v>
      </c>
    </row>
    <row r="26" spans="2:19" x14ac:dyDescent="0.2">
      <c r="B26" t="s">
        <v>22</v>
      </c>
      <c r="C26" s="1">
        <v>124.49</v>
      </c>
      <c r="D26" s="1">
        <v>90.801000000000002</v>
      </c>
      <c r="E26" s="1">
        <v>129.85900000000001</v>
      </c>
      <c r="F26" s="1">
        <v>134.75700000000001</v>
      </c>
      <c r="G26" s="1">
        <v>144.988</v>
      </c>
      <c r="H26" s="1">
        <v>128.91800000000001</v>
      </c>
      <c r="I26" s="1">
        <v>153.38800000000001</v>
      </c>
      <c r="J26" s="1">
        <v>139.16499999999999</v>
      </c>
      <c r="K26" s="1">
        <v>151.88800000000001</v>
      </c>
      <c r="P26" s="1">
        <v>419.95400000000001</v>
      </c>
      <c r="Q26" s="1">
        <v>427.44</v>
      </c>
      <c r="R26" s="1">
        <v>479.90699999999998</v>
      </c>
      <c r="S26" s="1">
        <v>566.45899999999995</v>
      </c>
    </row>
    <row r="27" spans="2:19" x14ac:dyDescent="0.2">
      <c r="B27" t="s">
        <v>23</v>
      </c>
      <c r="C27" s="1">
        <v>79.319000000000003</v>
      </c>
      <c r="D27" s="1">
        <v>68.203999999999994</v>
      </c>
      <c r="E27" s="1">
        <v>88.960999999999999</v>
      </c>
      <c r="F27" s="1">
        <v>74.722999999999999</v>
      </c>
      <c r="G27" s="1">
        <v>87.665000000000006</v>
      </c>
      <c r="H27" s="1">
        <v>113.393</v>
      </c>
      <c r="I27" s="1">
        <v>103.502</v>
      </c>
      <c r="J27" s="1">
        <v>110.261</v>
      </c>
      <c r="K27" s="1">
        <v>100.705</v>
      </c>
      <c r="P27" s="1">
        <v>182.25200000000001</v>
      </c>
      <c r="Q27" s="1">
        <v>256.13799999999998</v>
      </c>
      <c r="R27" s="1">
        <v>311.20699999999999</v>
      </c>
      <c r="S27" s="1">
        <v>414.82100000000003</v>
      </c>
    </row>
    <row r="28" spans="2:19" x14ac:dyDescent="0.2">
      <c r="B28" t="s">
        <v>24</v>
      </c>
      <c r="C28" s="1">
        <v>43.77</v>
      </c>
      <c r="D28" s="1">
        <v>41.929000000000002</v>
      </c>
      <c r="E28" s="1">
        <v>39.28</v>
      </c>
      <c r="F28" s="1">
        <v>44.832000000000001</v>
      </c>
      <c r="G28" s="1">
        <v>55.576000000000001</v>
      </c>
      <c r="H28" s="1">
        <v>52.133000000000003</v>
      </c>
      <c r="I28" s="1">
        <v>66.974000000000004</v>
      </c>
      <c r="J28" s="1">
        <v>66.366</v>
      </c>
      <c r="K28" s="1">
        <v>78.379400000000004</v>
      </c>
      <c r="P28" s="1">
        <v>132.03</v>
      </c>
      <c r="Q28" s="1">
        <v>151.96</v>
      </c>
      <c r="R28" s="1">
        <v>169.81100000000001</v>
      </c>
      <c r="S28" s="1">
        <v>241.04900000000001</v>
      </c>
    </row>
    <row r="29" spans="2:19" x14ac:dyDescent="0.2">
      <c r="B29" t="s">
        <v>25</v>
      </c>
      <c r="C29" s="1">
        <f t="shared" ref="C29:J29" si="9">+SUM(C26:C28)</f>
        <v>247.57900000000001</v>
      </c>
      <c r="D29" s="1">
        <f t="shared" si="9"/>
        <v>200.934</v>
      </c>
      <c r="E29" s="1">
        <f t="shared" si="9"/>
        <v>258.10000000000002</v>
      </c>
      <c r="F29" s="1">
        <f t="shared" si="9"/>
        <v>254.31200000000001</v>
      </c>
      <c r="G29" s="1">
        <f t="shared" si="9"/>
        <v>288.22900000000004</v>
      </c>
      <c r="H29" s="1">
        <f t="shared" si="9"/>
        <v>294.44400000000002</v>
      </c>
      <c r="I29" s="1">
        <f t="shared" si="9"/>
        <v>323.86399999999998</v>
      </c>
      <c r="J29" s="1">
        <f t="shared" si="9"/>
        <v>315.79199999999997</v>
      </c>
      <c r="K29" s="1">
        <f t="shared" ref="K29" si="10">+SUM(K26:K28)</f>
        <v>330.97239999999999</v>
      </c>
      <c r="P29" s="1">
        <f>+SUM(P26:P28)</f>
        <v>734.23599999999999</v>
      </c>
      <c r="Q29" s="1">
        <f>+SUM(Q26:Q28)</f>
        <v>835.53800000000001</v>
      </c>
      <c r="R29" s="1">
        <f>+SUM(R26:R28)</f>
        <v>960.92500000000007</v>
      </c>
      <c r="S29" s="1">
        <f>+SUM(S26:S28)</f>
        <v>1222.329</v>
      </c>
    </row>
    <row r="30" spans="2:19" x14ac:dyDescent="0.2">
      <c r="B30" t="s">
        <v>26</v>
      </c>
      <c r="C30" s="1">
        <f t="shared" ref="C30:J30" si="11">+C25-C29</f>
        <v>153.16900000000004</v>
      </c>
      <c r="D30" s="1">
        <f t="shared" si="11"/>
        <v>205.66300000000004</v>
      </c>
      <c r="E30" s="1">
        <f t="shared" si="11"/>
        <v>211.84699999999998</v>
      </c>
      <c r="F30" s="1">
        <f t="shared" si="11"/>
        <v>223.83199999999999</v>
      </c>
      <c r="G30" s="1">
        <f t="shared" si="11"/>
        <v>199.92799999999988</v>
      </c>
      <c r="H30" s="1">
        <f t="shared" si="11"/>
        <v>220.21700000000004</v>
      </c>
      <c r="I30" s="1">
        <f t="shared" si="11"/>
        <v>245.76000000000005</v>
      </c>
      <c r="J30" s="1">
        <f t="shared" si="11"/>
        <v>255.73500000000007</v>
      </c>
      <c r="K30" s="1">
        <f t="shared" ref="K30" si="12">+K25-K29</f>
        <v>231.42259999999999</v>
      </c>
      <c r="P30" s="1">
        <f>+P25-P29</f>
        <v>585.61399999999992</v>
      </c>
      <c r="Q30" s="1">
        <f>+Q25-Q29</f>
        <v>688.53599999999983</v>
      </c>
      <c r="R30" s="1">
        <f>+R25-R29</f>
        <v>794.51099999999963</v>
      </c>
      <c r="S30" s="1">
        <f>+S25-S29</f>
        <v>921.6400000000001</v>
      </c>
    </row>
    <row r="31" spans="2:19" x14ac:dyDescent="0.2">
      <c r="B31" t="s">
        <v>27</v>
      </c>
      <c r="C31" s="1">
        <f>31.894+-3.854</f>
        <v>28.04</v>
      </c>
      <c r="D31" s="1">
        <f>34.751+-17.41</f>
        <v>17.340999999999998</v>
      </c>
      <c r="E31" s="1">
        <f>32.009+1.923</f>
        <v>33.932000000000002</v>
      </c>
      <c r="F31" s="1">
        <f>31.97+3.48</f>
        <v>35.449999999999996</v>
      </c>
      <c r="G31" s="1">
        <f>31.838+1.319</f>
        <v>33.157000000000004</v>
      </c>
      <c r="H31" s="1">
        <f>32.219+0.355</f>
        <v>32.573999999999998</v>
      </c>
      <c r="I31" s="1">
        <f>31.85+39.212</f>
        <v>71.062000000000012</v>
      </c>
      <c r="J31" s="12">
        <f>34.586+424.152</f>
        <v>458.738</v>
      </c>
      <c r="K31" s="1">
        <f>+-34.896+0.818</f>
        <v>-34.078000000000003</v>
      </c>
      <c r="P31" s="1">
        <f>94.568+-7.51</f>
        <v>87.057999999999993</v>
      </c>
      <c r="Q31" s="1">
        <f>111.008+2.026</f>
        <v>113.03399999999999</v>
      </c>
      <c r="R31" s="1">
        <f>130.624+-15.861</f>
        <v>114.76299999999999</v>
      </c>
      <c r="S31" s="1">
        <f>130.493+465.038</f>
        <v>595.53099999999995</v>
      </c>
    </row>
    <row r="32" spans="2:19" x14ac:dyDescent="0.2">
      <c r="B32" t="s">
        <v>28</v>
      </c>
      <c r="C32" s="1">
        <f t="shared" ref="C32:I32" si="13">+C30-C31</f>
        <v>125.12900000000005</v>
      </c>
      <c r="D32" s="1">
        <f t="shared" si="13"/>
        <v>188.32200000000003</v>
      </c>
      <c r="E32" s="1">
        <f t="shared" si="13"/>
        <v>177.91499999999996</v>
      </c>
      <c r="F32" s="1">
        <f t="shared" si="13"/>
        <v>188.38200000000001</v>
      </c>
      <c r="G32" s="1">
        <f t="shared" si="13"/>
        <v>166.77099999999987</v>
      </c>
      <c r="H32" s="1">
        <f t="shared" si="13"/>
        <v>187.64300000000003</v>
      </c>
      <c r="I32" s="1">
        <f t="shared" si="13"/>
        <v>174.69800000000004</v>
      </c>
      <c r="J32" s="1">
        <f>+J30-J31</f>
        <v>-203.00299999999993</v>
      </c>
      <c r="K32" s="1">
        <f t="shared" ref="K32" si="14">+K30-K31</f>
        <v>265.50059999999996</v>
      </c>
      <c r="P32" s="1">
        <f>+P30-P31</f>
        <v>498.55599999999993</v>
      </c>
      <c r="Q32" s="1">
        <f>+Q30-Q31</f>
        <v>575.50199999999984</v>
      </c>
      <c r="R32" s="1">
        <f>+R30-R31</f>
        <v>679.74799999999959</v>
      </c>
      <c r="S32" s="1">
        <f>+S30-S31</f>
        <v>326.10900000000015</v>
      </c>
    </row>
    <row r="33" spans="2:19" x14ac:dyDescent="0.2">
      <c r="B33" t="s">
        <v>29</v>
      </c>
      <c r="C33" s="1">
        <v>48.201999999999998</v>
      </c>
      <c r="D33" s="1">
        <v>36.856000000000002</v>
      </c>
      <c r="E33" s="1">
        <v>-26.122</v>
      </c>
      <c r="F33" s="1">
        <v>28.497</v>
      </c>
      <c r="G33" s="1">
        <v>-17.747</v>
      </c>
      <c r="H33" s="1">
        <v>37.32</v>
      </c>
      <c r="I33" s="1">
        <v>-18.626999999999999</v>
      </c>
      <c r="J33" s="1">
        <v>-58.097000000000001</v>
      </c>
      <c r="K33" s="1">
        <v>6.867</v>
      </c>
      <c r="P33" s="1">
        <v>11.307</v>
      </c>
      <c r="Q33" s="1">
        <v>-15.08</v>
      </c>
      <c r="R33" s="1">
        <v>-43.273000000000003</v>
      </c>
      <c r="S33" s="1">
        <v>19.896999999999998</v>
      </c>
    </row>
    <row r="34" spans="2:19" x14ac:dyDescent="0.2">
      <c r="B34" t="s">
        <v>79</v>
      </c>
      <c r="C34" s="1">
        <v>-331.96699999999998</v>
      </c>
      <c r="D34" s="1">
        <v>0.50900000000000001</v>
      </c>
      <c r="E34" s="1">
        <v>0.50800000000000001</v>
      </c>
      <c r="F34" s="1"/>
      <c r="G34" s="1"/>
      <c r="H34" s="1">
        <v>0.50900000000000001</v>
      </c>
      <c r="I34" s="1"/>
      <c r="J34" s="1"/>
      <c r="K34" s="1"/>
      <c r="P34" s="1">
        <v>306.64299999999997</v>
      </c>
      <c r="Q34" s="1">
        <v>49.186999999999998</v>
      </c>
      <c r="R34" s="1">
        <v>-366.07</v>
      </c>
      <c r="S34" s="1">
        <v>0.50900000000000001</v>
      </c>
    </row>
    <row r="35" spans="2:19" x14ac:dyDescent="0.2">
      <c r="B35" t="s">
        <v>31</v>
      </c>
      <c r="C35" s="1">
        <v>-28.396999999999998</v>
      </c>
      <c r="D35" s="1">
        <v>-31.869</v>
      </c>
      <c r="E35" s="1">
        <v>0.58599999999999997</v>
      </c>
      <c r="F35" s="1">
        <v>0.4</v>
      </c>
      <c r="G35" s="1">
        <v>0.40200000000000002</v>
      </c>
      <c r="H35" s="1">
        <v>0.36599999999999999</v>
      </c>
      <c r="I35" s="1">
        <v>0.309</v>
      </c>
      <c r="J35" s="1">
        <v>9.1999999999999998E-2</v>
      </c>
      <c r="K35" s="1">
        <v>-7.3999999999999996E-2</v>
      </c>
      <c r="P35" s="1">
        <v>-130.786</v>
      </c>
      <c r="Q35" s="1">
        <v>-112.68899999999999</v>
      </c>
      <c r="R35" s="1">
        <v>-59.28</v>
      </c>
      <c r="S35" s="1">
        <v>1.169</v>
      </c>
    </row>
    <row r="36" spans="2:19" s="5" customFormat="1" ht="15" x14ac:dyDescent="0.25">
      <c r="B36" s="5" t="s">
        <v>30</v>
      </c>
      <c r="C36" s="6">
        <f t="shared" ref="C36:K36" si="15">+C32-C33+C34+C35</f>
        <v>-283.43699999999995</v>
      </c>
      <c r="D36" s="6">
        <f t="shared" si="15"/>
        <v>120.10600000000002</v>
      </c>
      <c r="E36" s="6">
        <f t="shared" si="15"/>
        <v>205.131</v>
      </c>
      <c r="F36" s="6">
        <f t="shared" si="15"/>
        <v>160.285</v>
      </c>
      <c r="G36" s="6">
        <f t="shared" si="15"/>
        <v>184.91999999999985</v>
      </c>
      <c r="H36" s="6">
        <f t="shared" si="15"/>
        <v>151.19800000000004</v>
      </c>
      <c r="I36" s="6">
        <f t="shared" si="15"/>
        <v>193.63400000000004</v>
      </c>
      <c r="J36" s="6">
        <f t="shared" si="15"/>
        <v>-144.81399999999991</v>
      </c>
      <c r="K36" s="6">
        <f t="shared" si="15"/>
        <v>258.55959999999993</v>
      </c>
      <c r="P36" s="6">
        <f>+P32-P33+P34-P35</f>
        <v>924.67799999999988</v>
      </c>
      <c r="Q36" s="6">
        <f>+Q32-Q33+Q34-Q35</f>
        <v>752.45799999999986</v>
      </c>
      <c r="R36" s="6">
        <f>+R32-R33+R34-R35</f>
        <v>416.23099999999965</v>
      </c>
      <c r="S36" s="6">
        <f>+S32-S33+S34-S35</f>
        <v>305.55200000000019</v>
      </c>
    </row>
    <row r="37" spans="2:19" x14ac:dyDescent="0.2">
      <c r="B37" t="s">
        <v>32</v>
      </c>
      <c r="C37" s="4">
        <v>-1</v>
      </c>
      <c r="D37" s="4">
        <v>0.36</v>
      </c>
      <c r="E37" s="4">
        <v>0.47</v>
      </c>
      <c r="F37" s="4">
        <f>+F36/F38</f>
        <v>0.52111306903524912</v>
      </c>
      <c r="G37" s="4">
        <v>0.56999999999999995</v>
      </c>
      <c r="H37" s="4">
        <v>0.46</v>
      </c>
      <c r="I37" s="4">
        <v>0.43</v>
      </c>
      <c r="J37" s="4">
        <f>+J36/J38</f>
        <v>-0.5117482215994823</v>
      </c>
      <c r="K37" s="4">
        <f>+K36/K38</f>
        <v>0.84248261660073887</v>
      </c>
      <c r="P37" s="4">
        <v>3.05</v>
      </c>
      <c r="Q37" s="4">
        <v>2.15</v>
      </c>
      <c r="R37" s="4">
        <v>0.66</v>
      </c>
      <c r="S37" s="4">
        <v>0.93</v>
      </c>
    </row>
    <row r="38" spans="2:19" x14ac:dyDescent="0.2">
      <c r="B38" t="s">
        <v>1</v>
      </c>
      <c r="C38" s="1">
        <f>+C36/C37</f>
        <v>283.43699999999995</v>
      </c>
      <c r="D38" s="1">
        <f>+D36/D37</f>
        <v>333.62777777777785</v>
      </c>
      <c r="E38" s="1">
        <f>+E36/E37</f>
        <v>436.44893617021279</v>
      </c>
      <c r="F38" s="1">
        <v>307.58199999999999</v>
      </c>
      <c r="G38" s="1">
        <f>+G36/G37</f>
        <v>324.42105263157873</v>
      </c>
      <c r="H38" s="1">
        <f>+H36/H37</f>
        <v>328.69130434782613</v>
      </c>
      <c r="I38" s="1">
        <f>+I36/I37</f>
        <v>450.31162790697687</v>
      </c>
      <c r="J38" s="1">
        <v>282.97899999999998</v>
      </c>
      <c r="K38" s="1">
        <v>306.90199999999999</v>
      </c>
      <c r="P38" s="1">
        <f>+P36/P37</f>
        <v>303.17311475409832</v>
      </c>
      <c r="Q38" s="1">
        <f>+Q36/Q37</f>
        <v>349.98046511627899</v>
      </c>
      <c r="R38" s="1">
        <f>+R36/R37</f>
        <v>630.65303030302971</v>
      </c>
      <c r="S38" s="1">
        <f>+S36/S37</f>
        <v>328.55053763440878</v>
      </c>
    </row>
    <row r="41" spans="2:19" x14ac:dyDescent="0.2">
      <c r="B41" t="s">
        <v>33</v>
      </c>
      <c r="C41" s="7">
        <f t="shared" ref="C41:K41" si="16">+C25/C23</f>
        <v>0.73580076453890819</v>
      </c>
      <c r="D41" s="7">
        <f t="shared" si="16"/>
        <v>0.7320136825996939</v>
      </c>
      <c r="E41" s="7">
        <f t="shared" si="16"/>
        <v>0.73455616862309892</v>
      </c>
      <c r="F41" s="7">
        <f t="shared" si="16"/>
        <v>0.73401728873039429</v>
      </c>
      <c r="G41" s="7">
        <f t="shared" si="16"/>
        <v>0.73119866029969494</v>
      </c>
      <c r="H41" s="7">
        <f t="shared" si="16"/>
        <v>0.72716881428732916</v>
      </c>
      <c r="I41" s="7">
        <f t="shared" si="16"/>
        <v>0.71040051880997956</v>
      </c>
      <c r="J41" s="7">
        <f t="shared" si="16"/>
        <v>0.7090289925192601</v>
      </c>
      <c r="K41" s="7">
        <f t="shared" si="16"/>
        <v>0.70419881021397868</v>
      </c>
      <c r="P41" s="7">
        <f>+P25/P23</f>
        <v>0.76298522993323115</v>
      </c>
      <c r="Q41" s="7">
        <f>+Q25/Q23</f>
        <v>0.74299478661387308</v>
      </c>
      <c r="R41" s="7">
        <f>+R25/R23</f>
        <v>0.73410226954809343</v>
      </c>
      <c r="S41" s="7">
        <f>+S25/S23</f>
        <v>0.71866239708883894</v>
      </c>
    </row>
    <row r="42" spans="2:19" x14ac:dyDescent="0.2">
      <c r="B42" t="s">
        <v>34</v>
      </c>
      <c r="C42" s="7">
        <f t="shared" ref="C42:K42" si="17">+C30/C23</f>
        <v>0.2812287704583929</v>
      </c>
      <c r="D42" s="7">
        <f t="shared" si="17"/>
        <v>0.37026375011252144</v>
      </c>
      <c r="E42" s="7">
        <f t="shared" si="17"/>
        <v>0.33112993732122481</v>
      </c>
      <c r="F42" s="7">
        <f t="shared" si="17"/>
        <v>0.34361313280330114</v>
      </c>
      <c r="G42" s="7">
        <f t="shared" si="17"/>
        <v>0.29946735529019836</v>
      </c>
      <c r="H42" s="7">
        <f t="shared" si="17"/>
        <v>0.31114643381937385</v>
      </c>
      <c r="I42" s="7">
        <f t="shared" si="17"/>
        <v>0.30649697256916952</v>
      </c>
      <c r="J42" s="7">
        <f t="shared" si="17"/>
        <v>0.3172615281551231</v>
      </c>
      <c r="K42" s="7">
        <f t="shared" si="17"/>
        <v>0.28977412597307139</v>
      </c>
      <c r="P42" s="7">
        <f>+P30/P23</f>
        <v>0.33853455501922131</v>
      </c>
      <c r="Q42" s="7">
        <f>+Q30/Q23</f>
        <v>0.33566523567488826</v>
      </c>
      <c r="R42" s="7">
        <f>+R30/R23</f>
        <v>0.33225496587795006</v>
      </c>
      <c r="S42" s="7">
        <f>+S30/S23</f>
        <v>0.30893544246813154</v>
      </c>
    </row>
    <row r="43" spans="2:19" x14ac:dyDescent="0.2">
      <c r="B43" t="s">
        <v>35</v>
      </c>
      <c r="C43" s="7">
        <f t="shared" ref="C43:K43" si="18">+C33/C32</f>
        <v>0.38521845455489917</v>
      </c>
      <c r="D43" s="7">
        <f t="shared" si="18"/>
        <v>0.1957073523008464</v>
      </c>
      <c r="E43" s="7">
        <f t="shared" si="18"/>
        <v>-0.14682292105780853</v>
      </c>
      <c r="F43" s="7">
        <f t="shared" si="18"/>
        <v>0.15127241456190083</v>
      </c>
      <c r="G43" s="7">
        <f t="shared" si="18"/>
        <v>-0.10641538396963508</v>
      </c>
      <c r="H43" s="7">
        <f t="shared" si="18"/>
        <v>0.19888831451213204</v>
      </c>
      <c r="I43" s="7">
        <f t="shared" si="18"/>
        <v>-0.10662400256442543</v>
      </c>
      <c r="J43" s="7">
        <f t="shared" si="18"/>
        <v>0.28618788884893337</v>
      </c>
      <c r="K43" s="7">
        <f t="shared" si="18"/>
        <v>2.5864348329156323E-2</v>
      </c>
      <c r="P43" s="7">
        <f>+P33/P32</f>
        <v>2.2679498391354237E-2</v>
      </c>
      <c r="Q43" s="7">
        <f>+Q33/Q32</f>
        <v>-2.6203210414559818E-2</v>
      </c>
      <c r="R43" s="7">
        <f>+R33/R32</f>
        <v>-6.366035648505039E-2</v>
      </c>
      <c r="S43" s="7">
        <f>+S33/S32</f>
        <v>6.1013342164736299E-2</v>
      </c>
    </row>
    <row r="45" spans="2:19" x14ac:dyDescent="0.2">
      <c r="B45" t="s">
        <v>36</v>
      </c>
      <c r="F45" s="7"/>
      <c r="G45" s="7">
        <f>+G23/C23-1</f>
        <v>0.22578133893456598</v>
      </c>
      <c r="H45" s="7">
        <f>+H23/D23-1</f>
        <v>0.27421009991898448</v>
      </c>
      <c r="I45" s="7">
        <f>+I23/E23-1</f>
        <v>0.25331759851196534</v>
      </c>
      <c r="J45" s="7">
        <f>+J23/F23-1</f>
        <v>0.23742913416650424</v>
      </c>
      <c r="K45" s="7">
        <f>+K23/G23-1</f>
        <v>0.19625021719202174</v>
      </c>
      <c r="Q45" s="7">
        <f>+Q23/P23-1</f>
        <v>0.18580108101858528</v>
      </c>
      <c r="R45" s="7">
        <f>+R23/Q23-1</f>
        <v>0.16575730600441285</v>
      </c>
      <c r="S45" s="7">
        <f>+S23/R23-1</f>
        <v>0.24757064136238971</v>
      </c>
    </row>
    <row r="46" spans="2:19" x14ac:dyDescent="0.2">
      <c r="B46" t="s">
        <v>91</v>
      </c>
      <c r="F46" s="7"/>
      <c r="G46" s="7">
        <f t="shared" ref="G46:K47" si="19">+G4/C4-1</f>
        <v>0.30725620569059076</v>
      </c>
      <c r="H46" s="7">
        <f t="shared" si="19"/>
        <v>0.253420736341327</v>
      </c>
      <c r="I46" s="7">
        <f t="shared" si="19"/>
        <v>0.16871243972540917</v>
      </c>
      <c r="J46" s="7">
        <f t="shared" si="19"/>
        <v>0.20699451440233552</v>
      </c>
      <c r="K46" s="7">
        <f t="shared" si="19"/>
        <v>0.16184185300730269</v>
      </c>
      <c r="Q46" s="7"/>
      <c r="R46" s="7"/>
      <c r="S46" s="7">
        <f>+S4/R4-1</f>
        <v>0.2292516724753122</v>
      </c>
    </row>
    <row r="47" spans="2:19" x14ac:dyDescent="0.2">
      <c r="B47" t="s">
        <v>92</v>
      </c>
      <c r="G47" s="7">
        <f t="shared" si="19"/>
        <v>-0.30359109611495627</v>
      </c>
      <c r="H47" s="7">
        <f t="shared" si="19"/>
        <v>0.27583252190847118</v>
      </c>
      <c r="I47" s="7">
        <f t="shared" si="19"/>
        <v>0.19850022298446812</v>
      </c>
      <c r="J47" s="7">
        <f t="shared" si="19"/>
        <v>0.16271992594208351</v>
      </c>
      <c r="K47" s="7">
        <f t="shared" si="19"/>
        <v>0.1389460432986529</v>
      </c>
      <c r="Q47" s="7"/>
      <c r="R47" s="7"/>
      <c r="S47" s="7">
        <f>+S5/R5-1</f>
        <v>3.3595140325613171E-2</v>
      </c>
    </row>
    <row r="49" spans="2:11" s="5" customFormat="1" ht="15" x14ac:dyDescent="0.25">
      <c r="B49" s="5" t="s">
        <v>50</v>
      </c>
      <c r="D49" s="6"/>
      <c r="E49" s="6"/>
      <c r="F49" s="6">
        <f t="shared" ref="F49:K49" si="20">+F50-F59</f>
        <v>-3101.7659999999996</v>
      </c>
      <c r="G49" s="6">
        <f t="shared" si="20"/>
        <v>-2997.5480000000002</v>
      </c>
      <c r="H49" s="6">
        <f t="shared" si="20"/>
        <v>-3596.6419999999998</v>
      </c>
      <c r="I49" s="6">
        <f t="shared" si="20"/>
        <v>-3330.9260000000004</v>
      </c>
      <c r="J49" s="6">
        <f t="shared" si="20"/>
        <v>-3102.2116999999998</v>
      </c>
      <c r="K49" s="6">
        <f t="shared" si="20"/>
        <v>-2994.4560000000001</v>
      </c>
    </row>
    <row r="50" spans="2:11" x14ac:dyDescent="0.2">
      <c r="B50" t="s">
        <v>3</v>
      </c>
      <c r="D50" s="8"/>
      <c r="E50" s="8"/>
      <c r="F50" s="8">
        <v>739.16399999999999</v>
      </c>
      <c r="G50" s="8">
        <v>845.69600000000003</v>
      </c>
      <c r="H50" s="8">
        <f>236.46+12.453</f>
        <v>248.91300000000001</v>
      </c>
      <c r="I50" s="8">
        <f>511.311+11.874+200.814</f>
        <v>723.99899999999991</v>
      </c>
      <c r="J50" s="8">
        <f>815.384+11.818</f>
        <v>827.202</v>
      </c>
      <c r="K50" s="8">
        <f>912.434+8.663</f>
        <v>921.09699999999998</v>
      </c>
    </row>
    <row r="51" spans="2:11" x14ac:dyDescent="0.2">
      <c r="B51" t="s">
        <v>37</v>
      </c>
      <c r="D51" s="1"/>
      <c r="E51" s="1"/>
      <c r="F51" s="1">
        <v>137.023</v>
      </c>
      <c r="G51" s="1">
        <v>210.679</v>
      </c>
      <c r="H51" s="1">
        <v>259.32499999999999</v>
      </c>
      <c r="I51" s="1">
        <v>182.083</v>
      </c>
      <c r="J51" s="1">
        <v>188.482</v>
      </c>
      <c r="K51" s="1">
        <v>180.577</v>
      </c>
    </row>
    <row r="52" spans="2:11" x14ac:dyDescent="0.2">
      <c r="B52" t="s">
        <v>38</v>
      </c>
      <c r="D52" s="1"/>
      <c r="E52" s="1"/>
      <c r="F52" s="1">
        <v>144.02500000000001</v>
      </c>
      <c r="G52" s="1">
        <v>147.863</v>
      </c>
      <c r="H52" s="1">
        <v>126.238</v>
      </c>
      <c r="I52" s="1">
        <v>145.977</v>
      </c>
      <c r="J52" s="1">
        <v>202.56800000000001</v>
      </c>
      <c r="K52" s="1">
        <v>132.136</v>
      </c>
    </row>
    <row r="53" spans="2:11" x14ac:dyDescent="0.2">
      <c r="B53" t="s">
        <v>39</v>
      </c>
      <c r="D53" s="1"/>
      <c r="E53" s="1"/>
      <c r="F53" s="1">
        <v>107.79900000000001</v>
      </c>
      <c r="G53" s="1">
        <v>106.95699999999999</v>
      </c>
      <c r="H53" s="1">
        <v>129.916</v>
      </c>
      <c r="I53" s="1">
        <v>145.65199999999999</v>
      </c>
      <c r="J53" s="1">
        <v>163.256</v>
      </c>
      <c r="K53" s="1">
        <v>167.67599999999999</v>
      </c>
    </row>
    <row r="54" spans="2:11" x14ac:dyDescent="0.2">
      <c r="B54" t="s">
        <v>40</v>
      </c>
      <c r="D54" s="1"/>
      <c r="E54" s="1"/>
      <c r="F54" s="1">
        <f>1270.532+230.9</f>
        <v>1501.432</v>
      </c>
      <c r="G54" s="1">
        <f>1254.248+226.673</f>
        <v>1480.921</v>
      </c>
      <c r="H54" s="1">
        <f>2973.121+227.045</f>
        <v>3200.1660000000002</v>
      </c>
      <c r="I54" s="1">
        <f>2427.45+793.002</f>
        <v>3220.4519999999998</v>
      </c>
      <c r="J54" s="1">
        <f>2411.996+771.697</f>
        <v>3183.6930000000002</v>
      </c>
      <c r="K54" s="1">
        <f>2381.539+746.109</f>
        <v>3127.6480000000001</v>
      </c>
    </row>
    <row r="55" spans="2:11" x14ac:dyDescent="0.2">
      <c r="B55" t="s">
        <v>41</v>
      </c>
      <c r="D55" s="1"/>
      <c r="E55" s="1"/>
      <c r="F55" s="1">
        <v>293.48700000000002</v>
      </c>
      <c r="G55" s="1">
        <v>302.68799999999999</v>
      </c>
      <c r="H55" s="1">
        <v>314.029</v>
      </c>
      <c r="I55" s="1">
        <v>310.03399999999999</v>
      </c>
      <c r="J55" s="1">
        <v>334.93700000000001</v>
      </c>
      <c r="K55" s="1">
        <v>345.59300000000002</v>
      </c>
    </row>
    <row r="56" spans="2:11" x14ac:dyDescent="0.2">
      <c r="B56" t="s">
        <v>42</v>
      </c>
      <c r="D56" s="1"/>
      <c r="E56" s="1"/>
      <c r="F56" s="1">
        <v>123.524</v>
      </c>
      <c r="G56" s="1">
        <v>119.864</v>
      </c>
      <c r="H56" s="1">
        <v>155.346</v>
      </c>
      <c r="I56" s="1">
        <v>165.429</v>
      </c>
      <c r="J56" s="1">
        <v>163.15</v>
      </c>
      <c r="K56" s="1">
        <v>168.666</v>
      </c>
    </row>
    <row r="57" spans="2:11" x14ac:dyDescent="0.2">
      <c r="B57" t="s">
        <v>43</v>
      </c>
      <c r="D57" s="1"/>
      <c r="E57" s="1"/>
      <c r="F57" s="1">
        <f t="shared" ref="F57:K57" si="21">+SUM(F50:F56)</f>
        <v>3046.4540000000002</v>
      </c>
      <c r="G57" s="1">
        <f t="shared" si="21"/>
        <v>3214.6680000000001</v>
      </c>
      <c r="H57" s="1">
        <f t="shared" si="21"/>
        <v>4433.9329999999991</v>
      </c>
      <c r="I57" s="1">
        <f t="shared" si="21"/>
        <v>4893.6259999999993</v>
      </c>
      <c r="J57" s="1">
        <f t="shared" si="21"/>
        <v>5063.2879999999996</v>
      </c>
      <c r="K57" s="1">
        <f t="shared" si="21"/>
        <v>5043.393</v>
      </c>
    </row>
    <row r="58" spans="2:11" x14ac:dyDescent="0.2">
      <c r="D58" s="1"/>
      <c r="E58" s="1"/>
      <c r="F58" s="1"/>
      <c r="G58" s="1"/>
      <c r="H58" s="1"/>
      <c r="I58" s="1"/>
      <c r="J58" s="1"/>
      <c r="K58" s="1"/>
    </row>
    <row r="59" spans="2:11" x14ac:dyDescent="0.2">
      <c r="B59" t="s">
        <v>4</v>
      </c>
      <c r="D59" s="1"/>
      <c r="E59" s="1"/>
      <c r="F59" s="1">
        <v>3840.93</v>
      </c>
      <c r="G59" s="1">
        <v>3843.2440000000001</v>
      </c>
      <c r="H59" s="1">
        <v>3845.5549999999998</v>
      </c>
      <c r="I59" s="1">
        <f>121.027+3847.896+86.002</f>
        <v>4054.9250000000002</v>
      </c>
      <c r="J59" s="1">
        <f>99.9927+3829.421</f>
        <v>3929.4136999999996</v>
      </c>
      <c r="K59" s="1">
        <f>84.588+3830.965</f>
        <v>3915.5530000000003</v>
      </c>
    </row>
    <row r="60" spans="2:11" x14ac:dyDescent="0.2">
      <c r="B60" t="s">
        <v>44</v>
      </c>
      <c r="D60" s="1"/>
      <c r="E60" s="1"/>
      <c r="F60" s="1">
        <v>29.2</v>
      </c>
      <c r="G60" s="1">
        <v>13.151999999999999</v>
      </c>
      <c r="H60" s="1">
        <v>57.936999999999998</v>
      </c>
      <c r="I60" s="1">
        <v>30.256</v>
      </c>
      <c r="J60" s="1">
        <v>37.871000000000002</v>
      </c>
      <c r="K60" s="1">
        <v>22.021999999999998</v>
      </c>
    </row>
    <row r="61" spans="2:11" x14ac:dyDescent="0.2">
      <c r="B61" t="s">
        <v>45</v>
      </c>
      <c r="D61" s="1"/>
      <c r="E61" s="1"/>
      <c r="F61" s="1">
        <v>239.08799999999999</v>
      </c>
      <c r="G61" s="1">
        <v>248.20099999999999</v>
      </c>
      <c r="H61" s="1">
        <v>262.96800000000002</v>
      </c>
      <c r="I61" s="1">
        <v>267.08499999999998</v>
      </c>
      <c r="J61" s="1">
        <v>262.13099999999997</v>
      </c>
      <c r="K61" s="1">
        <v>262.66800000000001</v>
      </c>
    </row>
    <row r="62" spans="2:11" x14ac:dyDescent="0.2">
      <c r="B62" t="s">
        <v>46</v>
      </c>
      <c r="D62" s="1"/>
      <c r="E62" s="1"/>
      <c r="F62" s="1">
        <v>231.74799999999999</v>
      </c>
      <c r="G62" s="1">
        <v>208.571</v>
      </c>
      <c r="H62" s="1">
        <v>257.06200000000001</v>
      </c>
      <c r="I62" s="1">
        <v>329.58600000000001</v>
      </c>
      <c r="J62" s="1">
        <v>768.36599999999999</v>
      </c>
      <c r="K62" s="1">
        <v>704.74900000000002</v>
      </c>
    </row>
    <row r="63" spans="2:11" x14ac:dyDescent="0.2">
      <c r="B63" t="s">
        <v>47</v>
      </c>
      <c r="D63" s="1"/>
      <c r="E63" s="1"/>
      <c r="F63" s="1">
        <v>14.582000000000001</v>
      </c>
      <c r="G63" s="1">
        <v>13.260999999999999</v>
      </c>
      <c r="H63" s="1">
        <v>13.061</v>
      </c>
      <c r="I63" s="1">
        <v>13.339</v>
      </c>
      <c r="J63" s="1">
        <v>13.842000000000001</v>
      </c>
      <c r="K63" s="1">
        <v>12.754</v>
      </c>
    </row>
    <row r="64" spans="2:11" x14ac:dyDescent="0.2">
      <c r="B64" t="s">
        <v>41</v>
      </c>
      <c r="D64" s="1"/>
      <c r="E64" s="1"/>
      <c r="F64" s="1">
        <v>17.213000000000001</v>
      </c>
      <c r="G64" s="1">
        <v>16.401</v>
      </c>
      <c r="H64" s="1">
        <v>16.414999999999999</v>
      </c>
      <c r="I64" s="1">
        <v>137.71199999999999</v>
      </c>
      <c r="J64" s="1">
        <v>130.261</v>
      </c>
      <c r="K64" s="1">
        <v>124.02200000000001</v>
      </c>
    </row>
    <row r="65" spans="2:11" x14ac:dyDescent="0.2">
      <c r="B65" t="s">
        <v>48</v>
      </c>
      <c r="D65" s="1"/>
      <c r="E65" s="1"/>
      <c r="F65" s="1">
        <f>86.428+0.64</f>
        <v>87.067999999999998</v>
      </c>
      <c r="G65" s="1">
        <f>84.372+1.04</f>
        <v>85.412000000000006</v>
      </c>
      <c r="H65" s="1">
        <f>114.783+1.24</f>
        <v>116.023</v>
      </c>
      <c r="I65" s="1">
        <f>120.199+1.34</f>
        <v>121.539</v>
      </c>
      <c r="J65" s="1">
        <v>116.051</v>
      </c>
      <c r="K65" s="1">
        <v>123.399</v>
      </c>
    </row>
    <row r="66" spans="2:11" x14ac:dyDescent="0.2">
      <c r="B66" t="s">
        <v>49</v>
      </c>
      <c r="D66" s="1"/>
      <c r="E66" s="1"/>
      <c r="F66" s="1">
        <f t="shared" ref="F66:K66" si="22">+SUM(F59:F65)</f>
        <v>4459.8289999999997</v>
      </c>
      <c r="G66" s="1">
        <f t="shared" si="22"/>
        <v>4428.2420000000002</v>
      </c>
      <c r="H66" s="1">
        <f t="shared" si="22"/>
        <v>4569.0209999999997</v>
      </c>
      <c r="I66" s="1">
        <f t="shared" si="22"/>
        <v>4954.442</v>
      </c>
      <c r="J66" s="1">
        <f t="shared" si="22"/>
        <v>5257.9357</v>
      </c>
      <c r="K66" s="1">
        <f t="shared" si="22"/>
        <v>5165.1670000000004</v>
      </c>
    </row>
    <row r="67" spans="2:11" x14ac:dyDescent="0.2">
      <c r="B67" t="s">
        <v>80</v>
      </c>
      <c r="D67" s="1"/>
      <c r="E67" s="1"/>
      <c r="F67" s="1">
        <f t="shared" ref="F67:J67" si="23">+F57-F66</f>
        <v>-1413.3749999999995</v>
      </c>
      <c r="G67" s="1">
        <f t="shared" si="23"/>
        <v>-1213.5740000000001</v>
      </c>
      <c r="H67" s="1">
        <f t="shared" si="23"/>
        <v>-135.08800000000065</v>
      </c>
      <c r="I67" s="1">
        <f t="shared" si="23"/>
        <v>-60.816000000000713</v>
      </c>
      <c r="J67" s="1">
        <f t="shared" si="23"/>
        <v>-194.64770000000044</v>
      </c>
      <c r="K67" s="1">
        <f>+K57-K66</f>
        <v>-121.77400000000034</v>
      </c>
    </row>
    <row r="68" spans="2:11" x14ac:dyDescent="0.2">
      <c r="B68" t="s">
        <v>81</v>
      </c>
      <c r="D68" s="1"/>
      <c r="E68" s="1"/>
      <c r="F68" s="1">
        <f t="shared" ref="F68:J68" si="24">+SUM(F66:F67)</f>
        <v>3046.4540000000002</v>
      </c>
      <c r="G68" s="1">
        <f t="shared" si="24"/>
        <v>3214.6680000000001</v>
      </c>
      <c r="H68" s="1">
        <f t="shared" si="24"/>
        <v>4433.9329999999991</v>
      </c>
      <c r="I68" s="1">
        <f t="shared" si="24"/>
        <v>4893.6259999999993</v>
      </c>
      <c r="J68" s="1">
        <f t="shared" si="24"/>
        <v>5063.2879999999996</v>
      </c>
      <c r="K68" s="1">
        <f>+SUM(K66:K67)</f>
        <v>5043.393</v>
      </c>
    </row>
    <row r="70" spans="2:11" x14ac:dyDescent="0.2">
      <c r="B70" t="s">
        <v>51</v>
      </c>
      <c r="C70" s="1">
        <f>+C36</f>
        <v>-283.43699999999995</v>
      </c>
      <c r="D70" s="1">
        <f>+D36</f>
        <v>120.10600000000002</v>
      </c>
      <c r="E70" s="1">
        <f>+E36</f>
        <v>205.131</v>
      </c>
      <c r="F70" s="1">
        <f>+F36</f>
        <v>160.285</v>
      </c>
      <c r="G70" s="1">
        <f>+G36</f>
        <v>184.91999999999985</v>
      </c>
      <c r="H70" s="1">
        <f>+H36</f>
        <v>151.19800000000004</v>
      </c>
      <c r="I70" s="1">
        <f>+I36</f>
        <v>193.63400000000004</v>
      </c>
      <c r="J70" s="1">
        <f>+J36</f>
        <v>-144.81399999999991</v>
      </c>
      <c r="K70" s="1">
        <f>+K36</f>
        <v>258.55959999999993</v>
      </c>
    </row>
    <row r="71" spans="2:11" x14ac:dyDescent="0.2">
      <c r="B71" t="s">
        <v>52</v>
      </c>
      <c r="C71" s="1">
        <v>157.53399999999999</v>
      </c>
      <c r="D71" s="1">
        <v>298.93099999999998</v>
      </c>
      <c r="E71" s="1">
        <v>439.04399999999998</v>
      </c>
      <c r="F71" s="1">
        <v>587.67899999999997</v>
      </c>
      <c r="G71" s="1">
        <v>173.84800000000001</v>
      </c>
      <c r="H71" s="1">
        <v>313.86799999999999</v>
      </c>
      <c r="I71" s="1">
        <v>444.76900000000001</v>
      </c>
      <c r="J71" s="1">
        <v>276.04500000000002</v>
      </c>
      <c r="K71" s="1">
        <v>180.607</v>
      </c>
    </row>
    <row r="72" spans="2:11" x14ac:dyDescent="0.2">
      <c r="B72" t="s">
        <v>53</v>
      </c>
      <c r="C72" s="1">
        <v>21.172000000000001</v>
      </c>
      <c r="D72" s="1">
        <v>43.311999999999998</v>
      </c>
      <c r="E72" s="1">
        <v>80.647000000000006</v>
      </c>
      <c r="F72" s="1">
        <v>102.268</v>
      </c>
      <c r="G72" s="1">
        <v>30.116</v>
      </c>
      <c r="H72" s="1">
        <v>72.512</v>
      </c>
      <c r="I72" s="1">
        <v>112.081</v>
      </c>
      <c r="J72" s="1">
        <v>146.816</v>
      </c>
      <c r="K72" s="1">
        <v>42.295000000000002</v>
      </c>
    </row>
    <row r="73" spans="2:11" x14ac:dyDescent="0.2">
      <c r="B73" t="s">
        <v>54</v>
      </c>
      <c r="C73" s="1">
        <v>9.3940000000000001</v>
      </c>
      <c r="D73" s="1">
        <v>19.062999999999999</v>
      </c>
      <c r="E73" s="1">
        <v>30.283999999999999</v>
      </c>
      <c r="F73" s="1">
        <v>41.271000000000001</v>
      </c>
      <c r="G73" s="1">
        <v>10.457000000000001</v>
      </c>
      <c r="H73" s="1">
        <v>20.518000000000001</v>
      </c>
      <c r="I73" s="1">
        <v>30.622</v>
      </c>
      <c r="J73" s="1">
        <v>41.402000000000001</v>
      </c>
      <c r="K73" s="1">
        <v>10.497</v>
      </c>
    </row>
    <row r="74" spans="2:11" x14ac:dyDescent="0.2">
      <c r="B74" t="s">
        <v>55</v>
      </c>
      <c r="C74" s="1">
        <v>6.4029999999999996</v>
      </c>
      <c r="D74" s="1">
        <v>6.8029999999999999</v>
      </c>
      <c r="E74" s="1">
        <v>7.2619999999999996</v>
      </c>
      <c r="F74" s="1">
        <v>7.5250000000000004</v>
      </c>
      <c r="G74" s="1">
        <v>0.21299999999999999</v>
      </c>
      <c r="H74" s="1">
        <v>0.45500000000000002</v>
      </c>
      <c r="I74" s="1">
        <v>15.521000000000001</v>
      </c>
      <c r="J74" s="1">
        <v>28.559000000000001</v>
      </c>
      <c r="K74" s="1">
        <v>12.693</v>
      </c>
    </row>
    <row r="75" spans="2:11" x14ac:dyDescent="0.2">
      <c r="B75" t="s">
        <v>41</v>
      </c>
      <c r="C75" s="1">
        <v>-46.295000000000002</v>
      </c>
      <c r="D75" s="1">
        <v>-16.059999999999999</v>
      </c>
      <c r="E75" s="1">
        <v>0.92500000000000004</v>
      </c>
      <c r="F75" s="1">
        <v>15.384</v>
      </c>
      <c r="G75" s="1">
        <v>-10.007</v>
      </c>
      <c r="H75" s="1">
        <v>-20.731000000000002</v>
      </c>
      <c r="I75" s="1">
        <v>-21.748999999999999</v>
      </c>
      <c r="J75" s="1">
        <v>-57.969000000000001</v>
      </c>
      <c r="K75" s="1">
        <v>-14.827999999999999</v>
      </c>
    </row>
    <row r="76" spans="2:11" x14ac:dyDescent="0.2">
      <c r="B76" t="s">
        <v>56</v>
      </c>
      <c r="C76" s="1">
        <v>-0.29399999999999998</v>
      </c>
      <c r="D76" s="1">
        <v>19.667000000000002</v>
      </c>
      <c r="E76" s="1">
        <v>24.210999999999999</v>
      </c>
      <c r="F76" s="1">
        <v>27.280999999999999</v>
      </c>
      <c r="G76" s="1">
        <v>4.601</v>
      </c>
      <c r="H76" s="1">
        <v>7.407</v>
      </c>
      <c r="I76" s="1">
        <v>49.761000000000003</v>
      </c>
      <c r="J76" s="1">
        <v>27.69</v>
      </c>
      <c r="K76" s="1">
        <v>0.99299999999999999</v>
      </c>
    </row>
    <row r="77" spans="2:11" x14ac:dyDescent="0.2">
      <c r="B77" t="s">
        <v>37</v>
      </c>
      <c r="C77" s="1">
        <v>-52.582999999999998</v>
      </c>
      <c r="D77" s="1">
        <v>-69.227999999999994</v>
      </c>
      <c r="E77" s="1">
        <v>-87.92</v>
      </c>
      <c r="F77" s="1">
        <v>-24.213000000000001</v>
      </c>
      <c r="G77" s="1">
        <v>-75.271000000000001</v>
      </c>
      <c r="H77" s="1">
        <v>-103.127</v>
      </c>
      <c r="I77" s="1">
        <v>-26.617999999999999</v>
      </c>
      <c r="J77" s="1">
        <v>-34.021000000000001</v>
      </c>
      <c r="K77" s="1">
        <v>6.1440000000000001</v>
      </c>
    </row>
    <row r="78" spans="2:11" x14ac:dyDescent="0.2">
      <c r="B78" t="s">
        <v>57</v>
      </c>
      <c r="C78" s="1">
        <v>10.714</v>
      </c>
      <c r="D78" s="1">
        <v>-10.144</v>
      </c>
      <c r="E78" s="1">
        <v>-26.132000000000001</v>
      </c>
      <c r="F78" s="1">
        <v>-33.223999999999997</v>
      </c>
      <c r="G78" s="1">
        <v>19.626000000000001</v>
      </c>
      <c r="H78" s="1">
        <v>32.622</v>
      </c>
      <c r="I78" s="1">
        <v>17.728999999999999</v>
      </c>
      <c r="J78" s="1">
        <v>1.7430000000000001</v>
      </c>
      <c r="K78" s="1">
        <v>27.074000000000002</v>
      </c>
    </row>
    <row r="79" spans="2:11" x14ac:dyDescent="0.2">
      <c r="B79" t="s">
        <v>44</v>
      </c>
      <c r="C79" s="1">
        <v>-18.28</v>
      </c>
      <c r="D79" s="1">
        <v>-13.349</v>
      </c>
      <c r="E79" s="1">
        <v>18.280999999999999</v>
      </c>
      <c r="F79" s="1">
        <v>24.155000000000001</v>
      </c>
      <c r="G79" s="1">
        <v>-40.241999999999997</v>
      </c>
      <c r="H79" s="1">
        <v>-17.32</v>
      </c>
      <c r="I79" s="1">
        <v>-4.0590000000000002</v>
      </c>
      <c r="J79" s="12">
        <v>458.75700000000001</v>
      </c>
      <c r="K79" s="1">
        <v>-24.867999999999999</v>
      </c>
    </row>
    <row r="80" spans="2:11" x14ac:dyDescent="0.2">
      <c r="B80" t="s">
        <v>47</v>
      </c>
      <c r="C80" s="1">
        <v>-49.350999999999999</v>
      </c>
      <c r="D80" s="1">
        <v>-16.251000000000001</v>
      </c>
      <c r="E80" s="1">
        <v>5.3150000000000004</v>
      </c>
      <c r="F80" s="1">
        <v>16.913</v>
      </c>
      <c r="G80" s="1">
        <v>-21.867000000000001</v>
      </c>
      <c r="H80" s="1">
        <v>18.899000000000001</v>
      </c>
      <c r="I80" s="1">
        <v>18.443000000000001</v>
      </c>
      <c r="J80" s="1">
        <v>-2.8540000000000001</v>
      </c>
      <c r="K80" s="1">
        <v>-9.9570000000000007</v>
      </c>
    </row>
    <row r="81" spans="2:11" x14ac:dyDescent="0.2">
      <c r="B81" t="s">
        <v>45</v>
      </c>
      <c r="C81" s="1">
        <v>0.83399999999999996</v>
      </c>
      <c r="D81" s="1">
        <v>13.132999999999999</v>
      </c>
      <c r="E81" s="1">
        <v>26.928000000000001</v>
      </c>
      <c r="F81" s="1">
        <v>23.513000000000002</v>
      </c>
      <c r="G81" s="1">
        <v>10.834</v>
      </c>
      <c r="H81" s="1">
        <v>25.712</v>
      </c>
      <c r="I81" s="1">
        <v>30.425000000000001</v>
      </c>
      <c r="J81" s="1">
        <v>26.331</v>
      </c>
      <c r="K81" s="1">
        <v>1.867</v>
      </c>
    </row>
    <row r="82" spans="2:11" s="5" customFormat="1" ht="15" x14ac:dyDescent="0.25">
      <c r="B82" s="5" t="s">
        <v>58</v>
      </c>
      <c r="C82" s="6">
        <f t="shared" ref="C82:J82" si="25">+SUM(C71:C81)</f>
        <v>39.247999999999962</v>
      </c>
      <c r="D82" s="6">
        <f t="shared" si="25"/>
        <v>275.87700000000001</v>
      </c>
      <c r="E82" s="6">
        <f t="shared" si="25"/>
        <v>518.84499999999991</v>
      </c>
      <c r="F82" s="6">
        <f t="shared" si="25"/>
        <v>788.55199999999991</v>
      </c>
      <c r="G82" s="6">
        <f t="shared" si="25"/>
        <v>102.30800000000001</v>
      </c>
      <c r="H82" s="6">
        <f t="shared" si="25"/>
        <v>350.815</v>
      </c>
      <c r="I82" s="6">
        <f t="shared" si="25"/>
        <v>666.92499999999984</v>
      </c>
      <c r="J82" s="6">
        <f t="shared" si="25"/>
        <v>912.49899999999991</v>
      </c>
      <c r="K82" s="6">
        <f t="shared" ref="K82" si="26">+SUM(K71:K81)</f>
        <v>232.51700000000002</v>
      </c>
    </row>
    <row r="83" spans="2:11" x14ac:dyDescent="0.2"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2">
      <c r="B84" t="s">
        <v>59</v>
      </c>
      <c r="C84" s="1"/>
      <c r="D84" s="1"/>
      <c r="E84" s="1"/>
      <c r="F84" s="1"/>
      <c r="G84" s="1"/>
      <c r="H84" s="1">
        <v>-840.86900000000003</v>
      </c>
      <c r="I84" s="1">
        <v>-863.25800000000004</v>
      </c>
      <c r="J84" s="1">
        <v>-859.90499999999997</v>
      </c>
      <c r="K84" s="1"/>
    </row>
    <row r="85" spans="2:11" x14ac:dyDescent="0.2">
      <c r="B85" t="s">
        <v>60</v>
      </c>
      <c r="C85" s="1">
        <v>-9.7810000000000006</v>
      </c>
      <c r="D85" s="1">
        <v>-18.123999999999999</v>
      </c>
      <c r="E85" s="1">
        <v>-32.375999999999998</v>
      </c>
      <c r="F85" s="1">
        <v>-42.375999999999998</v>
      </c>
      <c r="G85" s="1">
        <v>-10.29</v>
      </c>
      <c r="H85" s="1">
        <v>-32.392000000000003</v>
      </c>
      <c r="I85" s="1">
        <v>-52.811</v>
      </c>
      <c r="J85" s="1">
        <v>-79.971000000000004</v>
      </c>
      <c r="K85" s="1">
        <v>-17.657</v>
      </c>
    </row>
    <row r="86" spans="2:11" x14ac:dyDescent="0.2">
      <c r="B86" t="s">
        <v>61</v>
      </c>
      <c r="C86" s="1"/>
      <c r="D86" s="1"/>
      <c r="E86" s="1">
        <v>-9.1150000000000002</v>
      </c>
      <c r="F86" s="1">
        <v>-9.1150000000000002</v>
      </c>
      <c r="G86" s="1"/>
      <c r="H86" s="1"/>
      <c r="I86" s="1"/>
      <c r="J86" s="1"/>
      <c r="K86" s="1"/>
    </row>
    <row r="87" spans="2:11" x14ac:dyDescent="0.2">
      <c r="B87" t="s">
        <v>77</v>
      </c>
      <c r="C87" s="1"/>
      <c r="D87" s="1">
        <v>-2448.7489999999998</v>
      </c>
      <c r="E87" s="1">
        <f>+-3870.55</f>
        <v>-3870.55</v>
      </c>
      <c r="F87" s="1">
        <v>-3870.55</v>
      </c>
      <c r="G87" s="1"/>
      <c r="H87" s="1"/>
      <c r="I87" s="1"/>
      <c r="J87" s="1"/>
      <c r="K87" s="1"/>
    </row>
    <row r="88" spans="2:11" x14ac:dyDescent="0.2">
      <c r="B88" t="s">
        <v>56</v>
      </c>
      <c r="C88" s="1">
        <v>-0.11700000000000001</v>
      </c>
      <c r="D88" s="1">
        <v>-0.11799999999999999</v>
      </c>
      <c r="E88" s="1">
        <v>-9.2999999999999999E-2</v>
      </c>
      <c r="F88" s="1">
        <v>-0.09</v>
      </c>
      <c r="G88" s="1">
        <v>-0.255</v>
      </c>
      <c r="H88" s="1">
        <v>-0.255</v>
      </c>
      <c r="I88" s="1">
        <v>2.5999999999999999E-2</v>
      </c>
      <c r="J88" s="1">
        <v>5.0999999999999997E-2</v>
      </c>
      <c r="K88" s="1">
        <v>2.9973000000000001</v>
      </c>
    </row>
    <row r="89" spans="2:11" s="5" customFormat="1" ht="15" x14ac:dyDescent="0.25">
      <c r="B89" s="5" t="s">
        <v>63</v>
      </c>
      <c r="C89" s="6">
        <f t="shared" ref="C89:J89" si="27">+SUM(C84:C88)</f>
        <v>-9.8980000000000015</v>
      </c>
      <c r="D89" s="6">
        <f t="shared" si="27"/>
        <v>-2466.9909999999995</v>
      </c>
      <c r="E89" s="6">
        <f t="shared" si="27"/>
        <v>-3912.134</v>
      </c>
      <c r="F89" s="6">
        <f t="shared" si="27"/>
        <v>-3922.1310000000003</v>
      </c>
      <c r="G89" s="6">
        <f t="shared" si="27"/>
        <v>-10.545</v>
      </c>
      <c r="H89" s="6">
        <f t="shared" si="27"/>
        <v>-873.51600000000008</v>
      </c>
      <c r="I89" s="6">
        <f t="shared" si="27"/>
        <v>-916.04300000000012</v>
      </c>
      <c r="J89" s="6">
        <f t="shared" si="27"/>
        <v>-939.82499999999993</v>
      </c>
      <c r="K89" s="6">
        <f t="shared" ref="K89" si="28">+SUM(K84:K88)</f>
        <v>-14.659700000000001</v>
      </c>
    </row>
    <row r="90" spans="2:11" x14ac:dyDescent="0.2">
      <c r="C90" s="1"/>
      <c r="D90" s="1"/>
      <c r="E90" s="1"/>
      <c r="F90" s="1"/>
      <c r="G90" s="1"/>
      <c r="H90" s="1"/>
      <c r="I90" s="1"/>
      <c r="J90" s="1"/>
      <c r="K90" s="1"/>
    </row>
    <row r="91" spans="2:11" x14ac:dyDescent="0.2">
      <c r="B91" t="s">
        <v>64</v>
      </c>
      <c r="C91" s="1"/>
      <c r="D91" s="1">
        <v>20</v>
      </c>
      <c r="E91" s="1">
        <v>20</v>
      </c>
      <c r="F91" s="1">
        <v>20</v>
      </c>
      <c r="G91" s="1"/>
      <c r="H91" s="1"/>
      <c r="I91" s="1"/>
      <c r="J91" s="1"/>
      <c r="K91" s="1"/>
    </row>
    <row r="92" spans="2:11" x14ac:dyDescent="0.2">
      <c r="B92" t="s">
        <v>65</v>
      </c>
      <c r="C92" s="1">
        <v>500</v>
      </c>
      <c r="D92" s="1">
        <v>1000</v>
      </c>
      <c r="E92" s="1">
        <v>1000</v>
      </c>
      <c r="F92" s="1">
        <v>1000</v>
      </c>
      <c r="G92" s="1"/>
      <c r="H92" s="1"/>
      <c r="I92" s="1"/>
      <c r="J92" s="1">
        <v>500</v>
      </c>
      <c r="K92" s="1"/>
    </row>
    <row r="93" spans="2:11" x14ac:dyDescent="0.2">
      <c r="B93" t="s">
        <v>66</v>
      </c>
      <c r="C93" s="1"/>
      <c r="D93" s="1">
        <v>-400</v>
      </c>
      <c r="E93" s="1">
        <v>-20</v>
      </c>
      <c r="F93" s="1">
        <v>-20</v>
      </c>
      <c r="G93" s="1"/>
      <c r="H93" s="1"/>
      <c r="I93" s="1"/>
      <c r="J93" s="1"/>
      <c r="K93" s="1"/>
    </row>
    <row r="94" spans="2:11" x14ac:dyDescent="0.2">
      <c r="B94" t="s">
        <v>68</v>
      </c>
      <c r="C94" s="1"/>
      <c r="D94" s="1"/>
      <c r="E94" s="1">
        <v>-400</v>
      </c>
      <c r="F94" s="1">
        <v>-400</v>
      </c>
      <c r="G94" s="1"/>
      <c r="H94" s="1"/>
      <c r="I94" s="1"/>
      <c r="J94" s="1"/>
      <c r="K94" s="1"/>
    </row>
    <row r="95" spans="2:11" x14ac:dyDescent="0.2">
      <c r="B95" t="s">
        <v>67</v>
      </c>
      <c r="C95" s="1"/>
      <c r="D95" s="1"/>
      <c r="E95" s="1"/>
      <c r="F95" s="1"/>
      <c r="G95" s="1"/>
      <c r="H95" s="1"/>
      <c r="I95" s="1"/>
      <c r="J95" s="1">
        <v>-630.65800000000002</v>
      </c>
      <c r="K95" s="1">
        <v>-47.677</v>
      </c>
    </row>
    <row r="96" spans="2:11" x14ac:dyDescent="0.2">
      <c r="B96" t="s">
        <v>69</v>
      </c>
      <c r="C96" s="1"/>
      <c r="D96" s="1"/>
      <c r="E96" s="1"/>
      <c r="F96" s="1"/>
      <c r="G96" s="1"/>
      <c r="H96" s="1"/>
      <c r="I96" s="1"/>
      <c r="J96" s="1">
        <v>1089.5920000000001</v>
      </c>
      <c r="K96" s="1">
        <v>32.058</v>
      </c>
    </row>
    <row r="97" spans="1:11" x14ac:dyDescent="0.2">
      <c r="B97" t="s">
        <v>70</v>
      </c>
      <c r="C97" s="1"/>
      <c r="D97" s="1"/>
      <c r="E97" s="1"/>
      <c r="F97" s="1"/>
      <c r="G97" s="1"/>
      <c r="H97" s="1"/>
      <c r="I97" s="1"/>
      <c r="J97" s="1">
        <v>-882.18700000000001</v>
      </c>
      <c r="K97" s="1"/>
    </row>
    <row r="98" spans="1:11" x14ac:dyDescent="0.2">
      <c r="B98" t="s">
        <v>71</v>
      </c>
      <c r="C98" s="1">
        <v>-8.9770000000000003</v>
      </c>
      <c r="D98" s="1">
        <v>-13.195</v>
      </c>
      <c r="E98" s="1">
        <v>-13.516999999999999</v>
      </c>
      <c r="F98" s="1">
        <v>-13.516999999999999</v>
      </c>
      <c r="G98" s="1">
        <v>-0.73</v>
      </c>
      <c r="H98" s="1">
        <v>-0.85099999999999998</v>
      </c>
      <c r="I98" s="1">
        <v>-0.85099999999999998</v>
      </c>
      <c r="J98" s="1">
        <v>-7.1239999999999997</v>
      </c>
      <c r="K98" s="1"/>
    </row>
    <row r="99" spans="1:11" x14ac:dyDescent="0.2">
      <c r="B99" t="s">
        <v>72</v>
      </c>
      <c r="C99" s="1"/>
      <c r="D99" s="1"/>
      <c r="E99" s="1">
        <v>1421.8009999999999</v>
      </c>
      <c r="F99" s="1">
        <v>1421.8009999999999</v>
      </c>
      <c r="G99" s="1"/>
      <c r="H99" s="1"/>
      <c r="I99" s="1"/>
      <c r="J99" s="1"/>
      <c r="K99" s="1"/>
    </row>
    <row r="100" spans="1:11" x14ac:dyDescent="0.2">
      <c r="B100" t="s">
        <v>73</v>
      </c>
      <c r="C100" s="1"/>
      <c r="D100" s="1"/>
      <c r="E100" s="1">
        <v>79.528000000000006</v>
      </c>
      <c r="F100" s="1">
        <v>155.40199999999999</v>
      </c>
      <c r="G100" s="1">
        <v>29.972999999999999</v>
      </c>
      <c r="H100" s="1">
        <v>37.332999999999998</v>
      </c>
      <c r="I100" s="1">
        <v>45.587000000000003</v>
      </c>
      <c r="J100" s="1">
        <v>58.423999999999999</v>
      </c>
      <c r="K100" s="1">
        <v>6.3040000000000003</v>
      </c>
    </row>
    <row r="101" spans="1:11" x14ac:dyDescent="0.2">
      <c r="B101" t="s">
        <v>74</v>
      </c>
      <c r="C101" s="1">
        <v>-145.357</v>
      </c>
      <c r="D101" s="1">
        <v>-209.69800000000001</v>
      </c>
      <c r="E101" s="1">
        <v>-211.958</v>
      </c>
      <c r="F101" s="1">
        <v>-211.958</v>
      </c>
      <c r="G101" s="1">
        <v>-10.548</v>
      </c>
      <c r="H101" s="1">
        <v>-11.38</v>
      </c>
      <c r="I101" s="1">
        <v>-15.726000000000001</v>
      </c>
      <c r="J101" s="1">
        <v>-15.726000000000001</v>
      </c>
      <c r="K101" s="1">
        <v>-96.968999999999994</v>
      </c>
    </row>
    <row r="102" spans="1:11" x14ac:dyDescent="0.2">
      <c r="B102" t="s">
        <v>75</v>
      </c>
      <c r="C102" s="1">
        <v>-81.686000000000007</v>
      </c>
      <c r="D102" s="1">
        <v>-132.86799999999999</v>
      </c>
      <c r="E102" s="1">
        <v>-132.86799999999999</v>
      </c>
      <c r="F102" s="1">
        <v>-132.86799999999999</v>
      </c>
      <c r="G102" s="1"/>
      <c r="H102" s="1"/>
      <c r="I102" s="1"/>
      <c r="J102" s="1"/>
      <c r="K102" s="1"/>
    </row>
    <row r="103" spans="1:11" x14ac:dyDescent="0.2">
      <c r="B103" t="s">
        <v>76</v>
      </c>
      <c r="C103" s="1"/>
      <c r="D103" s="1">
        <v>-15.827</v>
      </c>
      <c r="E103" s="1">
        <v>-15.827</v>
      </c>
      <c r="F103" s="1">
        <v>-15.827</v>
      </c>
      <c r="G103" s="1"/>
      <c r="H103" s="1">
        <v>-1.4730000000000001</v>
      </c>
      <c r="I103" s="1">
        <v>-1.4730000000000001</v>
      </c>
      <c r="J103" s="1">
        <v>-1.4730000000000001</v>
      </c>
      <c r="K103" s="1">
        <v>-10.329000000000001</v>
      </c>
    </row>
    <row r="104" spans="1:11" x14ac:dyDescent="0.2">
      <c r="B104" t="s">
        <v>56</v>
      </c>
      <c r="C104" s="1">
        <v>1E-3</v>
      </c>
      <c r="D104" s="1">
        <v>-12.744999999999999</v>
      </c>
      <c r="E104" s="1">
        <v>-15.188000000000001</v>
      </c>
      <c r="F104" s="1">
        <v>-15.186999999999999</v>
      </c>
      <c r="G104" s="1"/>
      <c r="H104" s="1"/>
      <c r="I104" s="1">
        <v>0.15</v>
      </c>
      <c r="J104" s="1">
        <v>0.25800000000000001</v>
      </c>
      <c r="K104" s="1"/>
    </row>
    <row r="105" spans="1:11" s="5" customFormat="1" ht="15" x14ac:dyDescent="0.25">
      <c r="B105" s="5" t="s">
        <v>62</v>
      </c>
      <c r="C105" s="6">
        <f t="shared" ref="C105:J105" si="29">+SUM(C91:C104)</f>
        <v>263.98099999999999</v>
      </c>
      <c r="D105" s="6">
        <f t="shared" si="29"/>
        <v>235.66699999999997</v>
      </c>
      <c r="E105" s="6">
        <f t="shared" si="29"/>
        <v>1711.9709999999998</v>
      </c>
      <c r="F105" s="6">
        <f t="shared" si="29"/>
        <v>1787.8459999999998</v>
      </c>
      <c r="G105" s="6">
        <f t="shared" si="29"/>
        <v>18.695</v>
      </c>
      <c r="H105" s="6">
        <f t="shared" si="29"/>
        <v>23.628999999999998</v>
      </c>
      <c r="I105" s="6">
        <f t="shared" si="29"/>
        <v>27.687000000000005</v>
      </c>
      <c r="J105" s="6">
        <f t="shared" si="29"/>
        <v>111.10600000000008</v>
      </c>
      <c r="K105" s="6">
        <f t="shared" ref="K105" si="30">+SUM(K91:K104)</f>
        <v>-116.613</v>
      </c>
    </row>
    <row r="106" spans="1:11" s="5" customFormat="1" ht="15" x14ac:dyDescent="0.25">
      <c r="A106" s="9"/>
      <c r="B106" s="5" t="s">
        <v>78</v>
      </c>
      <c r="C106" s="6">
        <f t="shared" ref="C106:J106" si="31">+C105+C89+C82</f>
        <v>293.33099999999996</v>
      </c>
      <c r="D106" s="6">
        <f t="shared" si="31"/>
        <v>-1955.4469999999997</v>
      </c>
      <c r="E106" s="6">
        <f t="shared" si="31"/>
        <v>-1681.3180000000007</v>
      </c>
      <c r="F106" s="6">
        <f t="shared" si="31"/>
        <v>-1345.7330000000009</v>
      </c>
      <c r="G106" s="6">
        <f t="shared" si="31"/>
        <v>110.45800000000001</v>
      </c>
      <c r="H106" s="6">
        <f t="shared" si="31"/>
        <v>-499.07200000000006</v>
      </c>
      <c r="I106" s="6">
        <f t="shared" si="31"/>
        <v>-221.43100000000027</v>
      </c>
      <c r="J106" s="6">
        <f t="shared" si="31"/>
        <v>83.780000000000086</v>
      </c>
      <c r="K106" s="6">
        <f t="shared" ref="K106" si="32">+K105+K89+K82</f>
        <v>101.24430000000004</v>
      </c>
    </row>
  </sheetData>
  <hyperlinks>
    <hyperlink ref="A1" r:id="rId1" xr:uid="{FBFB6930-9CFE-48DF-8F1E-D03A2641AC88}"/>
  </hyperlinks>
  <pageMargins left="0.7" right="0.7" top="0.75" bottom="0.75" header="0.3" footer="0.3"/>
  <pageSetup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2022-04-07T15:21:35Z</dcterms:created>
  <dcterms:modified xsi:type="dcterms:W3CDTF">2022-05-09T22:52:21Z</dcterms:modified>
</cp:coreProperties>
</file>