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3CC9E175-D5BB-4DE1-BFF0-0EF7A02F63AC}" xr6:coauthVersionLast="47" xr6:coauthVersionMax="47" xr10:uidLastSave="{00000000-0000-0000-0000-000000000000}"/>
  <bookViews>
    <workbookView xWindow="-120" yWindow="-120" windowWidth="29040" windowHeight="16440" activeTab="1" xr2:uid="{77498D08-14C7-4CF2-8EF7-D751312EB8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2" l="1"/>
  <c r="T35" i="2"/>
  <c r="T34" i="2"/>
  <c r="T33" i="2"/>
  <c r="AF17" i="2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AE17" i="2"/>
  <c r="Z17" i="2"/>
  <c r="AA17" i="2" s="1"/>
  <c r="AB17" i="2" s="1"/>
  <c r="AC17" i="2" s="1"/>
  <c r="AD17" i="2" s="1"/>
  <c r="Y17" i="2"/>
  <c r="S3" i="2"/>
  <c r="S25" i="2" s="1"/>
  <c r="R3" i="2"/>
  <c r="R25" i="2" s="1"/>
  <c r="Q3" i="2"/>
  <c r="X19" i="2"/>
  <c r="X16" i="2"/>
  <c r="X15" i="2"/>
  <c r="X12" i="2"/>
  <c r="X10" i="2"/>
  <c r="X9" i="2"/>
  <c r="X8" i="2"/>
  <c r="X7" i="2"/>
  <c r="X6" i="2"/>
  <c r="S7" i="2"/>
  <c r="S6" i="2"/>
  <c r="R6" i="2"/>
  <c r="P26" i="2"/>
  <c r="P22" i="2"/>
  <c r="R7" i="2"/>
  <c r="Q7" i="2"/>
  <c r="Q27" i="2" s="1"/>
  <c r="Q6" i="2"/>
  <c r="Q10" i="2"/>
  <c r="P7" i="2"/>
  <c r="P6" i="2"/>
  <c r="P23" i="2"/>
  <c r="P18" i="2"/>
  <c r="P17" i="2"/>
  <c r="P14" i="2"/>
  <c r="P13" i="2"/>
  <c r="P10" i="2"/>
  <c r="P11" i="2" s="1"/>
  <c r="S9" i="2"/>
  <c r="R9" i="2"/>
  <c r="Q9" i="2"/>
  <c r="P9" i="2"/>
  <c r="P27" i="2"/>
  <c r="O27" i="2"/>
  <c r="N27" i="2"/>
  <c r="M27" i="2"/>
  <c r="L27" i="2"/>
  <c r="K27" i="2"/>
  <c r="J27" i="2"/>
  <c r="N26" i="2"/>
  <c r="M26" i="2"/>
  <c r="L26" i="2"/>
  <c r="K26" i="2"/>
  <c r="J26" i="2"/>
  <c r="O26" i="2"/>
  <c r="P21" i="2"/>
  <c r="P3" i="2"/>
  <c r="P25" i="2" s="1"/>
  <c r="M29" i="2"/>
  <c r="O29" i="2"/>
  <c r="N29" i="2"/>
  <c r="L29" i="2"/>
  <c r="L44" i="2"/>
  <c r="L38" i="2"/>
  <c r="L31" i="2"/>
  <c r="L49" i="2"/>
  <c r="M30" i="2"/>
  <c r="M44" i="2"/>
  <c r="M38" i="2"/>
  <c r="M41" i="2"/>
  <c r="M31" i="2"/>
  <c r="M49" i="2"/>
  <c r="N44" i="2"/>
  <c r="N49" i="2" s="1"/>
  <c r="N38" i="2"/>
  <c r="N31" i="2"/>
  <c r="N41" i="2" s="1"/>
  <c r="O44" i="2"/>
  <c r="O30" i="2" s="1"/>
  <c r="O38" i="2"/>
  <c r="O41" i="2" s="1"/>
  <c r="O31" i="2"/>
  <c r="N25" i="2"/>
  <c r="M25" i="2"/>
  <c r="L25" i="2"/>
  <c r="K25" i="2"/>
  <c r="J25" i="2"/>
  <c r="O25" i="2"/>
  <c r="O12" i="2"/>
  <c r="O10" i="2"/>
  <c r="O22" i="2" s="1"/>
  <c r="O5" i="2"/>
  <c r="O21" i="2" s="1"/>
  <c r="J21" i="2"/>
  <c r="F21" i="2"/>
  <c r="F12" i="2"/>
  <c r="F10" i="2"/>
  <c r="F22" i="2" s="1"/>
  <c r="F5" i="2"/>
  <c r="J12" i="2"/>
  <c r="J10" i="2"/>
  <c r="J22" i="2" s="1"/>
  <c r="J5" i="2"/>
  <c r="L21" i="2"/>
  <c r="G12" i="2"/>
  <c r="G10" i="2"/>
  <c r="G22" i="2" s="1"/>
  <c r="G5" i="2"/>
  <c r="G21" i="2" s="1"/>
  <c r="K12" i="2"/>
  <c r="K10" i="2"/>
  <c r="K22" i="2" s="1"/>
  <c r="K5" i="2"/>
  <c r="K21" i="2" s="1"/>
  <c r="H12" i="2"/>
  <c r="H10" i="2"/>
  <c r="H22" i="2" s="1"/>
  <c r="H5" i="2"/>
  <c r="H21" i="2" s="1"/>
  <c r="L12" i="2"/>
  <c r="L10" i="2"/>
  <c r="L22" i="2" s="1"/>
  <c r="L5" i="2"/>
  <c r="I12" i="2"/>
  <c r="I10" i="2"/>
  <c r="I22" i="2" s="1"/>
  <c r="I5" i="2"/>
  <c r="I21" i="2" s="1"/>
  <c r="M12" i="2"/>
  <c r="M10" i="2"/>
  <c r="M22" i="2" s="1"/>
  <c r="M5" i="2"/>
  <c r="M21" i="2" s="1"/>
  <c r="N12" i="2"/>
  <c r="N10" i="2"/>
  <c r="N22" i="2" s="1"/>
  <c r="N5" i="2"/>
  <c r="N21" i="2" s="1"/>
  <c r="V25" i="2"/>
  <c r="W25" i="2"/>
  <c r="W22" i="2"/>
  <c r="W44" i="2"/>
  <c r="W49" i="2" s="1"/>
  <c r="W38" i="2"/>
  <c r="W31" i="2"/>
  <c r="U12" i="2"/>
  <c r="U10" i="2"/>
  <c r="U22" i="2" s="1"/>
  <c r="U5" i="2"/>
  <c r="U21" i="2" s="1"/>
  <c r="V12" i="2"/>
  <c r="V10" i="2"/>
  <c r="V22" i="2" s="1"/>
  <c r="V5" i="2"/>
  <c r="V21" i="2" s="1"/>
  <c r="W12" i="2"/>
  <c r="W10" i="2"/>
  <c r="W5" i="2"/>
  <c r="W21" i="2" s="1"/>
  <c r="S5" i="2" l="1"/>
  <c r="S4" i="2" s="1"/>
  <c r="R5" i="2"/>
  <c r="X3" i="2"/>
  <c r="X25" i="2" s="1"/>
  <c r="Q25" i="2"/>
  <c r="X22" i="2"/>
  <c r="R26" i="2"/>
  <c r="R4" i="2"/>
  <c r="R21" i="2"/>
  <c r="S21" i="2"/>
  <c r="R27" i="2"/>
  <c r="S27" i="2"/>
  <c r="Q22" i="2"/>
  <c r="Q26" i="2"/>
  <c r="R10" i="2"/>
  <c r="Q5" i="2"/>
  <c r="P5" i="2"/>
  <c r="P4" i="2" s="1"/>
  <c r="L41" i="2"/>
  <c r="L30" i="2"/>
  <c r="O49" i="2"/>
  <c r="W41" i="2"/>
  <c r="N30" i="2"/>
  <c r="O11" i="2"/>
  <c r="O13" i="2" s="1"/>
  <c r="F11" i="2"/>
  <c r="F13" i="2" s="1"/>
  <c r="J11" i="2"/>
  <c r="J13" i="2" s="1"/>
  <c r="K11" i="2"/>
  <c r="K13" i="2" s="1"/>
  <c r="G11" i="2"/>
  <c r="G13" i="2" s="1"/>
  <c r="H11" i="2"/>
  <c r="H13" i="2" s="1"/>
  <c r="L11" i="2"/>
  <c r="L13" i="2" s="1"/>
  <c r="I11" i="2"/>
  <c r="I13" i="2" s="1"/>
  <c r="M11" i="2"/>
  <c r="M13" i="2" s="1"/>
  <c r="N11" i="2"/>
  <c r="N13" i="2" s="1"/>
  <c r="N23" i="2" s="1"/>
  <c r="W30" i="2"/>
  <c r="W11" i="2"/>
  <c r="U11" i="2"/>
  <c r="V11" i="2"/>
  <c r="V2" i="2"/>
  <c r="W2" i="2" s="1"/>
  <c r="X2" i="2" s="1"/>
  <c r="Y2" i="2" s="1"/>
  <c r="Z2" i="2" s="1"/>
  <c r="AA2" i="2" s="1"/>
  <c r="AB2" i="2" s="1"/>
  <c r="AC2" i="2" s="1"/>
  <c r="AD2" i="2" s="1"/>
  <c r="N8" i="1"/>
  <c r="N7" i="1"/>
  <c r="N6" i="1"/>
  <c r="N5" i="1"/>
  <c r="X5" i="2" l="1"/>
  <c r="X21" i="2" s="1"/>
  <c r="Q4" i="2"/>
  <c r="X4" i="2" s="1"/>
  <c r="Q21" i="2"/>
  <c r="Q11" i="2"/>
  <c r="R11" i="2"/>
  <c r="R13" i="2" s="1"/>
  <c r="R22" i="2"/>
  <c r="G17" i="2"/>
  <c r="G18" i="2" s="1"/>
  <c r="G23" i="2"/>
  <c r="K17" i="2"/>
  <c r="K18" i="2" s="1"/>
  <c r="K23" i="2"/>
  <c r="J17" i="2"/>
  <c r="J18" i="2" s="1"/>
  <c r="J23" i="2"/>
  <c r="F17" i="2"/>
  <c r="F18" i="2" s="1"/>
  <c r="F23" i="2"/>
  <c r="O17" i="2"/>
  <c r="O18" i="2" s="1"/>
  <c r="O23" i="2"/>
  <c r="L17" i="2"/>
  <c r="L18" i="2" s="1"/>
  <c r="L23" i="2"/>
  <c r="H17" i="2"/>
  <c r="H18" i="2" s="1"/>
  <c r="H23" i="2"/>
  <c r="I23" i="2"/>
  <c r="I17" i="2"/>
  <c r="I18" i="2" s="1"/>
  <c r="M17" i="2"/>
  <c r="M18" i="2" s="1"/>
  <c r="M23" i="2"/>
  <c r="N17" i="2"/>
  <c r="N18" i="2" s="1"/>
  <c r="U13" i="2"/>
  <c r="V13" i="2"/>
  <c r="V23" i="2" s="1"/>
  <c r="W13" i="2"/>
  <c r="Q13" i="2" l="1"/>
  <c r="X11" i="2"/>
  <c r="S26" i="2"/>
  <c r="S10" i="2"/>
  <c r="R14" i="2"/>
  <c r="R23" i="2" s="1"/>
  <c r="W17" i="2"/>
  <c r="W18" i="2" s="1"/>
  <c r="W23" i="2"/>
  <c r="U17" i="2"/>
  <c r="U18" i="2" s="1"/>
  <c r="U23" i="2"/>
  <c r="V17" i="2"/>
  <c r="V18" i="2" s="1"/>
  <c r="Q14" i="2" l="1"/>
  <c r="X13" i="2"/>
  <c r="R17" i="2"/>
  <c r="R18" i="2" s="1"/>
  <c r="S11" i="2"/>
  <c r="S13" i="2" s="1"/>
  <c r="S22" i="2"/>
  <c r="Q23" i="2" l="1"/>
  <c r="X14" i="2"/>
  <c r="X23" i="2" s="1"/>
  <c r="Q17" i="2"/>
  <c r="S14" i="2"/>
  <c r="S23" i="2" s="1"/>
  <c r="Q18" i="2" l="1"/>
  <c r="X17" i="2"/>
  <c r="X18" i="2" s="1"/>
  <c r="S17" i="2"/>
  <c r="S18" i="2" s="1"/>
</calcChain>
</file>

<file path=xl/sharedStrings.xml><?xml version="1.0" encoding="utf-8"?>
<sst xmlns="http://schemas.openxmlformats.org/spreadsheetml/2006/main" count="76" uniqueCount="71">
  <si>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</si>
  <si>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</si>
  <si>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</si>
  <si>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</si>
  <si>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</si>
  <si>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</si>
  <si>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</si>
  <si>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</si>
  <si>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</si>
  <si>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</si>
  <si>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</si>
  <si>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</si>
  <si>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</si>
  <si>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</si>
  <si>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</si>
  <si>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</si>
  <si>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</si>
  <si>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</si>
  <si>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</si>
  <si>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</si>
  <si>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</si>
  <si>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</si>
  <si>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</si>
  <si>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</si>
  <si>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</si>
  <si>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</si>
  <si>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R&amp;D</t>
  </si>
  <si>
    <t>sG&amp;A</t>
  </si>
  <si>
    <t>Restruction</t>
  </si>
  <si>
    <t>Other Income</t>
  </si>
  <si>
    <t>Operating Expenses</t>
  </si>
  <si>
    <t>Operating Income</t>
  </si>
  <si>
    <t>Interest income</t>
  </si>
  <si>
    <t>Pretax Income</t>
  </si>
  <si>
    <t>Taxes</t>
  </si>
  <si>
    <t>NI</t>
  </si>
  <si>
    <t>Net Income</t>
  </si>
  <si>
    <t>EPS</t>
  </si>
  <si>
    <t>Investments</t>
  </si>
  <si>
    <t>Gross Margin %</t>
  </si>
  <si>
    <t>Revenue Growth Y/Y</t>
  </si>
  <si>
    <t>A/R</t>
  </si>
  <si>
    <t>Inventory</t>
  </si>
  <si>
    <t>Assets for Sale</t>
  </si>
  <si>
    <t>Oca</t>
  </si>
  <si>
    <t>PP&amp;E</t>
  </si>
  <si>
    <t>Operating Lease</t>
  </si>
  <si>
    <t>Intangibles</t>
  </si>
  <si>
    <t>D/T</t>
  </si>
  <si>
    <t>ONCA</t>
  </si>
  <si>
    <t>Total Assets</t>
  </si>
  <si>
    <t>A/P</t>
  </si>
  <si>
    <t>OCL</t>
  </si>
  <si>
    <t>Government Incentives(lol)</t>
  </si>
  <si>
    <t>ONCL</t>
  </si>
  <si>
    <t>Total Liabilties</t>
  </si>
  <si>
    <t>Net Cash</t>
  </si>
  <si>
    <t>Operating Margin %</t>
  </si>
  <si>
    <t>Micron specializes in Memory and Storage products.</t>
  </si>
  <si>
    <t>Tax Rate</t>
  </si>
  <si>
    <t>Cash Q/Q</t>
  </si>
  <si>
    <t>ROIC</t>
  </si>
  <si>
    <t>Maturity</t>
  </si>
  <si>
    <t>Discount</t>
  </si>
  <si>
    <t>NPV</t>
  </si>
  <si>
    <t>per Share</t>
  </si>
  <si>
    <t>current Share</t>
  </si>
  <si>
    <t>yield</t>
  </si>
  <si>
    <t>Q123</t>
  </si>
  <si>
    <t>R&amp;D Y/Y</t>
  </si>
  <si>
    <t>sG&amp;A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</si>
</sst>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0" borderId="0" xfId="1" applyFont="1"/>
    <xf numFmtId="0" fontId="3" fillId="0" borderId="0" xfId="0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9" fontId="3" fillId="0" borderId="0" xfId="0" applyNumberFormat="1" applyFont="1"/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28575</xdr:rowOff>
    </xdr:from>
    <xdr:to>
      <xdr:col>15</xdr:col>
      <xdr:colOff>28575</xdr:colOff>
      <xdr:row>42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D7B19-8DB5-4FB6-BE20-C3F6A188F023}"/>
            </a:ext>
          </a:extLst>
        </xdr:cNvPr>
        <xdr:cNvCxnSpPr/>
      </xdr:nvCxnSpPr>
      <xdr:spPr>
        <a:xfrm>
          <a:off x="10048875" y="28575"/>
          <a:ext cx="0" cy="803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0</xdr:row>
      <xdr:rowOff>19050</xdr:rowOff>
    </xdr:from>
    <xdr:to>
      <xdr:col>23</xdr:col>
      <xdr:colOff>28575</xdr:colOff>
      <xdr:row>42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A87208F-CDAE-42A4-9B10-003E88A6599A}"/>
            </a:ext>
          </a:extLst>
        </xdr:cNvPr>
        <xdr:cNvCxnSpPr/>
      </xdr:nvCxnSpPr>
      <xdr:spPr>
        <a:xfrm>
          <a:off x="14925675" y="1905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3E08-EAFF-44A2-876E-63B25B6E6D0D}">
  <dimension ref="C3:N16"/>
  <sheetViews>
    <sheetView workbookViewId="0">
      <selection activeCell="N17" sqref="K17:N18"/>
    </sheetView>
  </sheetViews>
  <sheetFormatPr defaultRowHeight="14.25" x14ac:dyDescent="0.2"/>
  <cols>
    <col min="1" max="16384" width="9.140625" style="1"/>
  </cols>
  <sheetData>
    <row r="3" spans="3:14" x14ac:dyDescent="0.2">
      <c r="M3" s="1" t="s">
        <v>0</v>
      </c>
      <c r="N3" s="1">
        <v>96.17</v>
      </c>
    </row>
    <row r="4" spans="3:14" x14ac:dyDescent="0.2">
      <c r="M4" s="1" t="s">
        <v>1</v>
      </c>
      <c r="N4" s="2">
        <v>1118.623</v>
      </c>
    </row>
    <row r="5" spans="3:14" x14ac:dyDescent="0.2">
      <c r="M5" s="1" t="s">
        <v>2</v>
      </c>
      <c r="N5" s="2">
        <f>+N3*N4</f>
        <v>107577.97391</v>
      </c>
    </row>
    <row r="6" spans="3:14" x14ac:dyDescent="0.2">
      <c r="M6" s="1" t="s">
        <v>3</v>
      </c>
      <c r="N6" s="2">
        <f>7763+870+1765</f>
        <v>10398</v>
      </c>
    </row>
    <row r="7" spans="3:14" x14ac:dyDescent="0.2">
      <c r="M7" s="1" t="s">
        <v>4</v>
      </c>
      <c r="N7" s="2">
        <f>155+6621</f>
        <v>6776</v>
      </c>
    </row>
    <row r="8" spans="3:14" x14ac:dyDescent="0.2">
      <c r="M8" s="1" t="s">
        <v>5</v>
      </c>
      <c r="N8" s="2">
        <f>+N5-N6+N7</f>
        <v>103955.97391</v>
      </c>
    </row>
    <row r="16" spans="3:14" x14ac:dyDescent="0.2">
      <c r="C16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C615-CF52-4C58-9724-15012CFDCFD1}">
  <dimension ref="A1:CU4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1" sqref="I31"/>
    </sheetView>
  </sheetViews>
  <sheetFormatPr defaultRowHeight="14.25" x14ac:dyDescent="0.2"/>
  <cols>
    <col min="1" max="1" width="5.42578125" style="1" bestFit="1" customWidth="1"/>
    <col min="2" max="2" width="26" style="1" bestFit="1" customWidth="1"/>
    <col min="3" max="19" width="9.140625" style="1"/>
    <col min="20" max="20" width="13.7109375" style="1" bestFit="1" customWidth="1"/>
    <col min="21" max="16384" width="9.140625" style="1"/>
  </cols>
  <sheetData>
    <row r="1" spans="1:30" x14ac:dyDescent="0.2">
      <c r="A1" s="3" t="s">
        <v>6</v>
      </c>
    </row>
    <row r="2" spans="1:30" x14ac:dyDescent="0.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68</v>
      </c>
      <c r="U2" s="1">
        <v>2019</v>
      </c>
      <c r="V2" s="1">
        <f>+U2+1</f>
        <v>2020</v>
      </c>
      <c r="W2" s="1">
        <f t="shared" ref="W2:AD2" si="0">+V2+1</f>
        <v>2021</v>
      </c>
      <c r="X2" s="1">
        <f t="shared" si="0"/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</row>
    <row r="3" spans="1:30" s="4" customFormat="1" ht="15" x14ac:dyDescent="0.25">
      <c r="B3" s="4" t="s">
        <v>23</v>
      </c>
      <c r="F3" s="5">
        <v>4870</v>
      </c>
      <c r="G3" s="5">
        <v>5144</v>
      </c>
      <c r="H3" s="5">
        <v>4797</v>
      </c>
      <c r="I3" s="5">
        <v>5438</v>
      </c>
      <c r="J3" s="5">
        <v>6056</v>
      </c>
      <c r="K3" s="5">
        <v>5773</v>
      </c>
      <c r="L3" s="5">
        <v>6236</v>
      </c>
      <c r="M3" s="5">
        <v>7422</v>
      </c>
      <c r="N3" s="5">
        <v>8274</v>
      </c>
      <c r="O3" s="5">
        <v>7687</v>
      </c>
      <c r="P3" s="5">
        <f>+L3*1.3</f>
        <v>8106.8</v>
      </c>
      <c r="Q3" s="5">
        <f>+M3*1.2</f>
        <v>8906.4</v>
      </c>
      <c r="R3" s="5">
        <f>+N3*1.32</f>
        <v>10921.68</v>
      </c>
      <c r="S3" s="5">
        <f>+O3*1.29</f>
        <v>9916.23</v>
      </c>
      <c r="U3" s="5">
        <v>23406</v>
      </c>
      <c r="V3" s="5">
        <v>21435</v>
      </c>
      <c r="W3" s="5">
        <v>27705</v>
      </c>
      <c r="X3" s="5">
        <f>+SUM(O3:R3)</f>
        <v>35621.879999999997</v>
      </c>
    </row>
    <row r="4" spans="1:30" x14ac:dyDescent="0.2">
      <c r="B4" s="1" t="s">
        <v>24</v>
      </c>
      <c r="F4" s="2">
        <v>3475</v>
      </c>
      <c r="G4" s="2">
        <v>3778</v>
      </c>
      <c r="H4" s="2">
        <v>3442</v>
      </c>
      <c r="I4" s="2">
        <v>3675</v>
      </c>
      <c r="J4" s="2">
        <v>3988</v>
      </c>
      <c r="K4" s="2">
        <v>4037</v>
      </c>
      <c r="L4" s="2">
        <v>4587</v>
      </c>
      <c r="M4" s="2">
        <v>4296</v>
      </c>
      <c r="N4" s="2">
        <v>4362</v>
      </c>
      <c r="O4" s="2">
        <v>4122</v>
      </c>
      <c r="P4" s="2">
        <f>+P3-P5</f>
        <v>4053.4</v>
      </c>
      <c r="Q4" s="2">
        <f>+Q3-Q5</f>
        <v>5165.7119999999995</v>
      </c>
      <c r="R4" s="2">
        <f t="shared" ref="Q4:S4" si="1">+R3-R5</f>
        <v>5679.2736000000004</v>
      </c>
      <c r="S4" s="2">
        <f t="shared" si="1"/>
        <v>5453.9264999999996</v>
      </c>
      <c r="U4" s="2">
        <v>12704</v>
      </c>
      <c r="V4" s="2">
        <v>14883</v>
      </c>
      <c r="W4" s="2">
        <v>17282</v>
      </c>
      <c r="X4" s="2">
        <f t="shared" ref="X4:X17" si="2">+SUM(O4:R4)</f>
        <v>19020.385600000001</v>
      </c>
    </row>
    <row r="5" spans="1:30" x14ac:dyDescent="0.2">
      <c r="B5" s="1" t="s">
        <v>25</v>
      </c>
      <c r="F5" s="2">
        <f>+F3-F4</f>
        <v>1395</v>
      </c>
      <c r="G5" s="2">
        <f>+G3-G4</f>
        <v>1366</v>
      </c>
      <c r="H5" s="2">
        <f>+H3-H4</f>
        <v>1355</v>
      </c>
      <c r="I5" s="2">
        <f>+I3-I4</f>
        <v>1763</v>
      </c>
      <c r="J5" s="2">
        <f>+J3-J4</f>
        <v>2068</v>
      </c>
      <c r="K5" s="2">
        <f>+K3-K4</f>
        <v>1736</v>
      </c>
      <c r="L5" s="2">
        <f>+L3-L4</f>
        <v>1649</v>
      </c>
      <c r="M5" s="2">
        <f>+M3-M4</f>
        <v>3126</v>
      </c>
      <c r="N5" s="2">
        <f>+N3-N4</f>
        <v>3912</v>
      </c>
      <c r="O5" s="2">
        <f>+O3-O4</f>
        <v>3565</v>
      </c>
      <c r="P5" s="2">
        <f>+P3*0.5</f>
        <v>4053.4</v>
      </c>
      <c r="Q5" s="2">
        <f>+Q3*0.42</f>
        <v>3740.6879999999996</v>
      </c>
      <c r="R5" s="2">
        <f>+R3*0.48</f>
        <v>5242.4063999999998</v>
      </c>
      <c r="S5" s="2">
        <f>+S3*0.45</f>
        <v>4462.3035</v>
      </c>
      <c r="U5" s="2">
        <f>+U3-U4</f>
        <v>10702</v>
      </c>
      <c r="V5" s="2">
        <f>+V3-V4</f>
        <v>6552</v>
      </c>
      <c r="W5" s="2">
        <f>+W3-W4</f>
        <v>10423</v>
      </c>
      <c r="X5" s="2">
        <f t="shared" si="2"/>
        <v>16601.4944</v>
      </c>
    </row>
    <row r="6" spans="1:30" x14ac:dyDescent="0.2">
      <c r="B6" s="1" t="s">
        <v>26</v>
      </c>
      <c r="F6" s="2">
        <v>623</v>
      </c>
      <c r="G6" s="2">
        <v>640</v>
      </c>
      <c r="H6" s="2">
        <v>681</v>
      </c>
      <c r="I6" s="2">
        <v>649</v>
      </c>
      <c r="J6" s="2">
        <v>630</v>
      </c>
      <c r="K6" s="2">
        <v>647</v>
      </c>
      <c r="L6" s="2">
        <v>641</v>
      </c>
      <c r="M6" s="2">
        <v>670</v>
      </c>
      <c r="N6" s="2">
        <v>705</v>
      </c>
      <c r="O6" s="2">
        <v>712</v>
      </c>
      <c r="P6" s="2">
        <f>+O6*0.96</f>
        <v>683.52</v>
      </c>
      <c r="Q6" s="2">
        <f>+P6*1.12</f>
        <v>765.54240000000004</v>
      </c>
      <c r="R6" s="2">
        <f>+Q6*1.08</f>
        <v>826.78579200000013</v>
      </c>
      <c r="S6" s="2">
        <f>+R6*0.94</f>
        <v>777.17864448000012</v>
      </c>
      <c r="U6" s="2">
        <v>2441</v>
      </c>
      <c r="V6" s="2">
        <v>2600</v>
      </c>
      <c r="W6" s="2">
        <v>2663</v>
      </c>
      <c r="X6" s="2">
        <f t="shared" si="2"/>
        <v>2987.8481919999999</v>
      </c>
    </row>
    <row r="7" spans="1:30" x14ac:dyDescent="0.2">
      <c r="B7" s="1" t="s">
        <v>27</v>
      </c>
      <c r="F7" s="2">
        <v>212</v>
      </c>
      <c r="G7" s="2">
        <v>211</v>
      </c>
      <c r="H7" s="2">
        <v>223</v>
      </c>
      <c r="I7" s="2">
        <v>216</v>
      </c>
      <c r="J7" s="2">
        <v>231</v>
      </c>
      <c r="K7" s="2">
        <v>214</v>
      </c>
      <c r="L7" s="2">
        <v>214</v>
      </c>
      <c r="M7" s="2">
        <v>230</v>
      </c>
      <c r="N7" s="2">
        <v>236</v>
      </c>
      <c r="O7" s="2">
        <v>259</v>
      </c>
      <c r="P7" s="2">
        <f>+O7*0.96</f>
        <v>248.64</v>
      </c>
      <c r="Q7" s="2">
        <f>+P7*1.15</f>
        <v>285.93599999999998</v>
      </c>
      <c r="R7" s="2">
        <f t="shared" ref="R7:S7" si="3">+Q7*1.15</f>
        <v>328.82639999999998</v>
      </c>
      <c r="S7" s="2">
        <f>+R7*0.94</f>
        <v>309.09681599999999</v>
      </c>
      <c r="U7" s="2">
        <v>836</v>
      </c>
      <c r="V7" s="2">
        <v>881</v>
      </c>
      <c r="W7" s="2">
        <v>894</v>
      </c>
      <c r="X7" s="2">
        <f t="shared" si="2"/>
        <v>1122.4023999999999</v>
      </c>
    </row>
    <row r="8" spans="1:30" x14ac:dyDescent="0.2">
      <c r="B8" s="1" t="s">
        <v>28</v>
      </c>
      <c r="F8" s="2">
        <v>0</v>
      </c>
      <c r="G8" s="2">
        <v>0</v>
      </c>
      <c r="H8" s="2">
        <v>0</v>
      </c>
      <c r="I8" s="2">
        <v>4</v>
      </c>
      <c r="J8" s="2">
        <v>0</v>
      </c>
      <c r="K8" s="2">
        <v>0</v>
      </c>
      <c r="L8" s="2">
        <v>0</v>
      </c>
      <c r="M8" s="2">
        <v>453</v>
      </c>
      <c r="N8" s="2">
        <v>22</v>
      </c>
      <c r="O8" s="2">
        <v>38</v>
      </c>
      <c r="U8" s="2">
        <v>-29</v>
      </c>
      <c r="V8" s="2">
        <v>60</v>
      </c>
      <c r="W8" s="2">
        <v>488</v>
      </c>
      <c r="X8" s="2">
        <f t="shared" si="2"/>
        <v>38</v>
      </c>
    </row>
    <row r="9" spans="1:30" x14ac:dyDescent="0.2">
      <c r="B9" s="1" t="s">
        <v>29</v>
      </c>
      <c r="F9" s="2">
        <v>-90</v>
      </c>
      <c r="G9" s="2">
        <v>-3</v>
      </c>
      <c r="H9" s="2">
        <v>11</v>
      </c>
      <c r="I9" s="2">
        <v>6</v>
      </c>
      <c r="J9" s="2">
        <v>50</v>
      </c>
      <c r="K9" s="2">
        <v>9</v>
      </c>
      <c r="L9" s="2">
        <v>131</v>
      </c>
      <c r="M9" s="2">
        <v>-26</v>
      </c>
      <c r="N9" s="2">
        <v>-6</v>
      </c>
      <c r="O9" s="2">
        <v>-75</v>
      </c>
      <c r="P9" s="2">
        <f>+O30*0.01</f>
        <v>43.75</v>
      </c>
      <c r="Q9" s="2">
        <f t="shared" ref="Q9:S9" si="4">+P30*0.01</f>
        <v>0</v>
      </c>
      <c r="R9" s="2">
        <f t="shared" si="4"/>
        <v>0</v>
      </c>
      <c r="S9" s="2">
        <f t="shared" si="4"/>
        <v>0</v>
      </c>
      <c r="U9" s="2">
        <v>78</v>
      </c>
      <c r="V9" s="2">
        <v>8</v>
      </c>
      <c r="W9" s="2">
        <v>95</v>
      </c>
      <c r="X9" s="2">
        <f t="shared" si="2"/>
        <v>-31.25</v>
      </c>
    </row>
    <row r="10" spans="1:30" x14ac:dyDescent="0.2">
      <c r="B10" s="1" t="s">
        <v>30</v>
      </c>
      <c r="F10" s="2">
        <f>+SUM(F6:F9)</f>
        <v>745</v>
      </c>
      <c r="G10" s="2">
        <f>+SUM(G6:G9)</f>
        <v>848</v>
      </c>
      <c r="H10" s="2">
        <f>+SUM(H6:H9)</f>
        <v>915</v>
      </c>
      <c r="I10" s="2">
        <f>+SUM(I6:I9)</f>
        <v>875</v>
      </c>
      <c r="J10" s="2">
        <f>+SUM(J6:J9)</f>
        <v>911</v>
      </c>
      <c r="K10" s="2">
        <f>+SUM(K6:K9)</f>
        <v>870</v>
      </c>
      <c r="L10" s="2">
        <f>+SUM(L6:L9)</f>
        <v>986</v>
      </c>
      <c r="M10" s="2">
        <f>+SUM(M6:M9)</f>
        <v>1327</v>
      </c>
      <c r="N10" s="2">
        <f>+SUM(N6:N9)</f>
        <v>957</v>
      </c>
      <c r="O10" s="2">
        <f>+SUM(O6:O9)</f>
        <v>934</v>
      </c>
      <c r="P10" s="2">
        <f t="shared" ref="P10:S10" si="5">+SUM(P6:P9)</f>
        <v>975.91</v>
      </c>
      <c r="Q10" s="2">
        <f t="shared" si="5"/>
        <v>1051.4784</v>
      </c>
      <c r="R10" s="2">
        <f t="shared" si="5"/>
        <v>1155.6121920000001</v>
      </c>
      <c r="S10" s="2">
        <f t="shared" si="5"/>
        <v>1086.2754604800002</v>
      </c>
      <c r="U10" s="2">
        <f>+SUM(U6:U9)</f>
        <v>3326</v>
      </c>
      <c r="V10" s="2">
        <f>+SUM(V6:V9)</f>
        <v>3549</v>
      </c>
      <c r="W10" s="2">
        <f>+SUM(W6:W9)</f>
        <v>4140</v>
      </c>
      <c r="X10" s="2">
        <f t="shared" si="2"/>
        <v>4117.0005920000003</v>
      </c>
    </row>
    <row r="11" spans="1:30" x14ac:dyDescent="0.2">
      <c r="B11" s="1" t="s">
        <v>31</v>
      </c>
      <c r="F11" s="2">
        <f>+F5-F10</f>
        <v>650</v>
      </c>
      <c r="G11" s="2">
        <f>+G5-G10</f>
        <v>518</v>
      </c>
      <c r="H11" s="2">
        <f>+H5-H10</f>
        <v>440</v>
      </c>
      <c r="I11" s="2">
        <f>+I5-I10</f>
        <v>888</v>
      </c>
      <c r="J11" s="2">
        <f>+J5-J10</f>
        <v>1157</v>
      </c>
      <c r="K11" s="2">
        <f>+K5-K10</f>
        <v>866</v>
      </c>
      <c r="L11" s="2">
        <f>+L5-L10</f>
        <v>663</v>
      </c>
      <c r="M11" s="2">
        <f>+M5-M10</f>
        <v>1799</v>
      </c>
      <c r="N11" s="2">
        <f>+N5-N10</f>
        <v>2955</v>
      </c>
      <c r="O11" s="2">
        <f>+O5-O10</f>
        <v>2631</v>
      </c>
      <c r="P11" s="2">
        <f t="shared" ref="P11:S11" si="6">+P5-P10</f>
        <v>3077.4900000000002</v>
      </c>
      <c r="Q11" s="2">
        <f t="shared" si="6"/>
        <v>2689.2095999999997</v>
      </c>
      <c r="R11" s="2">
        <f t="shared" si="6"/>
        <v>4086.7942079999998</v>
      </c>
      <c r="S11" s="2">
        <f t="shared" si="6"/>
        <v>3376.0280395199998</v>
      </c>
      <c r="U11" s="2">
        <f>+U5-U10</f>
        <v>7376</v>
      </c>
      <c r="V11" s="2">
        <f>+V5-V10</f>
        <v>3003</v>
      </c>
      <c r="W11" s="2">
        <f>+W5-W10</f>
        <v>6283</v>
      </c>
      <c r="X11" s="2">
        <f t="shared" si="2"/>
        <v>12484.493807999999</v>
      </c>
    </row>
    <row r="12" spans="1:30" x14ac:dyDescent="0.2">
      <c r="B12" s="1" t="s">
        <v>32</v>
      </c>
      <c r="F12" s="1">
        <f>57+-39+-13</f>
        <v>5</v>
      </c>
      <c r="G12" s="1">
        <f>44+-47+46</f>
        <v>43</v>
      </c>
      <c r="H12" s="1">
        <f>34+-46+-1</f>
        <v>-13</v>
      </c>
      <c r="I12" s="1">
        <f>23+-51+10</f>
        <v>-18</v>
      </c>
      <c r="J12" s="1">
        <f>13+-50+5</f>
        <v>-32</v>
      </c>
      <c r="K12" s="1">
        <f>10+-48+13</f>
        <v>-25</v>
      </c>
      <c r="L12" s="1">
        <f>10+-42+4</f>
        <v>-28</v>
      </c>
      <c r="M12" s="1">
        <f>8+-46+45</f>
        <v>7</v>
      </c>
      <c r="N12" s="1">
        <f>9+-47+19</f>
        <v>-19</v>
      </c>
      <c r="O12" s="1">
        <f>10+-45+-75</f>
        <v>-110</v>
      </c>
      <c r="P12" s="1">
        <v>0</v>
      </c>
      <c r="Q12" s="1">
        <v>0</v>
      </c>
      <c r="R12" s="1">
        <v>0</v>
      </c>
      <c r="S12" s="1">
        <v>0</v>
      </c>
      <c r="U12" s="1">
        <f>205+-128+-405</f>
        <v>-328</v>
      </c>
      <c r="V12" s="1">
        <f>114+-194+60</f>
        <v>-20</v>
      </c>
      <c r="W12" s="1">
        <f>37+-183+81</f>
        <v>-65</v>
      </c>
      <c r="X12" s="2">
        <f t="shared" si="2"/>
        <v>-110</v>
      </c>
    </row>
    <row r="13" spans="1:30" x14ac:dyDescent="0.2">
      <c r="B13" s="1" t="s">
        <v>33</v>
      </c>
      <c r="F13" s="2">
        <f>+F11+F12</f>
        <v>655</v>
      </c>
      <c r="G13" s="2">
        <f>+G11+G12</f>
        <v>561</v>
      </c>
      <c r="H13" s="2">
        <f>+H11+H12</f>
        <v>427</v>
      </c>
      <c r="I13" s="2">
        <f>+I11+I12</f>
        <v>870</v>
      </c>
      <c r="J13" s="2">
        <f>+J11+J12</f>
        <v>1125</v>
      </c>
      <c r="K13" s="2">
        <f>+K11+K12</f>
        <v>841</v>
      </c>
      <c r="L13" s="2">
        <f>+L11+L12</f>
        <v>635</v>
      </c>
      <c r="M13" s="2">
        <f>+M11+M12</f>
        <v>1806</v>
      </c>
      <c r="N13" s="2">
        <f>+N11+N12</f>
        <v>2936</v>
      </c>
      <c r="O13" s="2">
        <f>+O11+O12</f>
        <v>2521</v>
      </c>
      <c r="P13" s="2">
        <f t="shared" ref="P13:S13" si="7">+P11+P12</f>
        <v>3077.4900000000002</v>
      </c>
      <c r="Q13" s="2">
        <f t="shared" si="7"/>
        <v>2689.2095999999997</v>
      </c>
      <c r="R13" s="2">
        <f t="shared" si="7"/>
        <v>4086.7942079999998</v>
      </c>
      <c r="S13" s="2">
        <f t="shared" si="7"/>
        <v>3376.0280395199998</v>
      </c>
      <c r="U13" s="2">
        <f>+U11+U12</f>
        <v>7048</v>
      </c>
      <c r="V13" s="2">
        <f>+V11+V12</f>
        <v>2983</v>
      </c>
      <c r="W13" s="2">
        <f>+W11+W12</f>
        <v>6218</v>
      </c>
      <c r="X13" s="2">
        <f t="shared" si="2"/>
        <v>12374.493807999999</v>
      </c>
    </row>
    <row r="14" spans="1:30" x14ac:dyDescent="0.2">
      <c r="B14" s="1" t="s">
        <v>34</v>
      </c>
      <c r="F14" s="1">
        <v>-71</v>
      </c>
      <c r="G14" s="1">
        <v>-55</v>
      </c>
      <c r="H14" s="1">
        <v>-21</v>
      </c>
      <c r="I14" s="1">
        <v>-68</v>
      </c>
      <c r="J14" s="1">
        <v>-136</v>
      </c>
      <c r="K14" s="1">
        <v>-51</v>
      </c>
      <c r="L14" s="1">
        <v>-48</v>
      </c>
      <c r="M14" s="1">
        <v>-65</v>
      </c>
      <c r="N14" s="1">
        <v>-230</v>
      </c>
      <c r="O14" s="1">
        <v>-219</v>
      </c>
      <c r="P14" s="2">
        <f>+P13*0.08</f>
        <v>246.19920000000002</v>
      </c>
      <c r="Q14" s="2">
        <f t="shared" ref="Q14:S14" si="8">+Q13*0.08</f>
        <v>215.13676799999999</v>
      </c>
      <c r="R14" s="2">
        <f t="shared" si="8"/>
        <v>326.94353663999999</v>
      </c>
      <c r="S14" s="2">
        <f t="shared" si="8"/>
        <v>270.08224316159999</v>
      </c>
      <c r="U14" s="1">
        <v>-693</v>
      </c>
      <c r="V14" s="1">
        <v>-280</v>
      </c>
      <c r="W14" s="1">
        <v>-394</v>
      </c>
      <c r="X14" s="2">
        <f t="shared" si="2"/>
        <v>569.27950464000003</v>
      </c>
    </row>
    <row r="15" spans="1:30" x14ac:dyDescent="0.2">
      <c r="B15" s="1" t="s">
        <v>38</v>
      </c>
      <c r="F15" s="1">
        <v>2</v>
      </c>
      <c r="G15" s="1">
        <v>2</v>
      </c>
      <c r="H15" s="1">
        <v>1</v>
      </c>
      <c r="I15" s="1">
        <v>3</v>
      </c>
      <c r="J15" s="1">
        <v>1</v>
      </c>
      <c r="K15" s="1">
        <v>13</v>
      </c>
      <c r="L15" s="1">
        <v>16</v>
      </c>
      <c r="M15" s="1">
        <v>-6</v>
      </c>
      <c r="N15" s="1">
        <v>14</v>
      </c>
      <c r="O15" s="1">
        <v>4</v>
      </c>
      <c r="P15" s="1">
        <v>0</v>
      </c>
      <c r="Q15" s="1">
        <v>0</v>
      </c>
      <c r="R15" s="1">
        <v>0</v>
      </c>
      <c r="S15" s="1">
        <v>0</v>
      </c>
      <c r="U15" s="1">
        <v>3</v>
      </c>
      <c r="V15" s="1">
        <v>7</v>
      </c>
      <c r="W15" s="1">
        <v>37</v>
      </c>
      <c r="X15" s="2">
        <f t="shared" si="2"/>
        <v>4</v>
      </c>
    </row>
    <row r="16" spans="1:30" x14ac:dyDescent="0.2">
      <c r="B16" s="1" t="s">
        <v>35</v>
      </c>
      <c r="F16" s="1">
        <v>-25</v>
      </c>
      <c r="G16" s="1">
        <v>-17</v>
      </c>
      <c r="H16" s="1">
        <v>-2</v>
      </c>
      <c r="I16" s="1">
        <v>-2</v>
      </c>
      <c r="J16" s="1">
        <v>-2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U16" s="1">
        <v>-45</v>
      </c>
      <c r="V16" s="1">
        <v>-23</v>
      </c>
      <c r="W16" s="1">
        <v>0</v>
      </c>
      <c r="X16" s="2">
        <f t="shared" si="2"/>
        <v>0</v>
      </c>
    </row>
    <row r="17" spans="2:99" s="4" customFormat="1" ht="15" x14ac:dyDescent="0.25">
      <c r="B17" s="4" t="s">
        <v>36</v>
      </c>
      <c r="F17" s="5">
        <f>+SUM(F13:F16)</f>
        <v>561</v>
      </c>
      <c r="G17" s="5">
        <f>+SUM(G13:G16)</f>
        <v>491</v>
      </c>
      <c r="H17" s="5">
        <f>+SUM(H13:H16)</f>
        <v>405</v>
      </c>
      <c r="I17" s="5">
        <f>+SUM(I13:I16)</f>
        <v>803</v>
      </c>
      <c r="J17" s="5">
        <f>+SUM(J13:J16)</f>
        <v>988</v>
      </c>
      <c r="K17" s="5">
        <f>+SUM(K13:K16)</f>
        <v>803</v>
      </c>
      <c r="L17" s="5">
        <f>+SUM(L13:L16)</f>
        <v>603</v>
      </c>
      <c r="M17" s="5">
        <f>+SUM(M13:M16)</f>
        <v>1735</v>
      </c>
      <c r="N17" s="5">
        <f>+SUM(N13:N16)</f>
        <v>2720</v>
      </c>
      <c r="O17" s="5">
        <f>+SUM(O13:O16)</f>
        <v>2306</v>
      </c>
      <c r="P17" s="5">
        <f t="shared" ref="P17:S17" si="9">+SUM(P13:P16)</f>
        <v>3323.6892000000003</v>
      </c>
      <c r="Q17" s="5">
        <f t="shared" si="9"/>
        <v>2904.3463679999995</v>
      </c>
      <c r="R17" s="5">
        <f t="shared" si="9"/>
        <v>4413.7377446399996</v>
      </c>
      <c r="S17" s="5">
        <f t="shared" si="9"/>
        <v>3646.1102826815995</v>
      </c>
      <c r="U17" s="5">
        <f>+SUM(U13:U16)</f>
        <v>6313</v>
      </c>
      <c r="V17" s="5">
        <f>+SUM(V13:V16)</f>
        <v>2687</v>
      </c>
      <c r="W17" s="5">
        <f>+SUM(W13:W16)</f>
        <v>5861</v>
      </c>
      <c r="X17" s="5">
        <f>+SUM(O17:R17)</f>
        <v>12947.773312639998</v>
      </c>
      <c r="Y17" s="5">
        <f>+X17*1.02</f>
        <v>13206.728778892799</v>
      </c>
      <c r="Z17" s="5">
        <f t="shared" ref="Z17:AD17" si="10">+Y17*1.02</f>
        <v>13470.863354470655</v>
      </c>
      <c r="AA17" s="5">
        <f t="shared" si="10"/>
        <v>13740.280621560069</v>
      </c>
      <c r="AB17" s="5">
        <f t="shared" si="10"/>
        <v>14015.086233991271</v>
      </c>
      <c r="AC17" s="5">
        <f t="shared" si="10"/>
        <v>14295.387958671097</v>
      </c>
      <c r="AD17" s="5">
        <f t="shared" si="10"/>
        <v>14581.295717844519</v>
      </c>
      <c r="AE17" s="5">
        <f>+AD17*(1+$T$31)</f>
        <v>14289.669803487628</v>
      </c>
      <c r="AF17" s="5">
        <f t="shared" ref="AF17:CQ17" si="11">+AE17*(1+$T$31)</f>
        <v>14003.876407417876</v>
      </c>
      <c r="AG17" s="5">
        <f t="shared" si="11"/>
        <v>13723.798879269518</v>
      </c>
      <c r="AH17" s="5">
        <f t="shared" si="11"/>
        <v>13449.322901684127</v>
      </c>
      <c r="AI17" s="5">
        <f t="shared" si="11"/>
        <v>13180.336443650443</v>
      </c>
      <c r="AJ17" s="5">
        <f t="shared" si="11"/>
        <v>12916.729714777435</v>
      </c>
      <c r="AK17" s="5">
        <f t="shared" si="11"/>
        <v>12658.395120481886</v>
      </c>
      <c r="AL17" s="5">
        <f t="shared" si="11"/>
        <v>12405.227218072248</v>
      </c>
      <c r="AM17" s="5">
        <f t="shared" si="11"/>
        <v>12157.122673710803</v>
      </c>
      <c r="AN17" s="5">
        <f t="shared" si="11"/>
        <v>11913.980220236586</v>
      </c>
      <c r="AO17" s="5">
        <f t="shared" si="11"/>
        <v>11675.700615831855</v>
      </c>
      <c r="AP17" s="5">
        <f t="shared" si="11"/>
        <v>11442.186603515218</v>
      </c>
      <c r="AQ17" s="5">
        <f t="shared" si="11"/>
        <v>11213.342871444913</v>
      </c>
      <c r="AR17" s="5">
        <f t="shared" si="11"/>
        <v>10989.076014016015</v>
      </c>
      <c r="AS17" s="5">
        <f t="shared" si="11"/>
        <v>10769.294493735693</v>
      </c>
      <c r="AT17" s="5">
        <f t="shared" si="11"/>
        <v>10553.908603860978</v>
      </c>
      <c r="AU17" s="5">
        <f t="shared" si="11"/>
        <v>10342.830431783759</v>
      </c>
      <c r="AV17" s="5">
        <f t="shared" si="11"/>
        <v>10135.973823148084</v>
      </c>
      <c r="AW17" s="5">
        <f t="shared" si="11"/>
        <v>9933.2543466851221</v>
      </c>
      <c r="AX17" s="5">
        <f t="shared" si="11"/>
        <v>9734.5892597514194</v>
      </c>
      <c r="AY17" s="5">
        <f t="shared" si="11"/>
        <v>9539.8974745563901</v>
      </c>
      <c r="AZ17" s="5">
        <f t="shared" si="11"/>
        <v>9349.0995250652613</v>
      </c>
      <c r="BA17" s="5">
        <f t="shared" si="11"/>
        <v>9162.1175345639567</v>
      </c>
      <c r="BB17" s="5">
        <f t="shared" si="11"/>
        <v>8978.8751838726766</v>
      </c>
      <c r="BC17" s="5">
        <f t="shared" si="11"/>
        <v>8799.2976801952227</v>
      </c>
      <c r="BD17" s="5">
        <f t="shared" si="11"/>
        <v>8623.3117265913188</v>
      </c>
      <c r="BE17" s="5">
        <f t="shared" si="11"/>
        <v>8450.8454920594922</v>
      </c>
      <c r="BF17" s="5">
        <f t="shared" si="11"/>
        <v>8281.8285822183025</v>
      </c>
      <c r="BG17" s="5">
        <f t="shared" si="11"/>
        <v>8116.1920105739364</v>
      </c>
      <c r="BH17" s="5">
        <f t="shared" si="11"/>
        <v>7953.8681703624579</v>
      </c>
      <c r="BI17" s="5">
        <f t="shared" si="11"/>
        <v>7794.7908069552086</v>
      </c>
      <c r="BJ17" s="5">
        <f t="shared" si="11"/>
        <v>7638.8949908161039</v>
      </c>
      <c r="BK17" s="5">
        <f t="shared" si="11"/>
        <v>7486.1170909997818</v>
      </c>
      <c r="BL17" s="5">
        <f t="shared" si="11"/>
        <v>7336.3947491797862</v>
      </c>
      <c r="BM17" s="5">
        <f t="shared" si="11"/>
        <v>7189.6668541961908</v>
      </c>
      <c r="BN17" s="5">
        <f t="shared" si="11"/>
        <v>7045.8735171122671</v>
      </c>
      <c r="BO17" s="5">
        <f t="shared" si="11"/>
        <v>6904.9560467700212</v>
      </c>
      <c r="BP17" s="5">
        <f t="shared" si="11"/>
        <v>6766.8569258346206</v>
      </c>
      <c r="BQ17" s="5">
        <f t="shared" si="11"/>
        <v>6631.5197873179277</v>
      </c>
      <c r="BR17" s="5">
        <f t="shared" si="11"/>
        <v>6498.8893915715689</v>
      </c>
      <c r="BS17" s="5">
        <f t="shared" si="11"/>
        <v>6368.9116037401373</v>
      </c>
      <c r="BT17" s="5">
        <f t="shared" si="11"/>
        <v>6241.533371665334</v>
      </c>
      <c r="BU17" s="5">
        <f t="shared" si="11"/>
        <v>6116.7027042320269</v>
      </c>
      <c r="BV17" s="5">
        <f t="shared" si="11"/>
        <v>5994.3686501473867</v>
      </c>
      <c r="BW17" s="5">
        <f t="shared" si="11"/>
        <v>5874.4812771444385</v>
      </c>
      <c r="BX17" s="5">
        <f t="shared" si="11"/>
        <v>5756.9916516015501</v>
      </c>
      <c r="BY17" s="5">
        <f t="shared" si="11"/>
        <v>5641.8518185695193</v>
      </c>
      <c r="BZ17" s="5">
        <f t="shared" si="11"/>
        <v>5529.0147821981291</v>
      </c>
      <c r="CA17" s="5">
        <f t="shared" si="11"/>
        <v>5418.4344865541661</v>
      </c>
      <c r="CB17" s="5">
        <f t="shared" si="11"/>
        <v>5310.0657968230826</v>
      </c>
      <c r="CC17" s="5">
        <f t="shared" si="11"/>
        <v>5203.8644808866211</v>
      </c>
      <c r="CD17" s="5">
        <f t="shared" si="11"/>
        <v>5099.7871912688888</v>
      </c>
      <c r="CE17" s="5">
        <f t="shared" si="11"/>
        <v>4997.7914474435111</v>
      </c>
      <c r="CF17" s="5">
        <f t="shared" si="11"/>
        <v>4897.8356184946406</v>
      </c>
      <c r="CG17" s="5">
        <f t="shared" si="11"/>
        <v>4799.878906124748</v>
      </c>
      <c r="CH17" s="5">
        <f t="shared" si="11"/>
        <v>4703.8813280022532</v>
      </c>
      <c r="CI17" s="5">
        <f t="shared" si="11"/>
        <v>4609.803701442208</v>
      </c>
      <c r="CJ17" s="5">
        <f t="shared" si="11"/>
        <v>4517.6076274133638</v>
      </c>
      <c r="CK17" s="5">
        <f t="shared" si="11"/>
        <v>4427.2554748650964</v>
      </c>
      <c r="CL17" s="5">
        <f t="shared" si="11"/>
        <v>4338.7103653677941</v>
      </c>
      <c r="CM17" s="5">
        <f t="shared" si="11"/>
        <v>4251.9361580604382</v>
      </c>
      <c r="CN17" s="5">
        <f t="shared" si="11"/>
        <v>4166.8974348992297</v>
      </c>
      <c r="CO17" s="5">
        <f t="shared" si="11"/>
        <v>4083.5594862012449</v>
      </c>
      <c r="CP17" s="5">
        <f t="shared" si="11"/>
        <v>4001.8882964772201</v>
      </c>
      <c r="CQ17" s="5">
        <f t="shared" si="11"/>
        <v>3921.8505305476756</v>
      </c>
      <c r="CR17" s="5">
        <f t="shared" ref="CR17:CU17" si="12">+CQ17*(1+$T$31)</f>
        <v>3843.413519936722</v>
      </c>
      <c r="CS17" s="5">
        <f t="shared" si="12"/>
        <v>3766.5452495379873</v>
      </c>
      <c r="CT17" s="5">
        <f t="shared" si="12"/>
        <v>3691.2143445472275</v>
      </c>
      <c r="CU17" s="5">
        <f t="shared" si="12"/>
        <v>3617.3900576562828</v>
      </c>
    </row>
    <row r="18" spans="2:99" x14ac:dyDescent="0.2">
      <c r="B18" s="1" t="s">
        <v>37</v>
      </c>
      <c r="F18" s="6">
        <f>+F17/F19</f>
        <v>0.49734042553191488</v>
      </c>
      <c r="G18" s="6">
        <f>+G17/G19</f>
        <v>0.43489813994685561</v>
      </c>
      <c r="H18" s="6">
        <f>+H17/H19</f>
        <v>0.35745807590467782</v>
      </c>
      <c r="I18" s="6">
        <f>+I17/I19</f>
        <v>0.71124889282550929</v>
      </c>
      <c r="J18" s="6">
        <f>+J17/J19</f>
        <v>0.87356321839080464</v>
      </c>
      <c r="K18" s="6">
        <f>+K17/K19</f>
        <v>0.70748898678414096</v>
      </c>
      <c r="L18" s="6">
        <f>+L17/L19</f>
        <v>0.52709790209790208</v>
      </c>
      <c r="M18" s="6">
        <f>+M17/M19</f>
        <v>1.5152838427947599</v>
      </c>
      <c r="N18" s="6">
        <f>+N17/N19</f>
        <v>2.390158172231986</v>
      </c>
      <c r="O18" s="6">
        <f>+O17/O19</f>
        <v>2.0407079646017698</v>
      </c>
      <c r="P18" s="6">
        <f t="shared" ref="P18:S18" si="13">+P17/P19</f>
        <v>2.9413178761061949</v>
      </c>
      <c r="Q18" s="6">
        <f t="shared" si="13"/>
        <v>2.5702180247787605</v>
      </c>
      <c r="R18" s="6">
        <f t="shared" si="13"/>
        <v>3.9059626058761059</v>
      </c>
      <c r="S18" s="6">
        <f t="shared" si="13"/>
        <v>3.2266462678598224</v>
      </c>
      <c r="U18" s="6">
        <f>+U17/U19</f>
        <v>5.5231846019247595</v>
      </c>
      <c r="V18" s="6">
        <f>+V17/V19</f>
        <v>2.3757736516357206</v>
      </c>
      <c r="W18" s="6">
        <f>+W17/W19</f>
        <v>5.1367221735319895</v>
      </c>
      <c r="X18" s="6">
        <f>+X17/X19</f>
        <v>11.45820647136283</v>
      </c>
    </row>
    <row r="19" spans="2:99" x14ac:dyDescent="0.2">
      <c r="B19" s="1" t="s">
        <v>1</v>
      </c>
      <c r="F19" s="2">
        <v>1128</v>
      </c>
      <c r="G19" s="2">
        <v>1129</v>
      </c>
      <c r="H19" s="2">
        <v>1133</v>
      </c>
      <c r="I19" s="2">
        <v>1129</v>
      </c>
      <c r="J19" s="2">
        <v>1131</v>
      </c>
      <c r="K19" s="2">
        <v>1135</v>
      </c>
      <c r="L19" s="2">
        <v>1144</v>
      </c>
      <c r="M19" s="2">
        <v>1145</v>
      </c>
      <c r="N19" s="2">
        <v>1138</v>
      </c>
      <c r="O19" s="2">
        <v>1130</v>
      </c>
      <c r="P19" s="2">
        <v>1130</v>
      </c>
      <c r="Q19" s="2">
        <v>1130</v>
      </c>
      <c r="R19" s="2">
        <v>1130</v>
      </c>
      <c r="S19" s="2">
        <v>1130</v>
      </c>
      <c r="U19" s="2">
        <v>1143</v>
      </c>
      <c r="V19" s="2">
        <v>1131</v>
      </c>
      <c r="W19" s="2">
        <v>1141</v>
      </c>
      <c r="X19" s="2">
        <f>+AVERAGE(O19:R19)</f>
        <v>1130</v>
      </c>
    </row>
    <row r="21" spans="2:99" x14ac:dyDescent="0.2">
      <c r="B21" s="1" t="s">
        <v>39</v>
      </c>
      <c r="F21" s="7">
        <f t="shared" ref="F21:G21" si="14">+F5/F3</f>
        <v>0.2864476386036961</v>
      </c>
      <c r="G21" s="7">
        <f t="shared" si="14"/>
        <v>0.265552099533437</v>
      </c>
      <c r="H21" s="7">
        <f t="shared" ref="H21:J21" si="15">+H5/H3</f>
        <v>0.28246820929747757</v>
      </c>
      <c r="I21" s="7">
        <f t="shared" si="15"/>
        <v>0.32420007355645458</v>
      </c>
      <c r="J21" s="7">
        <f t="shared" si="15"/>
        <v>0.34147952443857332</v>
      </c>
      <c r="K21" s="7">
        <f t="shared" ref="K21:L21" si="16">+K5/K3</f>
        <v>0.30071020266759052</v>
      </c>
      <c r="L21" s="7">
        <f t="shared" si="16"/>
        <v>0.26443232841565106</v>
      </c>
      <c r="M21" s="7">
        <f t="shared" ref="M21" si="17">+M5/M3</f>
        <v>0.42118027485852871</v>
      </c>
      <c r="N21" s="7">
        <f t="shared" ref="N21:S21" si="18">+N5/N3</f>
        <v>0.47280638143582304</v>
      </c>
      <c r="O21" s="7">
        <f t="shared" si="18"/>
        <v>0.46377000130089763</v>
      </c>
      <c r="P21" s="7">
        <f t="shared" si="18"/>
        <v>0.5</v>
      </c>
      <c r="Q21" s="7">
        <f t="shared" si="18"/>
        <v>0.42</v>
      </c>
      <c r="R21" s="7">
        <f t="shared" si="18"/>
        <v>0.48</v>
      </c>
      <c r="S21" s="7">
        <f t="shared" si="18"/>
        <v>0.45</v>
      </c>
      <c r="U21" s="7">
        <f t="shared" ref="U21:V21" si="19">+U5/U3</f>
        <v>0.45723318807143465</v>
      </c>
      <c r="V21" s="7">
        <f t="shared" si="19"/>
        <v>0.30566829951014696</v>
      </c>
      <c r="W21" s="7">
        <f>+W5/W3</f>
        <v>0.37621367984118392</v>
      </c>
      <c r="X21" s="7">
        <f>+X5/X3</f>
        <v>0.46604767631579247</v>
      </c>
    </row>
    <row r="22" spans="2:99" x14ac:dyDescent="0.2">
      <c r="B22" s="1" t="s">
        <v>57</v>
      </c>
      <c r="F22" s="7">
        <f t="shared" ref="F22:G22" si="20">+F10/F3</f>
        <v>0.15297741273100615</v>
      </c>
      <c r="G22" s="7">
        <f t="shared" si="20"/>
        <v>0.16485225505443235</v>
      </c>
      <c r="H22" s="7">
        <f t="shared" ref="H22:J22" si="21">+H10/H3</f>
        <v>0.19074421513445905</v>
      </c>
      <c r="I22" s="7">
        <f t="shared" si="21"/>
        <v>0.16090474439132033</v>
      </c>
      <c r="J22" s="7">
        <f t="shared" si="21"/>
        <v>0.15042932628797887</v>
      </c>
      <c r="K22" s="7">
        <f t="shared" ref="K22:L22" si="22">+K10/K3</f>
        <v>0.15070154165944916</v>
      </c>
      <c r="L22" s="7">
        <f t="shared" si="22"/>
        <v>0.15811417575368827</v>
      </c>
      <c r="M22" s="7">
        <f t="shared" ref="M22" si="23">+M10/M3</f>
        <v>0.17879277822689302</v>
      </c>
      <c r="N22" s="7">
        <f t="shared" ref="N22:O22" si="24">+N10/N3</f>
        <v>0.11566352429296592</v>
      </c>
      <c r="O22" s="7">
        <f t="shared" si="24"/>
        <v>0.12150383764797711</v>
      </c>
      <c r="P22" s="7">
        <f>+P10/P3</f>
        <v>0.12038165490699165</v>
      </c>
      <c r="Q22" s="7">
        <f t="shared" ref="P22:S22" si="25">+Q10/Q3</f>
        <v>0.11805874427378066</v>
      </c>
      <c r="R22" s="7">
        <f t="shared" si="25"/>
        <v>0.10580901399784649</v>
      </c>
      <c r="S22" s="7">
        <f t="shared" si="25"/>
        <v>0.10954520624067819</v>
      </c>
      <c r="U22" s="7">
        <f t="shared" ref="U22:V22" si="26">+U10/U3</f>
        <v>0.14210031615825003</v>
      </c>
      <c r="V22" s="7">
        <f t="shared" si="26"/>
        <v>0.16557032890132961</v>
      </c>
      <c r="W22" s="7">
        <f>+W10/W3</f>
        <v>0.14943151055766107</v>
      </c>
      <c r="X22" s="7">
        <f>+X10/X3</f>
        <v>0.11557505083954021</v>
      </c>
    </row>
    <row r="23" spans="2:99" x14ac:dyDescent="0.2">
      <c r="B23" s="1" t="s">
        <v>59</v>
      </c>
      <c r="F23" s="7">
        <f>+ABS(F14)/F13</f>
        <v>0.10839694656488549</v>
      </c>
      <c r="G23" s="7">
        <f>+ABS(G14)/G13</f>
        <v>9.8039215686274508E-2</v>
      </c>
      <c r="H23" s="7">
        <f>+ABS(H14)/H13</f>
        <v>4.9180327868852458E-2</v>
      </c>
      <c r="I23" s="7">
        <f>+ABS(I14)/I13</f>
        <v>7.8160919540229884E-2</v>
      </c>
      <c r="J23" s="7">
        <f>+ABS(J14)/J13</f>
        <v>0.12088888888888889</v>
      </c>
      <c r="K23" s="7">
        <f t="shared" ref="K23:L23" si="27">+ABS(K14)/K13</f>
        <v>6.0642092746730082E-2</v>
      </c>
      <c r="L23" s="7">
        <f t="shared" si="27"/>
        <v>7.5590551181102361E-2</v>
      </c>
      <c r="M23" s="7">
        <f>+ABS(M14)/M13</f>
        <v>3.5991140642303431E-2</v>
      </c>
      <c r="N23" s="7">
        <f>+ABS(N14)/N13</f>
        <v>7.833787465940055E-2</v>
      </c>
      <c r="O23" s="7">
        <f>+ABS(O14)/O13</f>
        <v>8.6870289567631889E-2</v>
      </c>
      <c r="P23" s="7">
        <f t="shared" ref="P23:S23" si="28">+ABS(P14)/P13</f>
        <v>0.08</v>
      </c>
      <c r="Q23" s="7">
        <f t="shared" si="28"/>
        <v>0.08</v>
      </c>
      <c r="R23" s="7">
        <f t="shared" si="28"/>
        <v>0.08</v>
      </c>
      <c r="S23" s="7">
        <f t="shared" si="28"/>
        <v>0.08</v>
      </c>
      <c r="U23" s="7">
        <f>+ABS(U14)/U13</f>
        <v>9.8325766174801363E-2</v>
      </c>
      <c r="V23" s="7">
        <f>+ABS(V14)/V13</f>
        <v>9.3865236339255781E-2</v>
      </c>
      <c r="W23" s="7">
        <f>+ABS(W14)/W13</f>
        <v>6.3364425860405277E-2</v>
      </c>
      <c r="X23" s="7">
        <f>+ABS(X14)/X13</f>
        <v>4.6004265990416994E-2</v>
      </c>
    </row>
    <row r="25" spans="2:99" x14ac:dyDescent="0.2">
      <c r="B25" s="1" t="s">
        <v>40</v>
      </c>
      <c r="J25" s="7">
        <f>+J3/F3-1</f>
        <v>0.24353182751540037</v>
      </c>
      <c r="K25" s="7">
        <f>+K3/G3-1</f>
        <v>0.12227838258164847</v>
      </c>
      <c r="L25" s="7">
        <f>+L3/H3-1</f>
        <v>0.29997915363769012</v>
      </c>
      <c r="M25" s="7">
        <f>+M3/I3-1</f>
        <v>0.36484001471129091</v>
      </c>
      <c r="N25" s="7">
        <f>+N3/J3-1</f>
        <v>0.3662483487450463</v>
      </c>
      <c r="O25" s="7">
        <f>+O3/K3-1</f>
        <v>0.33154339165078817</v>
      </c>
      <c r="P25" s="7">
        <f>+P3/L3-1</f>
        <v>0.30000000000000004</v>
      </c>
      <c r="Q25" s="7">
        <f>+Q3/M3-1</f>
        <v>0.19999999999999996</v>
      </c>
      <c r="R25" s="7">
        <f>+R3/N3-1</f>
        <v>0.32000000000000006</v>
      </c>
      <c r="S25" s="7">
        <f>+S3/O3-1</f>
        <v>0.29000000000000004</v>
      </c>
      <c r="V25" s="7">
        <f>+V3/U3-1</f>
        <v>-8.4209177134068169E-2</v>
      </c>
      <c r="W25" s="7">
        <f>+W3/V3-1</f>
        <v>0.29251224632610207</v>
      </c>
      <c r="X25" s="7">
        <f>+X3/W3-1</f>
        <v>0.2857563616675689</v>
      </c>
    </row>
    <row r="26" spans="2:99" x14ac:dyDescent="0.2">
      <c r="B26" s="1" t="s">
        <v>69</v>
      </c>
      <c r="J26" s="7">
        <f t="shared" ref="J26:N26" si="29">+J6/F6-1</f>
        <v>1.1235955056179803E-2</v>
      </c>
      <c r="K26" s="7">
        <f t="shared" si="29"/>
        <v>1.0937500000000044E-2</v>
      </c>
      <c r="L26" s="7">
        <f t="shared" si="29"/>
        <v>-5.8737151248164476E-2</v>
      </c>
      <c r="M26" s="7">
        <f t="shared" si="29"/>
        <v>3.2357473035439233E-2</v>
      </c>
      <c r="N26" s="7">
        <f t="shared" si="29"/>
        <v>0.11904761904761907</v>
      </c>
      <c r="O26" s="7">
        <f>+O6/K6-1</f>
        <v>0.10046367851622873</v>
      </c>
      <c r="P26" s="7">
        <f>+P6/L6-1</f>
        <v>6.633385335413422E-2</v>
      </c>
      <c r="Q26" s="7">
        <f t="shared" ref="P26:S26" si="30">+Q6/M6-1</f>
        <v>0.14260059701492533</v>
      </c>
      <c r="R26" s="7">
        <f>+R6/N6-1</f>
        <v>0.17274580425531938</v>
      </c>
      <c r="S26" s="7">
        <f t="shared" si="30"/>
        <v>9.1543040000000131E-2</v>
      </c>
    </row>
    <row r="27" spans="2:99" x14ac:dyDescent="0.2">
      <c r="B27" s="1" t="s">
        <v>70</v>
      </c>
      <c r="J27" s="7">
        <f t="shared" ref="J27" si="31">+J7/F7-1</f>
        <v>8.9622641509433887E-2</v>
      </c>
      <c r="K27" s="7">
        <f t="shared" ref="K27" si="32">+K7/G7-1</f>
        <v>1.4218009478673022E-2</v>
      </c>
      <c r="L27" s="7">
        <f t="shared" ref="L27" si="33">+L7/H7-1</f>
        <v>-4.035874439461884E-2</v>
      </c>
      <c r="M27" s="7">
        <f t="shared" ref="M27" si="34">+M7/I7-1</f>
        <v>6.4814814814814881E-2</v>
      </c>
      <c r="N27" s="7">
        <f t="shared" ref="N27" si="35">+N7/J7-1</f>
        <v>2.1645021645021689E-2</v>
      </c>
      <c r="O27" s="7">
        <f>+O7/K7-1</f>
        <v>0.21028037383177578</v>
      </c>
      <c r="P27" s="7">
        <f t="shared" ref="P27" si="36">+P7/L7-1</f>
        <v>0.16186915887850462</v>
      </c>
      <c r="Q27" s="7">
        <f t="shared" ref="Q27" si="37">+Q7/M7-1</f>
        <v>0.24319999999999986</v>
      </c>
      <c r="R27" s="7">
        <f t="shared" ref="R27" si="38">+R7/N7-1</f>
        <v>0.39333220338983033</v>
      </c>
      <c r="S27" s="7">
        <f t="shared" ref="S27" si="39">+S7/O7-1</f>
        <v>0.19342400000000004</v>
      </c>
      <c r="T27" s="7"/>
    </row>
    <row r="28" spans="2:99" x14ac:dyDescent="0.2">
      <c r="T28" s="7"/>
    </row>
    <row r="29" spans="2:99" x14ac:dyDescent="0.2">
      <c r="B29" s="1" t="s">
        <v>60</v>
      </c>
      <c r="L29" s="8">
        <f>+L15/L30</f>
        <v>8.5151676423629585E-3</v>
      </c>
      <c r="M29" s="8">
        <f>+M15/M30</f>
        <v>-1.9782393669634025E-3</v>
      </c>
      <c r="N29" s="8">
        <f>+N15/N30</f>
        <v>4.1469194312796212E-3</v>
      </c>
      <c r="O29" s="8">
        <f>+O15/O30</f>
        <v>9.1428571428571427E-4</v>
      </c>
    </row>
    <row r="30" spans="2:99" s="4" customFormat="1" ht="15" x14ac:dyDescent="0.25">
      <c r="B30" s="4" t="s">
        <v>56</v>
      </c>
      <c r="L30" s="5">
        <f>+L31-L44</f>
        <v>1879</v>
      </c>
      <c r="M30" s="5">
        <f>+M31-M44</f>
        <v>3033</v>
      </c>
      <c r="N30" s="5">
        <f>+N31-N44</f>
        <v>3376</v>
      </c>
      <c r="O30" s="5">
        <f>+O31-O44</f>
        <v>4375</v>
      </c>
      <c r="S30" s="4" t="s">
        <v>61</v>
      </c>
      <c r="T30" s="9">
        <v>0.01</v>
      </c>
      <c r="W30" s="5">
        <f>+W31-W44</f>
        <v>3376</v>
      </c>
    </row>
    <row r="31" spans="2:99" x14ac:dyDescent="0.2">
      <c r="B31" s="1" t="s">
        <v>3</v>
      </c>
      <c r="L31" s="2">
        <f>6507+677+1316</f>
        <v>8500</v>
      </c>
      <c r="M31" s="2">
        <f>7759+590+1399</f>
        <v>9748</v>
      </c>
      <c r="N31" s="2">
        <f>7763+870+1765</f>
        <v>10398</v>
      </c>
      <c r="O31" s="2">
        <f>8680+900+1817</f>
        <v>11397</v>
      </c>
      <c r="S31" s="1" t="s">
        <v>62</v>
      </c>
      <c r="T31" s="7">
        <v>-0.02</v>
      </c>
      <c r="W31" s="2">
        <f>7763+870+1765</f>
        <v>10398</v>
      </c>
    </row>
    <row r="32" spans="2:99" x14ac:dyDescent="0.2">
      <c r="B32" s="1" t="s">
        <v>41</v>
      </c>
      <c r="L32" s="2">
        <v>3353</v>
      </c>
      <c r="M32" s="2">
        <v>4231</v>
      </c>
      <c r="N32" s="2">
        <v>5311</v>
      </c>
      <c r="O32" s="2">
        <v>5250</v>
      </c>
      <c r="S32" s="1" t="s">
        <v>63</v>
      </c>
      <c r="T32" s="8">
        <v>3.6999999999999998E-2</v>
      </c>
      <c r="W32" s="2">
        <v>5311</v>
      </c>
    </row>
    <row r="33" spans="2:23" x14ac:dyDescent="0.2">
      <c r="B33" s="1" t="s">
        <v>42</v>
      </c>
      <c r="L33" s="2">
        <v>4743</v>
      </c>
      <c r="M33" s="2">
        <v>4537</v>
      </c>
      <c r="N33" s="2">
        <v>4487</v>
      </c>
      <c r="O33" s="2">
        <v>4827</v>
      </c>
      <c r="S33" s="1" t="s">
        <v>64</v>
      </c>
      <c r="T33" s="10">
        <f>+NPV(T32,X17:CU17)</f>
        <v>273686.11481545807</v>
      </c>
      <c r="W33" s="2">
        <v>4487</v>
      </c>
    </row>
    <row r="34" spans="2:23" x14ac:dyDescent="0.2">
      <c r="B34" s="1" t="s">
        <v>43</v>
      </c>
      <c r="L34" s="2">
        <v>1461</v>
      </c>
      <c r="M34" s="2">
        <v>966</v>
      </c>
      <c r="N34" s="2">
        <v>974</v>
      </c>
      <c r="O34" s="2">
        <v>13</v>
      </c>
      <c r="S34" s="1" t="s">
        <v>3</v>
      </c>
      <c r="T34" s="6">
        <f>+T33+Model!O30</f>
        <v>278061.11481545807</v>
      </c>
      <c r="W34" s="2">
        <v>974</v>
      </c>
    </row>
    <row r="35" spans="2:23" x14ac:dyDescent="0.2">
      <c r="B35" s="1" t="s">
        <v>44</v>
      </c>
      <c r="L35" s="2">
        <v>538</v>
      </c>
      <c r="M35" s="2">
        <v>478</v>
      </c>
      <c r="N35" s="2">
        <v>502</v>
      </c>
      <c r="O35" s="2">
        <v>521</v>
      </c>
      <c r="S35" s="1" t="s">
        <v>65</v>
      </c>
      <c r="T35" s="1">
        <f>+T34/Main!N4</f>
        <v>248.57446594201807</v>
      </c>
      <c r="W35" s="2">
        <v>502</v>
      </c>
    </row>
    <row r="36" spans="2:23" x14ac:dyDescent="0.2">
      <c r="B36" s="1" t="s">
        <v>45</v>
      </c>
      <c r="L36" s="2">
        <v>31848</v>
      </c>
      <c r="M36" s="2">
        <v>32209</v>
      </c>
      <c r="N36" s="2">
        <v>33213</v>
      </c>
      <c r="O36" s="2">
        <v>35155</v>
      </c>
      <c r="S36" s="1" t="s">
        <v>66</v>
      </c>
      <c r="T36" s="1">
        <v>93.89</v>
      </c>
      <c r="W36" s="2">
        <v>33213</v>
      </c>
    </row>
    <row r="37" spans="2:23" x14ac:dyDescent="0.2">
      <c r="B37" s="1" t="s">
        <v>46</v>
      </c>
      <c r="L37" s="2">
        <v>575</v>
      </c>
      <c r="M37" s="2">
        <v>558</v>
      </c>
      <c r="N37" s="2">
        <v>551</v>
      </c>
      <c r="O37" s="2">
        <v>574</v>
      </c>
      <c r="S37" s="1" t="s">
        <v>67</v>
      </c>
      <c r="T37" s="7">
        <f>+T35/T36-1</f>
        <v>1.6475073590586651</v>
      </c>
      <c r="W37" s="2">
        <v>551</v>
      </c>
    </row>
    <row r="38" spans="2:23" x14ac:dyDescent="0.2">
      <c r="B38" s="1" t="s">
        <v>47</v>
      </c>
      <c r="L38" s="2">
        <f>342+1228</f>
        <v>1570</v>
      </c>
      <c r="M38" s="2">
        <f>350+1228</f>
        <v>1578</v>
      </c>
      <c r="N38" s="2">
        <f>349+1228</f>
        <v>1577</v>
      </c>
      <c r="O38" s="2">
        <f>347+1228</f>
        <v>1575</v>
      </c>
      <c r="W38" s="2">
        <f>349+1228</f>
        <v>1577</v>
      </c>
    </row>
    <row r="39" spans="2:23" x14ac:dyDescent="0.2">
      <c r="B39" s="1" t="s">
        <v>48</v>
      </c>
      <c r="L39" s="2">
        <v>726</v>
      </c>
      <c r="M39" s="2">
        <v>822</v>
      </c>
      <c r="N39" s="2">
        <v>782</v>
      </c>
      <c r="O39" s="2">
        <v>746</v>
      </c>
      <c r="W39" s="2">
        <v>782</v>
      </c>
    </row>
    <row r="40" spans="2:23" x14ac:dyDescent="0.2">
      <c r="B40" s="1" t="s">
        <v>49</v>
      </c>
      <c r="L40" s="2">
        <v>821</v>
      </c>
      <c r="M40" s="2">
        <v>816</v>
      </c>
      <c r="N40" s="2">
        <v>1054</v>
      </c>
      <c r="O40" s="2">
        <v>1188</v>
      </c>
      <c r="W40" s="2">
        <v>1054</v>
      </c>
    </row>
    <row r="41" spans="2:23" x14ac:dyDescent="0.2">
      <c r="B41" s="1" t="s">
        <v>50</v>
      </c>
      <c r="L41" s="2">
        <f>+SUM(L31:L40)</f>
        <v>54135</v>
      </c>
      <c r="M41" s="2">
        <f>+SUM(M31:M40)</f>
        <v>55943</v>
      </c>
      <c r="N41" s="2">
        <f>+SUM(N31:N40)</f>
        <v>58849</v>
      </c>
      <c r="O41" s="2">
        <f>+SUM(O31:O40)</f>
        <v>61246</v>
      </c>
      <c r="W41" s="2">
        <f>+SUM(W31:W40)</f>
        <v>58849</v>
      </c>
    </row>
    <row r="43" spans="2:23" x14ac:dyDescent="0.2">
      <c r="B43" s="1" t="s">
        <v>51</v>
      </c>
      <c r="L43" s="2">
        <v>4550</v>
      </c>
      <c r="M43" s="2">
        <v>4427</v>
      </c>
      <c r="N43" s="2">
        <v>5470</v>
      </c>
      <c r="O43" s="2">
        <v>5470</v>
      </c>
      <c r="W43" s="2">
        <v>5470</v>
      </c>
    </row>
    <row r="44" spans="2:23" x14ac:dyDescent="0.2">
      <c r="B44" s="1" t="s">
        <v>4</v>
      </c>
      <c r="L44" s="2">
        <f>323+6298</f>
        <v>6621</v>
      </c>
      <c r="M44" s="2">
        <f>297+6418</f>
        <v>6715</v>
      </c>
      <c r="N44" s="2">
        <f>118+6904</f>
        <v>7022</v>
      </c>
      <c r="O44" s="2">
        <f>118+6904</f>
        <v>7022</v>
      </c>
      <c r="W44" s="2">
        <f>118+6904</f>
        <v>7022</v>
      </c>
    </row>
    <row r="45" spans="2:23" x14ac:dyDescent="0.2">
      <c r="B45" s="1" t="s">
        <v>52</v>
      </c>
      <c r="L45" s="2">
        <v>560</v>
      </c>
      <c r="M45" s="2">
        <v>738</v>
      </c>
      <c r="N45" s="2">
        <v>924</v>
      </c>
      <c r="O45" s="2">
        <v>924</v>
      </c>
      <c r="W45" s="2">
        <v>924</v>
      </c>
    </row>
    <row r="46" spans="2:23" x14ac:dyDescent="0.2">
      <c r="B46" s="1" t="s">
        <v>46</v>
      </c>
      <c r="L46" s="2">
        <v>528</v>
      </c>
      <c r="M46" s="2">
        <v>513</v>
      </c>
      <c r="N46" s="2">
        <v>523</v>
      </c>
      <c r="O46" s="2">
        <v>523</v>
      </c>
      <c r="W46" s="2">
        <v>523</v>
      </c>
    </row>
    <row r="47" spans="2:23" x14ac:dyDescent="0.2">
      <c r="B47" s="1" t="s">
        <v>53</v>
      </c>
      <c r="L47" s="2">
        <v>661</v>
      </c>
      <c r="M47" s="2">
        <v>722</v>
      </c>
      <c r="N47" s="2">
        <v>767</v>
      </c>
      <c r="O47" s="2">
        <v>767</v>
      </c>
      <c r="W47" s="2">
        <v>767</v>
      </c>
    </row>
    <row r="48" spans="2:23" x14ac:dyDescent="0.2">
      <c r="B48" s="1" t="s">
        <v>54</v>
      </c>
      <c r="L48" s="2">
        <v>552</v>
      </c>
      <c r="M48" s="2">
        <v>569</v>
      </c>
      <c r="N48" s="2">
        <v>632</v>
      </c>
      <c r="O48" s="2">
        <v>632</v>
      </c>
      <c r="W48" s="2">
        <v>632</v>
      </c>
    </row>
    <row r="49" spans="2:23" x14ac:dyDescent="0.2">
      <c r="B49" s="1" t="s">
        <v>55</v>
      </c>
      <c r="L49" s="2">
        <f>+SUM(L43:L48)</f>
        <v>13472</v>
      </c>
      <c r="M49" s="2">
        <f>+SUM(M43:M48)</f>
        <v>13684</v>
      </c>
      <c r="N49" s="2">
        <f>+SUM(N43:N48)</f>
        <v>15338</v>
      </c>
      <c r="O49" s="2">
        <f>+SUM(O43:O48)</f>
        <v>15338</v>
      </c>
      <c r="W49" s="2">
        <f>+SUM(W43:W48)</f>
        <v>15338</v>
      </c>
    </row>
  </sheetData>
  <hyperlinks>
    <hyperlink ref="A1" location="Main!A1" display="Main" xr:uid="{7248FD84-A09D-49BE-B73E-A5D69D9C5E16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2021-12-29T22:34:14Z</dcterms:created>
  <dcterms:modified xsi:type="dcterms:W3CDTF">2021-12-31T01:27:20Z</dcterms:modified>
</cp:coreProperties>
</file>