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C4BB372D-1D22-4BB9-A7E0-90243A837059}" xr6:coauthVersionLast="47" xr6:coauthVersionMax="47" xr10:uidLastSave="{00000000-0000-0000-0000-000000000000}"/>
  <bookViews>
    <workbookView xWindow="11610" yWindow="1335" windowWidth="14775" windowHeight="13905" activeTab="4" xr2:uid="{5C5DEA8F-D2D5-47DE-958E-C72D85AB85D0}"/>
  </bookViews>
  <sheets>
    <sheet name="Main" sheetId="1" r:id="rId1"/>
    <sheet name="mRNA-1345" sheetId="2" r:id="rId2"/>
    <sheet name="NCT04528719" sheetId="5" r:id="rId3"/>
    <sheet name="ConquerRSV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" l="1"/>
  <c r="K13" i="1"/>
  <c r="K12" i="1"/>
  <c r="Z15" i="4"/>
  <c r="AA15" i="4" s="1"/>
  <c r="Y15" i="4"/>
  <c r="X15" i="4"/>
  <c r="W15" i="4"/>
  <c r="Z13" i="4"/>
  <c r="Y13" i="4"/>
  <c r="X13" i="4"/>
  <c r="W13" i="4"/>
  <c r="Z12" i="4"/>
  <c r="Y12" i="4"/>
  <c r="X12" i="4"/>
  <c r="W12" i="4"/>
  <c r="R10" i="4"/>
  <c r="Q10" i="4"/>
  <c r="P10" i="4"/>
  <c r="Z10" i="4" s="1"/>
  <c r="Z19" i="4" s="1"/>
  <c r="O10" i="4"/>
  <c r="O11" i="4" s="1"/>
  <c r="N10" i="4"/>
  <c r="M10" i="4"/>
  <c r="L10" i="4"/>
  <c r="K10" i="4"/>
  <c r="J10" i="4"/>
  <c r="I10" i="4"/>
  <c r="H10" i="4"/>
  <c r="X10" i="4" s="1"/>
  <c r="G10" i="4"/>
  <c r="G11" i="4" s="1"/>
  <c r="F10" i="4"/>
  <c r="E10" i="4"/>
  <c r="D10" i="4"/>
  <c r="Z9" i="4"/>
  <c r="Y9" i="4"/>
  <c r="X9" i="4"/>
  <c r="W9" i="4"/>
  <c r="Z8" i="4"/>
  <c r="Y8" i="4"/>
  <c r="X8" i="4"/>
  <c r="W8" i="4"/>
  <c r="Z7" i="4"/>
  <c r="Y7" i="4"/>
  <c r="X7" i="4"/>
  <c r="W7" i="4"/>
  <c r="R6" i="4"/>
  <c r="Q6" i="4"/>
  <c r="Q11" i="4" s="1"/>
  <c r="P6" i="4"/>
  <c r="O6" i="4"/>
  <c r="O24" i="4" s="1"/>
  <c r="N6" i="4"/>
  <c r="M6" i="4"/>
  <c r="L6" i="4"/>
  <c r="Y6" i="4" s="1"/>
  <c r="K6" i="4"/>
  <c r="K24" i="4" s="1"/>
  <c r="I6" i="4"/>
  <c r="I11" i="4" s="1"/>
  <c r="H6" i="4"/>
  <c r="H11" i="4" s="1"/>
  <c r="G6" i="4"/>
  <c r="Z5" i="4"/>
  <c r="Y5" i="4"/>
  <c r="J5" i="4"/>
  <c r="J6" i="4" s="1"/>
  <c r="I5" i="4"/>
  <c r="H5" i="4"/>
  <c r="X5" i="4" s="1"/>
  <c r="F5" i="4"/>
  <c r="F6" i="4" s="1"/>
  <c r="E5" i="4"/>
  <c r="E6" i="4" s="1"/>
  <c r="E11" i="4" s="1"/>
  <c r="D5" i="4"/>
  <c r="Z4" i="4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Y4" i="4"/>
  <c r="X4" i="4"/>
  <c r="W4" i="4"/>
  <c r="Z3" i="4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Y3" i="4"/>
  <c r="X3" i="4"/>
  <c r="W3" i="4"/>
  <c r="AA2" i="4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F11" i="4" l="1"/>
  <c r="R24" i="4"/>
  <c r="X20" i="4"/>
  <c r="X19" i="4"/>
  <c r="M24" i="4"/>
  <c r="H24" i="4"/>
  <c r="Y20" i="4"/>
  <c r="N11" i="4"/>
  <c r="N14" i="4" s="1"/>
  <c r="N16" i="4" s="1"/>
  <c r="N24" i="4"/>
  <c r="R11" i="4"/>
  <c r="R20" i="4" s="1"/>
  <c r="W5" i="4"/>
  <c r="W20" i="4" s="1"/>
  <c r="P11" i="4"/>
  <c r="W10" i="4"/>
  <c r="Y10" i="4"/>
  <c r="Y19" i="4" s="1"/>
  <c r="P24" i="4"/>
  <c r="H20" i="4"/>
  <c r="H14" i="4"/>
  <c r="I20" i="4"/>
  <c r="I14" i="4"/>
  <c r="I16" i="4" s="1"/>
  <c r="G14" i="4"/>
  <c r="G16" i="4" s="1"/>
  <c r="G20" i="4"/>
  <c r="J11" i="4"/>
  <c r="X6" i="4"/>
  <c r="Y24" i="4" s="1"/>
  <c r="J24" i="4"/>
  <c r="Q14" i="4"/>
  <c r="Q16" i="4" s="1"/>
  <c r="Q20" i="4"/>
  <c r="F14" i="4"/>
  <c r="F16" i="4" s="1"/>
  <c r="F20" i="4"/>
  <c r="E14" i="4"/>
  <c r="E16" i="4" s="1"/>
  <c r="E20" i="4"/>
  <c r="O14" i="4"/>
  <c r="O16" i="4" s="1"/>
  <c r="O20" i="4"/>
  <c r="P20" i="4"/>
  <c r="P14" i="4"/>
  <c r="Z11" i="4"/>
  <c r="W19" i="4"/>
  <c r="K11" i="4"/>
  <c r="Z6" i="4"/>
  <c r="M11" i="4"/>
  <c r="R14" i="4"/>
  <c r="R16" i="4" s="1"/>
  <c r="I24" i="4"/>
  <c r="Q24" i="4"/>
  <c r="D6" i="4"/>
  <c r="L11" i="4"/>
  <c r="L24" i="4"/>
  <c r="N20" i="4" l="1"/>
  <c r="W6" i="4"/>
  <c r="D11" i="4"/>
  <c r="I21" i="4"/>
  <c r="I18" i="4"/>
  <c r="N21" i="4"/>
  <c r="N18" i="4"/>
  <c r="F18" i="4"/>
  <c r="F21" i="4"/>
  <c r="M14" i="4"/>
  <c r="M16" i="4" s="1"/>
  <c r="M20" i="4"/>
  <c r="H16" i="4"/>
  <c r="X14" i="4"/>
  <c r="Z14" i="4"/>
  <c r="AA14" i="4" s="1"/>
  <c r="P16" i="4"/>
  <c r="R18" i="4"/>
  <c r="R21" i="4"/>
  <c r="Q21" i="4"/>
  <c r="Q18" i="4"/>
  <c r="X24" i="4"/>
  <c r="G21" i="4"/>
  <c r="G18" i="4"/>
  <c r="O21" i="4"/>
  <c r="O18" i="4"/>
  <c r="Z24" i="4"/>
  <c r="AA6" i="4"/>
  <c r="K14" i="4"/>
  <c r="K16" i="4" s="1"/>
  <c r="K20" i="4"/>
  <c r="E18" i="4"/>
  <c r="E21" i="4"/>
  <c r="L14" i="4"/>
  <c r="Y11" i="4"/>
  <c r="L20" i="4"/>
  <c r="J20" i="4"/>
  <c r="J14" i="4"/>
  <c r="J16" i="4" s="1"/>
  <c r="X11" i="4"/>
  <c r="L16" i="4" l="1"/>
  <c r="Y14" i="4"/>
  <c r="H21" i="4"/>
  <c r="X16" i="4"/>
  <c r="H18" i="4"/>
  <c r="J18" i="4"/>
  <c r="J21" i="4"/>
  <c r="D14" i="4"/>
  <c r="W11" i="4"/>
  <c r="D20" i="4"/>
  <c r="Z16" i="4"/>
  <c r="P21" i="4"/>
  <c r="P18" i="4"/>
  <c r="K18" i="4"/>
  <c r="K21" i="4"/>
  <c r="AB6" i="4"/>
  <c r="AA24" i="4"/>
  <c r="AA5" i="4"/>
  <c r="AA19" i="4" s="1"/>
  <c r="M18" i="4"/>
  <c r="M21" i="4"/>
  <c r="AC6" i="4" l="1"/>
  <c r="AB5" i="4"/>
  <c r="AB19" i="4" s="1"/>
  <c r="AB24" i="4"/>
  <c r="D16" i="4"/>
  <c r="W14" i="4"/>
  <c r="AA16" i="4"/>
  <c r="Z20" i="4"/>
  <c r="Y16" i="4"/>
  <c r="L21" i="4"/>
  <c r="L18" i="4"/>
  <c r="AA20" i="4" l="1"/>
  <c r="AB16" i="4"/>
  <c r="D18" i="4"/>
  <c r="W16" i="4"/>
  <c r="D21" i="4"/>
  <c r="AD6" i="4"/>
  <c r="AC5" i="4"/>
  <c r="AC19" i="4" s="1"/>
  <c r="AC24" i="4"/>
  <c r="AD5" i="4" l="1"/>
  <c r="AD19" i="4" s="1"/>
  <c r="AE6" i="4"/>
  <c r="AD24" i="4"/>
  <c r="AB20" i="4"/>
  <c r="AC16" i="4"/>
  <c r="AC20" i="4" l="1"/>
  <c r="AD16" i="4"/>
  <c r="AE5" i="4"/>
  <c r="AE19" i="4" s="1"/>
  <c r="AE24" i="4"/>
  <c r="AF6" i="4"/>
  <c r="AF5" i="4" l="1"/>
  <c r="AF19" i="4" s="1"/>
  <c r="AF24" i="4"/>
  <c r="AG6" i="4"/>
  <c r="AD20" i="4"/>
  <c r="AE16" i="4"/>
  <c r="AG5" i="4" l="1"/>
  <c r="AG19" i="4" s="1"/>
  <c r="AG24" i="4"/>
  <c r="AH6" i="4"/>
  <c r="AF16" i="4"/>
  <c r="AE20" i="4"/>
  <c r="AH24" i="4" l="1"/>
  <c r="AI6" i="4"/>
  <c r="AH5" i="4"/>
  <c r="AH19" i="4" s="1"/>
  <c r="AG16" i="4"/>
  <c r="AF20" i="4"/>
  <c r="AH16" i="4" l="1"/>
  <c r="AG20" i="4"/>
  <c r="AJ6" i="4"/>
  <c r="AI5" i="4"/>
  <c r="AI19" i="4" s="1"/>
  <c r="AI24" i="4"/>
  <c r="AK6" i="4" l="1"/>
  <c r="AJ24" i="4"/>
  <c r="AJ5" i="4"/>
  <c r="AJ19" i="4" s="1"/>
  <c r="AI16" i="4"/>
  <c r="AH20" i="4"/>
  <c r="AI20" i="4" l="1"/>
  <c r="AJ16" i="4"/>
  <c r="AL6" i="4"/>
  <c r="AK5" i="4"/>
  <c r="AK19" i="4" s="1"/>
  <c r="AK24" i="4"/>
  <c r="AJ20" i="4" l="1"/>
  <c r="AK16" i="4"/>
  <c r="AL5" i="4"/>
  <c r="AL19" i="4" s="1"/>
  <c r="AL24" i="4"/>
  <c r="AM6" i="4"/>
  <c r="AM5" i="4" l="1"/>
  <c r="AM19" i="4" s="1"/>
  <c r="AN6" i="4"/>
  <c r="AM24" i="4"/>
  <c r="AK20" i="4"/>
  <c r="AL16" i="4"/>
  <c r="AL20" i="4" l="1"/>
  <c r="AM16" i="4"/>
  <c r="AN5" i="4"/>
  <c r="AN19" i="4" s="1"/>
  <c r="AN24" i="4"/>
  <c r="AO6" i="4"/>
  <c r="AO5" i="4" s="1"/>
  <c r="AN16" i="4" l="1"/>
  <c r="AM20" i="4"/>
  <c r="AO16" i="4" l="1"/>
  <c r="AP16" i="4" s="1"/>
  <c r="AQ16" i="4" s="1"/>
  <c r="AR16" i="4" s="1"/>
  <c r="AS16" i="4" s="1"/>
  <c r="AT16" i="4" s="1"/>
  <c r="AU16" i="4" s="1"/>
  <c r="AV16" i="4" s="1"/>
  <c r="AW16" i="4" s="1"/>
  <c r="AX16" i="4" s="1"/>
  <c r="AY16" i="4" s="1"/>
  <c r="AZ16" i="4" s="1"/>
  <c r="BA16" i="4" s="1"/>
  <c r="BB16" i="4" s="1"/>
  <c r="BC16" i="4" s="1"/>
  <c r="BD16" i="4" s="1"/>
  <c r="BE16" i="4" s="1"/>
  <c r="BF16" i="4" s="1"/>
  <c r="BG16" i="4" s="1"/>
  <c r="BH16" i="4" s="1"/>
  <c r="BI16" i="4" s="1"/>
  <c r="BJ16" i="4" s="1"/>
  <c r="BK16" i="4" s="1"/>
  <c r="BL16" i="4" s="1"/>
  <c r="BM16" i="4" s="1"/>
  <c r="BN16" i="4" s="1"/>
  <c r="BO16" i="4" s="1"/>
  <c r="BP16" i="4" s="1"/>
  <c r="BQ16" i="4" s="1"/>
  <c r="BR16" i="4" s="1"/>
  <c r="BS16" i="4" s="1"/>
  <c r="BT16" i="4" s="1"/>
  <c r="AN20" i="4"/>
  <c r="BU16" i="4" l="1"/>
  <c r="AQ22" i="4"/>
  <c r="AQ24" i="4" s="1"/>
  <c r="AQ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E5" authorId="0" shapeId="0" xr:uid="{8B25736B-484D-418C-9233-A9F331CC2C9F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counteract the impact of immune checkpoints Indoleamine 2,3 -dioxygenase (IDO) and programmed death-ligand 1</t>
        </r>
      </text>
    </comment>
    <comment ref="E10" authorId="0" shapeId="0" xr:uid="{FD6913AF-C843-42BD-BEF4-E83204A77CC8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Respiratory syncytial virus
</t>
        </r>
      </text>
    </comment>
    <comment ref="E11" authorId="0" shapeId="0" xr:uid="{F35D06AE-D40D-4825-833B-29EFEE438792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boosted hemagglutination inhibition - hemagglutination inhibition (HI) assay is used to titrate the antibody response to a viral infection.</t>
        </r>
      </text>
    </comment>
  </commentList>
</comments>
</file>

<file path=xl/sharedStrings.xml><?xml version="1.0" encoding="utf-8"?>
<sst xmlns="http://schemas.openxmlformats.org/spreadsheetml/2006/main" count="121" uniqueCount="105">
  <si>
    <t>Price</t>
  </si>
  <si>
    <t>Shares</t>
  </si>
  <si>
    <t>MC</t>
  </si>
  <si>
    <t>Cash</t>
  </si>
  <si>
    <t>Debt</t>
  </si>
  <si>
    <t>EV</t>
  </si>
  <si>
    <t>Brand</t>
  </si>
  <si>
    <t>Generics</t>
  </si>
  <si>
    <t>Indication</t>
  </si>
  <si>
    <t>Economics</t>
  </si>
  <si>
    <t>mRNA-1345</t>
  </si>
  <si>
    <t>RSV</t>
  </si>
  <si>
    <t>mRNA</t>
  </si>
  <si>
    <t>Generic</t>
  </si>
  <si>
    <t>Clinical Trial</t>
  </si>
  <si>
    <t>NCT05127434</t>
  </si>
  <si>
    <t>Phase III "ConquerRSV" respiratory syncytial virus - n = 34,000</t>
  </si>
  <si>
    <t>Main</t>
  </si>
  <si>
    <t>demonstrate the efficiacy of a single dose of mRNA-1345 vaccine in the prevention of a first episode of RSV-associated lower respiratory trace disease</t>
  </si>
  <si>
    <t>Mechanism</t>
  </si>
  <si>
    <t>prefusion F glycoprotein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</si>
  <si>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</si>
  <si>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</si>
  <si>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</si>
  <si>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</si>
  <si>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</si>
  <si>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</si>
  <si>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</si>
  <si>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</si>
  <si>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</si>
  <si>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</si>
  <si>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</si>
  <si>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</si>
  <si>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</si>
  <si>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</si>
  <si>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</si>
  <si>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</si>
  <si>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Product Sales</t>
  </si>
  <si>
    <t>Grants</t>
  </si>
  <si>
    <t>Collaboration</t>
  </si>
  <si>
    <t>Revenue</t>
  </si>
  <si>
    <t>COGS</t>
  </si>
  <si>
    <t>R&amp;D</t>
  </si>
  <si>
    <t>G&amp;A</t>
  </si>
  <si>
    <t>Operating Expense</t>
  </si>
  <si>
    <t>Operating Income</t>
  </si>
  <si>
    <t>Interest</t>
  </si>
  <si>
    <t>Other Expenses</t>
  </si>
  <si>
    <t>Pretax Income</t>
  </si>
  <si>
    <t>Taxes</t>
  </si>
  <si>
    <t>Net Income</t>
  </si>
  <si>
    <t>S/O</t>
  </si>
  <si>
    <t>EPS</t>
  </si>
  <si>
    <t>Gross Margin</t>
  </si>
  <si>
    <t>maturity</t>
  </si>
  <si>
    <t>Income Margin</t>
  </si>
  <si>
    <t>discount</t>
  </si>
  <si>
    <t>npv</t>
  </si>
  <si>
    <t>netcash</t>
  </si>
  <si>
    <t>Revenue Y/Y</t>
  </si>
  <si>
    <t>value</t>
  </si>
  <si>
    <t>s/o</t>
  </si>
  <si>
    <t>per share</t>
  </si>
  <si>
    <t>respiratory</t>
  </si>
  <si>
    <t>NCT</t>
  </si>
  <si>
    <t>Trial</t>
  </si>
  <si>
    <t>ConquerRSV</t>
  </si>
  <si>
    <t>n</t>
  </si>
  <si>
    <t>Phase</t>
  </si>
  <si>
    <t>II &amp; III</t>
  </si>
  <si>
    <t>Inclusion Criteria</t>
  </si>
  <si>
    <t>CT First Record</t>
  </si>
  <si>
    <t>&gt;= 60 Years old, responsible for self-care and day-to-day living</t>
  </si>
  <si>
    <t>Body mass index from ≥18 kilograms (kg)/square meter (m^2) to ≤35 kg/m^2.</t>
  </si>
  <si>
    <t>mRNA-1010</t>
  </si>
  <si>
    <t>HAI</t>
  </si>
  <si>
    <t>I</t>
  </si>
  <si>
    <t>II</t>
  </si>
  <si>
    <t>mRNA-4359</t>
  </si>
  <si>
    <t>mRNA-1189</t>
  </si>
  <si>
    <t>EBV</t>
  </si>
  <si>
    <t>mRNA-1647</t>
  </si>
  <si>
    <t>CMV</t>
  </si>
  <si>
    <t>Lung Cancer</t>
  </si>
  <si>
    <t>Sites</t>
  </si>
  <si>
    <t>70. All US Based</t>
  </si>
  <si>
    <t>Intervention</t>
  </si>
  <si>
    <t>mRNA-1345 sterile liquid for injection, single.</t>
  </si>
  <si>
    <t>Placebo, single.</t>
  </si>
  <si>
    <t>Primary Endpoint</t>
  </si>
  <si>
    <t>Adverse Reactions from vaccine @ day 7</t>
  </si>
  <si>
    <t>Another check for adverse reactions @ day 28</t>
  </si>
  <si>
    <t>ANOTHER check for adverse reactions @ month 24</t>
  </si>
  <si>
    <t>Vaccine Efficacy of mRNA-1346 to prevent RSV @ day 14 - month 12</t>
  </si>
  <si>
    <t>Secondary Endpoints</t>
  </si>
  <si>
    <t>Phase I " " respiratory syncytial virus - n = 651</t>
  </si>
  <si>
    <t>Major population testing w/ RSV</t>
  </si>
  <si>
    <t>NCT04528719</t>
  </si>
  <si>
    <t>CT First Posted</t>
  </si>
  <si>
    <t>Healthy young adults greater than 18 and less than 49</t>
  </si>
  <si>
    <t>women of child-bearing potential greater than 18and less than 40</t>
  </si>
  <si>
    <t>healthy older adults greater than 65 less than 80</t>
  </si>
  <si>
    <t>japanese older adults greater than 60</t>
  </si>
  <si>
    <t>children less than 12, greaer than 60 months of age.</t>
  </si>
  <si>
    <t>Body mass index from 18 kilogreans to 35 kilograms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</si>
</sst>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1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 applyBorder="1"/>
    <xf numFmtId="16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3" fontId="1" fillId="0" borderId="0" xfId="0" applyNumberFormat="1" applyFont="1"/>
    <xf numFmtId="1" fontId="0" fillId="0" borderId="0" xfId="0" applyNumberFormat="1" applyFont="1"/>
    <xf numFmtId="4" fontId="0" fillId="0" borderId="0" xfId="0" applyNumberFormat="1" applyFont="1"/>
    <xf numFmtId="9" fontId="0" fillId="0" borderId="0" xfId="0" applyNumberFormat="1" applyFont="1"/>
    <xf numFmtId="3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26</xdr:col>
      <xdr:colOff>0</xdr:colOff>
      <xdr:row>32</xdr:row>
      <xdr:rowOff>82826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9E52331-B961-457B-8A89-0DC8A1862494}"/>
            </a:ext>
          </a:extLst>
        </xdr:cNvPr>
        <xdr:cNvCxnSpPr/>
      </xdr:nvCxnSpPr>
      <xdr:spPr>
        <a:xfrm>
          <a:off x="16621125" y="24848"/>
          <a:ext cx="0" cy="6334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0</xdr:colOff>
      <xdr:row>32</xdr:row>
      <xdr:rowOff>82826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E4F776B-8A63-4CBA-9CEE-9C5155F0D104}"/>
            </a:ext>
          </a:extLst>
        </xdr:cNvPr>
        <xdr:cNvCxnSpPr/>
      </xdr:nvCxnSpPr>
      <xdr:spPr>
        <a:xfrm>
          <a:off x="16621125" y="24848"/>
          <a:ext cx="0" cy="6334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935-D5D1-4394-8571-DA1490892FCB}">
  <dimension ref="C3:K15"/>
  <sheetViews>
    <sheetView topLeftCell="B1" workbookViewId="0">
      <selection activeCell="L13" sqref="L13"/>
    </sheetView>
  </sheetViews>
  <sheetFormatPr defaultRowHeight="14.25" x14ac:dyDescent="0.2"/>
  <cols>
    <col min="4" max="4" width="10.875" bestFit="1" customWidth="1"/>
  </cols>
  <sheetData>
    <row r="3" spans="3:11" ht="15" thickBot="1" x14ac:dyDescent="0.25"/>
    <row r="4" spans="3:11" ht="15" thickBot="1" x14ac:dyDescent="0.25">
      <c r="C4" s="11" t="s">
        <v>6</v>
      </c>
      <c r="D4" s="12" t="s">
        <v>7</v>
      </c>
      <c r="E4" s="12" t="s">
        <v>8</v>
      </c>
      <c r="F4" s="12" t="s">
        <v>68</v>
      </c>
      <c r="G4" s="12" t="s">
        <v>9</v>
      </c>
      <c r="H4" s="13"/>
    </row>
    <row r="5" spans="3:11" x14ac:dyDescent="0.2">
      <c r="C5" s="5"/>
      <c r="D5" s="6" t="s">
        <v>78</v>
      </c>
      <c r="E5" s="6" t="s">
        <v>83</v>
      </c>
      <c r="F5" s="6"/>
      <c r="G5" s="6"/>
      <c r="H5" s="7"/>
    </row>
    <row r="6" spans="3:11" x14ac:dyDescent="0.2">
      <c r="C6" s="5"/>
      <c r="D6" s="6" t="s">
        <v>81</v>
      </c>
      <c r="E6" s="6" t="s">
        <v>82</v>
      </c>
      <c r="F6" s="6"/>
      <c r="G6" s="6"/>
      <c r="H6" s="7"/>
    </row>
    <row r="7" spans="3:11" x14ac:dyDescent="0.2">
      <c r="C7" s="5"/>
      <c r="D7" s="6" t="s">
        <v>79</v>
      </c>
      <c r="E7" s="6" t="s">
        <v>80</v>
      </c>
      <c r="F7" s="6" t="s">
        <v>76</v>
      </c>
      <c r="G7" s="6"/>
      <c r="H7" s="7"/>
    </row>
    <row r="8" spans="3:11" x14ac:dyDescent="0.2">
      <c r="C8" s="5"/>
      <c r="D8" s="6"/>
      <c r="E8" s="6"/>
      <c r="F8" s="6"/>
      <c r="G8" s="6"/>
      <c r="H8" s="7"/>
    </row>
    <row r="9" spans="3:11" x14ac:dyDescent="0.2">
      <c r="C9" s="5"/>
      <c r="D9" s="6"/>
      <c r="E9" s="6"/>
      <c r="F9" s="6"/>
      <c r="G9" s="6"/>
      <c r="H9" s="7"/>
    </row>
    <row r="10" spans="3:11" x14ac:dyDescent="0.2">
      <c r="C10" s="5" t="s">
        <v>12</v>
      </c>
      <c r="D10" s="14" t="s">
        <v>10</v>
      </c>
      <c r="E10" s="6" t="s">
        <v>11</v>
      </c>
      <c r="F10" s="6" t="s">
        <v>69</v>
      </c>
      <c r="G10" s="6"/>
      <c r="H10" s="7"/>
      <c r="J10" t="s">
        <v>0</v>
      </c>
      <c r="K10">
        <v>156.22999999999999</v>
      </c>
    </row>
    <row r="11" spans="3:11" x14ac:dyDescent="0.2">
      <c r="C11" s="8"/>
      <c r="D11" s="9" t="s">
        <v>74</v>
      </c>
      <c r="E11" s="9" t="s">
        <v>75</v>
      </c>
      <c r="F11" s="9" t="s">
        <v>77</v>
      </c>
      <c r="G11" s="9"/>
      <c r="H11" s="10"/>
      <c r="J11" t="s">
        <v>1</v>
      </c>
      <c r="K11" s="3">
        <v>405.44952699999999</v>
      </c>
    </row>
    <row r="12" spans="3:11" x14ac:dyDescent="0.2">
      <c r="J12" t="s">
        <v>2</v>
      </c>
      <c r="K12" s="3">
        <f>+K11*K10</f>
        <v>63343.379603209993</v>
      </c>
    </row>
    <row r="13" spans="3:11" x14ac:dyDescent="0.2">
      <c r="J13" t="s">
        <v>3</v>
      </c>
      <c r="K13" s="3">
        <f>5550+3356+6442+11</f>
        <v>15359</v>
      </c>
    </row>
    <row r="14" spans="3:11" x14ac:dyDescent="0.2">
      <c r="J14" t="s">
        <v>4</v>
      </c>
      <c r="K14" s="3">
        <v>1076</v>
      </c>
    </row>
    <row r="15" spans="3:11" x14ac:dyDescent="0.2">
      <c r="J15" t="s">
        <v>5</v>
      </c>
      <c r="K15" s="3">
        <f>+K12-K13+K14</f>
        <v>49060.379603209993</v>
      </c>
    </row>
  </sheetData>
  <hyperlinks>
    <hyperlink ref="D10" location="'mRNA-1345'!A1" display="mRNA-1345" xr:uid="{EFC875E0-851E-4C38-9EDA-DAE84383652C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6000-74AC-4DE5-87CA-1ECE84A62BDA}">
  <dimension ref="A1:C14"/>
  <sheetViews>
    <sheetView workbookViewId="0">
      <selection activeCell="C13" sqref="C13"/>
    </sheetView>
  </sheetViews>
  <sheetFormatPr defaultRowHeight="14.25" x14ac:dyDescent="0.2"/>
  <cols>
    <col min="1" max="1" width="4.625" bestFit="1" customWidth="1"/>
    <col min="2" max="2" width="12.625" bestFit="1" customWidth="1"/>
  </cols>
  <sheetData>
    <row r="1" spans="1:3" x14ac:dyDescent="0.2">
      <c r="A1" s="2" t="s">
        <v>17</v>
      </c>
    </row>
    <row r="2" spans="1:3" x14ac:dyDescent="0.2">
      <c r="B2" t="s">
        <v>6</v>
      </c>
      <c r="C2" t="s">
        <v>12</v>
      </c>
    </row>
    <row r="3" spans="1:3" x14ac:dyDescent="0.2">
      <c r="B3" t="s">
        <v>13</v>
      </c>
      <c r="C3" t="s">
        <v>10</v>
      </c>
    </row>
    <row r="4" spans="1:3" x14ac:dyDescent="0.2">
      <c r="B4" t="s">
        <v>8</v>
      </c>
      <c r="C4" t="s">
        <v>63</v>
      </c>
    </row>
    <row r="5" spans="1:3" x14ac:dyDescent="0.2">
      <c r="B5" t="s">
        <v>19</v>
      </c>
      <c r="C5" t="s">
        <v>20</v>
      </c>
    </row>
    <row r="6" spans="1:3" x14ac:dyDescent="0.2">
      <c r="B6" t="s">
        <v>9</v>
      </c>
    </row>
    <row r="7" spans="1:3" x14ac:dyDescent="0.2">
      <c r="B7" t="s">
        <v>14</v>
      </c>
    </row>
    <row r="9" spans="1:3" ht="15" x14ac:dyDescent="0.25">
      <c r="B9" s="2" t="s">
        <v>15</v>
      </c>
      <c r="C9" s="1" t="s">
        <v>16</v>
      </c>
    </row>
    <row r="10" spans="1:3" x14ac:dyDescent="0.2">
      <c r="C10" t="s">
        <v>18</v>
      </c>
    </row>
    <row r="13" spans="1:3" ht="15" x14ac:dyDescent="0.25">
      <c r="B13" t="s">
        <v>97</v>
      </c>
      <c r="C13" s="1" t="s">
        <v>95</v>
      </c>
    </row>
    <row r="14" spans="1:3" x14ac:dyDescent="0.2">
      <c r="C14" t="s">
        <v>96</v>
      </c>
    </row>
  </sheetData>
  <hyperlinks>
    <hyperlink ref="A1" location="Main!A1" display="Main" xr:uid="{7D334377-0977-4BF6-B3A6-C8F77C13A9EC}"/>
    <hyperlink ref="B9" location="ConquerRSV!A1" display="NCT05127434" xr:uid="{8E2DC8F8-4A3A-4846-9CF6-8D3A864281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A1AE-44AA-4DE7-ABE0-4766494EB28A}">
  <dimension ref="A1:C11"/>
  <sheetViews>
    <sheetView workbookViewId="0">
      <selection activeCell="F43" sqref="F43"/>
    </sheetView>
  </sheetViews>
  <sheetFormatPr defaultRowHeight="14.25" x14ac:dyDescent="0.2"/>
  <cols>
    <col min="1" max="1" width="4.625" bestFit="1" customWidth="1"/>
  </cols>
  <sheetData>
    <row r="1" spans="1:3" x14ac:dyDescent="0.2">
      <c r="A1" s="2" t="s">
        <v>17</v>
      </c>
    </row>
    <row r="2" spans="1:3" x14ac:dyDescent="0.2">
      <c r="B2" t="s">
        <v>64</v>
      </c>
      <c r="C2" t="s">
        <v>97</v>
      </c>
    </row>
    <row r="3" spans="1:3" x14ac:dyDescent="0.2">
      <c r="B3" t="s">
        <v>65</v>
      </c>
    </row>
    <row r="4" spans="1:3" x14ac:dyDescent="0.2">
      <c r="B4" t="s">
        <v>64</v>
      </c>
      <c r="C4">
        <v>651</v>
      </c>
    </row>
    <row r="5" spans="1:3" x14ac:dyDescent="0.2">
      <c r="B5" t="s">
        <v>98</v>
      </c>
      <c r="C5" s="15">
        <v>44070</v>
      </c>
    </row>
    <row r="6" spans="1:3" x14ac:dyDescent="0.2">
      <c r="B6" t="s">
        <v>70</v>
      </c>
      <c r="C6" t="s">
        <v>99</v>
      </c>
    </row>
    <row r="7" spans="1:3" x14ac:dyDescent="0.2">
      <c r="C7" t="s">
        <v>100</v>
      </c>
    </row>
    <row r="8" spans="1:3" x14ac:dyDescent="0.2">
      <c r="C8" t="s">
        <v>101</v>
      </c>
    </row>
    <row r="9" spans="1:3" x14ac:dyDescent="0.2">
      <c r="C9" t="s">
        <v>102</v>
      </c>
    </row>
    <row r="10" spans="1:3" x14ac:dyDescent="0.2">
      <c r="C10" t="s">
        <v>103</v>
      </c>
    </row>
    <row r="11" spans="1:3" x14ac:dyDescent="0.2">
      <c r="C11" t="s">
        <v>104</v>
      </c>
    </row>
  </sheetData>
  <hyperlinks>
    <hyperlink ref="A1" location="Main!A1" display="Main" xr:uid="{4FDCD95B-7464-4728-BBCE-CDC7FDC229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E0F-305C-4BF9-B173-FAB53CEE6DF4}">
  <dimension ref="A1:C19"/>
  <sheetViews>
    <sheetView workbookViewId="0">
      <selection activeCell="C19" sqref="C19"/>
    </sheetView>
  </sheetViews>
  <sheetFormatPr defaultRowHeight="14.25" x14ac:dyDescent="0.2"/>
  <cols>
    <col min="1" max="1" width="4.625" bestFit="1" customWidth="1"/>
    <col min="2" max="2" width="14.5" bestFit="1" customWidth="1"/>
    <col min="3" max="3" width="9.25" bestFit="1" customWidth="1"/>
  </cols>
  <sheetData>
    <row r="1" spans="1:3" x14ac:dyDescent="0.2">
      <c r="A1" s="2" t="s">
        <v>17</v>
      </c>
    </row>
    <row r="2" spans="1:3" x14ac:dyDescent="0.2">
      <c r="B2" t="s">
        <v>64</v>
      </c>
      <c r="C2" t="s">
        <v>15</v>
      </c>
    </row>
    <row r="3" spans="1:3" x14ac:dyDescent="0.2">
      <c r="B3" t="s">
        <v>65</v>
      </c>
      <c r="C3" t="s">
        <v>66</v>
      </c>
    </row>
    <row r="4" spans="1:3" x14ac:dyDescent="0.2">
      <c r="B4" t="s">
        <v>67</v>
      </c>
      <c r="C4" s="3">
        <v>34000</v>
      </c>
    </row>
    <row r="5" spans="1:3" x14ac:dyDescent="0.2">
      <c r="B5" t="s">
        <v>71</v>
      </c>
      <c r="C5" s="4">
        <v>44519</v>
      </c>
    </row>
    <row r="6" spans="1:3" x14ac:dyDescent="0.2">
      <c r="B6" t="s">
        <v>68</v>
      </c>
      <c r="C6" t="s">
        <v>69</v>
      </c>
    </row>
    <row r="7" spans="1:3" x14ac:dyDescent="0.2">
      <c r="B7" t="s">
        <v>70</v>
      </c>
      <c r="C7" t="s">
        <v>72</v>
      </c>
    </row>
    <row r="8" spans="1:3" x14ac:dyDescent="0.2">
      <c r="C8" t="s">
        <v>73</v>
      </c>
    </row>
    <row r="10" spans="1:3" x14ac:dyDescent="0.2">
      <c r="B10" t="s">
        <v>84</v>
      </c>
      <c r="C10" t="s">
        <v>85</v>
      </c>
    </row>
    <row r="12" spans="1:3" x14ac:dyDescent="0.2">
      <c r="B12" t="s">
        <v>86</v>
      </c>
      <c r="C12" t="s">
        <v>87</v>
      </c>
    </row>
    <row r="13" spans="1:3" x14ac:dyDescent="0.2">
      <c r="C13" t="s">
        <v>88</v>
      </c>
    </row>
    <row r="15" spans="1:3" x14ac:dyDescent="0.2">
      <c r="B15" t="s">
        <v>89</v>
      </c>
      <c r="C15" t="s">
        <v>90</v>
      </c>
    </row>
    <row r="16" spans="1:3" x14ac:dyDescent="0.2">
      <c r="C16" t="s">
        <v>91</v>
      </c>
    </row>
    <row r="17" spans="2:3" x14ac:dyDescent="0.2">
      <c r="C17" t="s">
        <v>92</v>
      </c>
    </row>
    <row r="18" spans="2:3" x14ac:dyDescent="0.2">
      <c r="C18" t="s">
        <v>93</v>
      </c>
    </row>
    <row r="19" spans="2:3" x14ac:dyDescent="0.2">
      <c r="B19" t="s">
        <v>94</v>
      </c>
    </row>
  </sheetData>
  <hyperlinks>
    <hyperlink ref="A1" location="Main!A1" display="Main" xr:uid="{52EB3FA5-7D9D-45C1-9CFB-85FDEBDCE94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D5DA-C456-430D-88DD-0BD9000408D1}">
  <dimension ref="A1:BU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RowHeight="14.25" x14ac:dyDescent="0.2"/>
  <cols>
    <col min="1" max="1" width="3.25" style="17" customWidth="1"/>
    <col min="2" max="2" width="15.875" style="17" bestFit="1" customWidth="1"/>
    <col min="3" max="14" width="9" style="17"/>
    <col min="15" max="17" width="8.875" style="17" bestFit="1" customWidth="1"/>
    <col min="18" max="18" width="9.75" style="17" bestFit="1" customWidth="1"/>
    <col min="19" max="21" width="8.875" style="17" bestFit="1" customWidth="1"/>
    <col min="22" max="41" width="9" style="17"/>
    <col min="42" max="42" width="7.5" style="17" bestFit="1" customWidth="1"/>
    <col min="43" max="43" width="10" style="17" customWidth="1"/>
    <col min="44" max="16384" width="9" style="17"/>
  </cols>
  <sheetData>
    <row r="1" spans="1:73" x14ac:dyDescent="0.2">
      <c r="A1" s="16"/>
      <c r="B1" s="16"/>
      <c r="C1" s="16"/>
    </row>
    <row r="2" spans="1:73" x14ac:dyDescent="0.2"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K2" s="16" t="s">
        <v>28</v>
      </c>
      <c r="L2" s="16" t="s">
        <v>29</v>
      </c>
      <c r="M2" s="16" t="s">
        <v>30</v>
      </c>
      <c r="N2" s="16" t="s">
        <v>31</v>
      </c>
      <c r="O2" s="16" t="s">
        <v>32</v>
      </c>
      <c r="P2" s="16" t="s">
        <v>33</v>
      </c>
      <c r="Q2" s="16" t="s">
        <v>34</v>
      </c>
      <c r="R2" s="16" t="s">
        <v>35</v>
      </c>
      <c r="S2" s="16" t="s">
        <v>36</v>
      </c>
      <c r="V2" s="17">
        <v>2017</v>
      </c>
      <c r="W2" s="17">
        <v>2018</v>
      </c>
      <c r="X2" s="17">
        <v>2019</v>
      </c>
      <c r="Y2" s="17">
        <v>2020</v>
      </c>
      <c r="Z2" s="17">
        <v>2021</v>
      </c>
      <c r="AA2" s="17">
        <f t="shared" ref="AA2:AO2" si="0">Z2+1</f>
        <v>2022</v>
      </c>
      <c r="AB2" s="17">
        <f t="shared" si="0"/>
        <v>2023</v>
      </c>
      <c r="AC2" s="17">
        <f t="shared" si="0"/>
        <v>2024</v>
      </c>
      <c r="AD2" s="17">
        <f t="shared" si="0"/>
        <v>2025</v>
      </c>
      <c r="AE2" s="17">
        <f t="shared" si="0"/>
        <v>2026</v>
      </c>
      <c r="AF2" s="17">
        <f t="shared" si="0"/>
        <v>2027</v>
      </c>
      <c r="AG2" s="17">
        <f t="shared" si="0"/>
        <v>2028</v>
      </c>
      <c r="AH2" s="17">
        <f t="shared" si="0"/>
        <v>2029</v>
      </c>
      <c r="AI2" s="17">
        <f t="shared" si="0"/>
        <v>2030</v>
      </c>
      <c r="AJ2" s="17">
        <f t="shared" si="0"/>
        <v>2031</v>
      </c>
      <c r="AK2" s="17">
        <f t="shared" si="0"/>
        <v>2032</v>
      </c>
      <c r="AL2" s="17">
        <f t="shared" si="0"/>
        <v>2033</v>
      </c>
      <c r="AM2" s="17">
        <f t="shared" si="0"/>
        <v>2034</v>
      </c>
      <c r="AN2" s="17">
        <f t="shared" si="0"/>
        <v>2035</v>
      </c>
      <c r="AO2" s="17">
        <f t="shared" si="0"/>
        <v>2036</v>
      </c>
    </row>
    <row r="3" spans="1:73" ht="15" x14ac:dyDescent="0.25">
      <c r="B3" s="17" t="s">
        <v>37</v>
      </c>
      <c r="D3" s="18">
        <v>0</v>
      </c>
      <c r="E3" s="18">
        <v>0</v>
      </c>
      <c r="F3" s="18">
        <v>0</v>
      </c>
      <c r="G3" s="17">
        <v>0</v>
      </c>
      <c r="H3" s="18">
        <v>0</v>
      </c>
      <c r="I3" s="18">
        <v>0</v>
      </c>
      <c r="J3" s="18">
        <v>0</v>
      </c>
      <c r="K3" s="17">
        <v>0</v>
      </c>
      <c r="L3" s="17">
        <v>0</v>
      </c>
      <c r="M3" s="17">
        <v>0</v>
      </c>
      <c r="N3" s="18">
        <v>0</v>
      </c>
      <c r="O3" s="18">
        <v>199.87200000000001</v>
      </c>
      <c r="P3" s="18">
        <v>1733</v>
      </c>
      <c r="Q3" s="18">
        <v>4197</v>
      </c>
      <c r="R3" s="18">
        <v>4810</v>
      </c>
      <c r="S3" s="18"/>
      <c r="V3" s="18"/>
      <c r="W3" s="18">
        <f>+SUM(D3:G3)</f>
        <v>0</v>
      </c>
      <c r="X3" s="18">
        <f>SUM(H3:K3)</f>
        <v>0</v>
      </c>
      <c r="Y3" s="18">
        <f>SUM(L3:O3)</f>
        <v>199.87200000000001</v>
      </c>
      <c r="Z3" s="18">
        <f>+SUM(P3:R3)</f>
        <v>10740</v>
      </c>
      <c r="AA3" s="19">
        <f>+Z3*1.03*(1+-0.02)</f>
        <v>10840.956</v>
      </c>
      <c r="AB3" s="19">
        <f t="shared" ref="AB3:AO4" si="1">+AA3*1.03*(1+-0.02)</f>
        <v>10942.860986400001</v>
      </c>
      <c r="AC3" s="19">
        <f t="shared" si="1"/>
        <v>11045.723879672159</v>
      </c>
      <c r="AD3" s="19">
        <f t="shared" si="1"/>
        <v>11149.553684141078</v>
      </c>
      <c r="AE3" s="19">
        <f t="shared" si="1"/>
        <v>11254.359488772005</v>
      </c>
      <c r="AF3" s="19">
        <f t="shared" si="1"/>
        <v>11360.150467966461</v>
      </c>
      <c r="AG3" s="19">
        <f t="shared" si="1"/>
        <v>11466.935882365347</v>
      </c>
      <c r="AH3" s="19">
        <f t="shared" si="1"/>
        <v>11574.725079659582</v>
      </c>
      <c r="AI3" s="19">
        <f t="shared" si="1"/>
        <v>11683.527495408382</v>
      </c>
      <c r="AJ3" s="19">
        <f t="shared" si="1"/>
        <v>11793.35265386522</v>
      </c>
      <c r="AK3" s="19">
        <f t="shared" si="1"/>
        <v>11904.210168811554</v>
      </c>
      <c r="AL3" s="19">
        <f t="shared" si="1"/>
        <v>12016.109744398384</v>
      </c>
      <c r="AM3" s="19">
        <f t="shared" si="1"/>
        <v>12129.061175995728</v>
      </c>
      <c r="AN3" s="19">
        <f t="shared" si="1"/>
        <v>12243.074351050087</v>
      </c>
      <c r="AO3" s="19">
        <f t="shared" si="1"/>
        <v>12358.159249949957</v>
      </c>
    </row>
    <row r="4" spans="1:73" ht="15" x14ac:dyDescent="0.25">
      <c r="B4" s="17" t="s">
        <v>38</v>
      </c>
      <c r="D4" s="18">
        <v>1.579</v>
      </c>
      <c r="E4" s="18">
        <v>3.02</v>
      </c>
      <c r="F4" s="18">
        <v>5.0949999999999998</v>
      </c>
      <c r="G4" s="20">
        <v>12.555999999999999</v>
      </c>
      <c r="H4" s="18">
        <v>1.91</v>
      </c>
      <c r="I4" s="18">
        <v>3.0529999999999999</v>
      </c>
      <c r="J4" s="18">
        <v>3.7080000000000002</v>
      </c>
      <c r="K4" s="20">
        <v>12.173</v>
      </c>
      <c r="L4" s="17">
        <v>4</v>
      </c>
      <c r="M4" s="17">
        <v>38</v>
      </c>
      <c r="N4" s="18">
        <v>145</v>
      </c>
      <c r="O4" s="18">
        <v>528.90499999999997</v>
      </c>
      <c r="P4" s="18">
        <v>194</v>
      </c>
      <c r="Q4" s="18">
        <v>139</v>
      </c>
      <c r="R4" s="18">
        <v>140</v>
      </c>
      <c r="S4" s="18"/>
      <c r="W4" s="18">
        <f>+SUM(D4:G4)</f>
        <v>22.25</v>
      </c>
      <c r="X4" s="18">
        <f>SUM(H4:K4)</f>
        <v>20.844000000000001</v>
      </c>
      <c r="Y4" s="18">
        <f>SUM(L4:O4)</f>
        <v>715.90499999999997</v>
      </c>
      <c r="Z4" s="18">
        <f>+SUM(P4:R4)</f>
        <v>473</v>
      </c>
      <c r="AA4" s="19">
        <f>+Z4*1.03*(1+-0.02)</f>
        <v>477.44619999999998</v>
      </c>
      <c r="AB4" s="19">
        <f t="shared" si="1"/>
        <v>481.93419427999999</v>
      </c>
      <c r="AC4" s="19">
        <f t="shared" si="1"/>
        <v>486.46437570623198</v>
      </c>
      <c r="AD4" s="19">
        <f t="shared" si="1"/>
        <v>491.0371408378706</v>
      </c>
      <c r="AE4" s="19">
        <f t="shared" si="1"/>
        <v>495.65288996174661</v>
      </c>
      <c r="AF4" s="19">
        <f t="shared" si="1"/>
        <v>500.31202712738701</v>
      </c>
      <c r="AG4" s="19">
        <f t="shared" si="1"/>
        <v>505.01496018238447</v>
      </c>
      <c r="AH4" s="19">
        <f t="shared" si="1"/>
        <v>509.76210080809892</v>
      </c>
      <c r="AI4" s="19">
        <f t="shared" si="1"/>
        <v>514.55386455569499</v>
      </c>
      <c r="AJ4" s="19">
        <f t="shared" si="1"/>
        <v>519.39067088251852</v>
      </c>
      <c r="AK4" s="19">
        <f t="shared" si="1"/>
        <v>524.27294318881422</v>
      </c>
      <c r="AL4" s="19">
        <f t="shared" si="1"/>
        <v>529.20110885478914</v>
      </c>
      <c r="AM4" s="19">
        <f t="shared" si="1"/>
        <v>534.17559927802427</v>
      </c>
      <c r="AN4" s="19">
        <f t="shared" si="1"/>
        <v>539.19684991123768</v>
      </c>
      <c r="AO4" s="19">
        <f t="shared" si="1"/>
        <v>544.26530030040328</v>
      </c>
    </row>
    <row r="5" spans="1:73" x14ac:dyDescent="0.2">
      <c r="B5" s="17" t="s">
        <v>39</v>
      </c>
      <c r="D5" s="18">
        <f>20.11+7.35</f>
        <v>27.46</v>
      </c>
      <c r="E5" s="18">
        <f>19.742+6.089</f>
        <v>25.831000000000003</v>
      </c>
      <c r="F5" s="18">
        <f>16.935+19.727</f>
        <v>36.661999999999999</v>
      </c>
      <c r="G5" s="18">
        <v>122.512</v>
      </c>
      <c r="H5" s="18">
        <f>13.301+0.814</f>
        <v>14.115</v>
      </c>
      <c r="I5" s="18">
        <f>9.842+0.188</f>
        <v>10.030000000000001</v>
      </c>
      <c r="J5" s="18">
        <f>9.614+3.724</f>
        <v>13.338000000000001</v>
      </c>
      <c r="K5" s="18">
        <v>48.036000000000001</v>
      </c>
      <c r="L5" s="18">
        <v>4</v>
      </c>
      <c r="M5" s="18">
        <v>29</v>
      </c>
      <c r="N5" s="18">
        <v>12</v>
      </c>
      <c r="O5" s="18">
        <v>74.617999999999995</v>
      </c>
      <c r="P5" s="18">
        <v>10</v>
      </c>
      <c r="Q5" s="18">
        <v>18</v>
      </c>
      <c r="R5" s="18">
        <v>19</v>
      </c>
      <c r="S5" s="18"/>
      <c r="W5" s="18">
        <f>+SUM(D5:G5)</f>
        <v>212.465</v>
      </c>
      <c r="X5" s="18">
        <f>SUM(H5:K5)</f>
        <v>85.519000000000005</v>
      </c>
      <c r="Y5" s="18">
        <f>SUM(L5:O5)</f>
        <v>119.61799999999999</v>
      </c>
      <c r="Z5" s="18">
        <f>+SUM(P5:R5)</f>
        <v>47</v>
      </c>
      <c r="AA5" s="18">
        <f>+AA6-AA3-AA4</f>
        <v>279.39780000000098</v>
      </c>
      <c r="AB5" s="18">
        <f t="shared" ref="AB5:AO5" si="2">+AB6-AB3-AB4</f>
        <v>520.93881932000136</v>
      </c>
      <c r="AC5" s="18">
        <f t="shared" si="2"/>
        <v>771.91776462161147</v>
      </c>
      <c r="AD5" s="18">
        <f t="shared" si="2"/>
        <v>1032.6383756210544</v>
      </c>
      <c r="AE5" s="18">
        <f>+AE6-AE3-AE4</f>
        <v>1303.4136978842521</v>
      </c>
      <c r="AF5" s="18">
        <f t="shared" si="2"/>
        <v>1584.5663638226947</v>
      </c>
      <c r="AG5" s="18">
        <f t="shared" si="2"/>
        <v>1876.4288821363084</v>
      </c>
      <c r="AH5" s="18">
        <f t="shared" si="2"/>
        <v>2179.343935956882</v>
      </c>
      <c r="AI5" s="18">
        <f t="shared" si="2"/>
        <v>2493.6646899532229</v>
      </c>
      <c r="AJ5" s="18">
        <f t="shared" si="2"/>
        <v>2819.7551066670799</v>
      </c>
      <c r="AK5" s="18">
        <f t="shared" si="2"/>
        <v>3157.9902723568944</v>
      </c>
      <c r="AL5" s="18">
        <f t="shared" si="2"/>
        <v>3508.7567326348094</v>
      </c>
      <c r="AM5" s="18">
        <f t="shared" si="2"/>
        <v>3872.4528381908704</v>
      </c>
      <c r="AN5" s="18">
        <f t="shared" si="2"/>
        <v>4249.489100907238</v>
      </c>
      <c r="AO5" s="18">
        <f t="shared" si="2"/>
        <v>4640.2885606742584</v>
      </c>
    </row>
    <row r="6" spans="1:73" s="1" customFormat="1" ht="15" x14ac:dyDescent="0.25">
      <c r="A6" s="17"/>
      <c r="B6" s="1" t="s">
        <v>40</v>
      </c>
      <c r="D6" s="19">
        <f t="shared" ref="D6:R6" si="3">+D3+D4+D5</f>
        <v>29.039000000000001</v>
      </c>
      <c r="E6" s="19">
        <f t="shared" si="3"/>
        <v>28.851000000000003</v>
      </c>
      <c r="F6" s="19">
        <f t="shared" si="3"/>
        <v>41.756999999999998</v>
      </c>
      <c r="G6" s="19">
        <f t="shared" si="3"/>
        <v>135.06800000000001</v>
      </c>
      <c r="H6" s="19">
        <f t="shared" si="3"/>
        <v>16.024999999999999</v>
      </c>
      <c r="I6" s="19">
        <f t="shared" si="3"/>
        <v>13.083000000000002</v>
      </c>
      <c r="J6" s="19">
        <f t="shared" si="3"/>
        <v>17.045999999999999</v>
      </c>
      <c r="K6" s="19">
        <f t="shared" si="3"/>
        <v>60.209000000000003</v>
      </c>
      <c r="L6" s="19">
        <f t="shared" si="3"/>
        <v>8</v>
      </c>
      <c r="M6" s="19">
        <f t="shared" si="3"/>
        <v>67</v>
      </c>
      <c r="N6" s="19">
        <f t="shared" si="3"/>
        <v>157</v>
      </c>
      <c r="O6" s="19">
        <f t="shared" si="3"/>
        <v>803.39499999999998</v>
      </c>
      <c r="P6" s="19">
        <f t="shared" si="3"/>
        <v>1937</v>
      </c>
      <c r="Q6" s="19">
        <f t="shared" si="3"/>
        <v>4354</v>
      </c>
      <c r="R6" s="19">
        <f t="shared" si="3"/>
        <v>4969</v>
      </c>
      <c r="S6" s="19"/>
      <c r="W6" s="19">
        <f>+SUM(D6:G6)</f>
        <v>234.715</v>
      </c>
      <c r="X6" s="19">
        <f>SUM(H6:K6)</f>
        <v>106.363</v>
      </c>
      <c r="Y6" s="19">
        <f>SUM(L6:O6)</f>
        <v>1035.395</v>
      </c>
      <c r="Z6" s="19">
        <f>+SUM(P6:R6)</f>
        <v>11260</v>
      </c>
      <c r="AA6" s="19">
        <f>+Z6*1.03*(1+AQ10)</f>
        <v>11597.800000000001</v>
      </c>
      <c r="AB6" s="19">
        <f t="shared" ref="AB6:AO6" si="4">+AA6*1.03*(1+AR10)</f>
        <v>11945.734000000002</v>
      </c>
      <c r="AC6" s="19">
        <f t="shared" si="4"/>
        <v>12304.106020000003</v>
      </c>
      <c r="AD6" s="19">
        <f t="shared" si="4"/>
        <v>12673.229200600003</v>
      </c>
      <c r="AE6" s="19">
        <f t="shared" si="4"/>
        <v>13053.426076618003</v>
      </c>
      <c r="AF6" s="19">
        <f t="shared" si="4"/>
        <v>13445.028858916543</v>
      </c>
      <c r="AG6" s="19">
        <f t="shared" si="4"/>
        <v>13848.37972468404</v>
      </c>
      <c r="AH6" s="19">
        <f t="shared" si="4"/>
        <v>14263.831116424562</v>
      </c>
      <c r="AI6" s="19">
        <f t="shared" si="4"/>
        <v>14691.746049917299</v>
      </c>
      <c r="AJ6" s="19">
        <f t="shared" si="4"/>
        <v>15132.498431414819</v>
      </c>
      <c r="AK6" s="19">
        <f t="shared" si="4"/>
        <v>15586.473384357263</v>
      </c>
      <c r="AL6" s="19">
        <f t="shared" si="4"/>
        <v>16054.067585887982</v>
      </c>
      <c r="AM6" s="19">
        <f t="shared" si="4"/>
        <v>16535.689613464623</v>
      </c>
      <c r="AN6" s="19">
        <f t="shared" si="4"/>
        <v>17031.760301868562</v>
      </c>
      <c r="AO6" s="19">
        <f t="shared" si="4"/>
        <v>17542.713110924618</v>
      </c>
    </row>
    <row r="7" spans="1:73" x14ac:dyDescent="0.2">
      <c r="B7" s="17" t="s">
        <v>41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7.9329999999999998</v>
      </c>
      <c r="P7" s="18">
        <v>193</v>
      </c>
      <c r="Q7" s="18">
        <v>750</v>
      </c>
      <c r="R7" s="18">
        <v>722</v>
      </c>
      <c r="S7" s="18"/>
      <c r="W7" s="18">
        <f>+SUM(D7:G7)</f>
        <v>0</v>
      </c>
      <c r="X7" s="18">
        <f>SUM(H7:K7)</f>
        <v>0</v>
      </c>
      <c r="Y7" s="18">
        <f>SUM(L7:O7)</f>
        <v>7.9329999999999998</v>
      </c>
      <c r="Z7" s="18">
        <f t="shared" ref="Z7:Z16" si="5">+SUM(P7:R7)</f>
        <v>1665</v>
      </c>
    </row>
    <row r="8" spans="1:73" x14ac:dyDescent="0.2">
      <c r="B8" s="17" t="s">
        <v>42</v>
      </c>
      <c r="D8" s="18">
        <v>90.123999999999995</v>
      </c>
      <c r="E8" s="18">
        <v>104.479</v>
      </c>
      <c r="F8" s="18">
        <v>109.05</v>
      </c>
      <c r="G8" s="18">
        <v>454.08199999999999</v>
      </c>
      <c r="H8" s="18">
        <v>130.57499999999999</v>
      </c>
      <c r="I8" s="18">
        <v>128.49600000000001</v>
      </c>
      <c r="J8" s="18">
        <v>119.715</v>
      </c>
      <c r="K8" s="18">
        <v>496.30900000000003</v>
      </c>
      <c r="L8" s="18">
        <v>115</v>
      </c>
      <c r="M8" s="18">
        <v>152</v>
      </c>
      <c r="N8" s="18">
        <v>344</v>
      </c>
      <c r="O8" s="18">
        <v>1370.3389999999999</v>
      </c>
      <c r="P8" s="18">
        <v>401</v>
      </c>
      <c r="Q8" s="18">
        <v>421</v>
      </c>
      <c r="R8" s="18">
        <v>521</v>
      </c>
      <c r="S8" s="18"/>
      <c r="W8" s="18">
        <f t="shared" ref="W8:W16" si="6">+SUM(D8:G8)</f>
        <v>757.73500000000001</v>
      </c>
      <c r="X8" s="18">
        <f t="shared" ref="X8:X16" si="7">SUM(H8:K8)</f>
        <v>875.09500000000003</v>
      </c>
      <c r="Y8" s="18">
        <f t="shared" ref="Y8:Y14" si="8">SUM(L8:O8)</f>
        <v>1981.3389999999999</v>
      </c>
      <c r="Z8" s="18">
        <f t="shared" si="5"/>
        <v>1343</v>
      </c>
    </row>
    <row r="9" spans="1:73" x14ac:dyDescent="0.2">
      <c r="B9" s="17" t="s">
        <v>43</v>
      </c>
      <c r="D9" s="18">
        <v>16.317</v>
      </c>
      <c r="E9" s="18">
        <v>21.387</v>
      </c>
      <c r="F9" s="18">
        <v>18.524999999999999</v>
      </c>
      <c r="G9" s="18">
        <v>94.251999999999995</v>
      </c>
      <c r="H9" s="18">
        <v>27.283000000000001</v>
      </c>
      <c r="I9" s="18">
        <v>28.523</v>
      </c>
      <c r="J9" s="18">
        <v>28.187999999999999</v>
      </c>
      <c r="K9" s="18">
        <v>109.62</v>
      </c>
      <c r="L9" s="18">
        <v>24</v>
      </c>
      <c r="M9" s="18">
        <v>37</v>
      </c>
      <c r="N9" s="18">
        <v>48</v>
      </c>
      <c r="O9" s="18">
        <v>188.267</v>
      </c>
      <c r="P9" s="18">
        <v>77</v>
      </c>
      <c r="Q9" s="18">
        <v>121</v>
      </c>
      <c r="R9" s="18">
        <v>168</v>
      </c>
      <c r="S9" s="18"/>
      <c r="W9" s="18">
        <f t="shared" si="6"/>
        <v>150.48099999999999</v>
      </c>
      <c r="X9" s="18">
        <f t="shared" si="7"/>
        <v>193.614</v>
      </c>
      <c r="Y9" s="18">
        <f t="shared" si="8"/>
        <v>297.267</v>
      </c>
      <c r="Z9" s="18">
        <f t="shared" si="5"/>
        <v>366</v>
      </c>
    </row>
    <row r="10" spans="1:73" x14ac:dyDescent="0.2">
      <c r="B10" s="17" t="s">
        <v>44</v>
      </c>
      <c r="D10" s="18">
        <f t="shared" ref="D10:R10" si="9">+D7+D8+D9</f>
        <v>106.441</v>
      </c>
      <c r="E10" s="18">
        <f t="shared" si="9"/>
        <v>125.866</v>
      </c>
      <c r="F10" s="18">
        <f t="shared" si="9"/>
        <v>127.57499999999999</v>
      </c>
      <c r="G10" s="18">
        <f t="shared" si="9"/>
        <v>548.33399999999995</v>
      </c>
      <c r="H10" s="18">
        <f t="shared" si="9"/>
        <v>157.858</v>
      </c>
      <c r="I10" s="18">
        <f t="shared" si="9"/>
        <v>157.01900000000001</v>
      </c>
      <c r="J10" s="18">
        <f t="shared" si="9"/>
        <v>147.90299999999999</v>
      </c>
      <c r="K10" s="18">
        <f t="shared" si="9"/>
        <v>605.92900000000009</v>
      </c>
      <c r="L10" s="18">
        <f t="shared" si="9"/>
        <v>139</v>
      </c>
      <c r="M10" s="18">
        <f t="shared" si="9"/>
        <v>189</v>
      </c>
      <c r="N10" s="18">
        <f t="shared" si="9"/>
        <v>392</v>
      </c>
      <c r="O10" s="18">
        <f t="shared" si="9"/>
        <v>1566.539</v>
      </c>
      <c r="P10" s="18">
        <f t="shared" si="9"/>
        <v>671</v>
      </c>
      <c r="Q10" s="18">
        <f t="shared" si="9"/>
        <v>1292</v>
      </c>
      <c r="R10" s="18">
        <f t="shared" si="9"/>
        <v>1411</v>
      </c>
      <c r="S10" s="18"/>
      <c r="W10" s="18">
        <f t="shared" si="6"/>
        <v>908.21599999999989</v>
      </c>
      <c r="X10" s="18">
        <f t="shared" si="7"/>
        <v>1068.7090000000001</v>
      </c>
      <c r="Y10" s="18">
        <f t="shared" si="8"/>
        <v>2286.5389999999998</v>
      </c>
      <c r="Z10" s="18">
        <f t="shared" si="5"/>
        <v>3374</v>
      </c>
    </row>
    <row r="11" spans="1:73" s="1" customFormat="1" ht="15" x14ac:dyDescent="0.25">
      <c r="B11" s="1" t="s">
        <v>45</v>
      </c>
      <c r="D11" s="19">
        <f t="shared" ref="D11:R11" si="10">+D6-D10</f>
        <v>-77.402000000000001</v>
      </c>
      <c r="E11" s="19">
        <f t="shared" si="10"/>
        <v>-97.015000000000001</v>
      </c>
      <c r="F11" s="19">
        <f t="shared" si="10"/>
        <v>-85.817999999999984</v>
      </c>
      <c r="G11" s="19">
        <f t="shared" si="10"/>
        <v>-413.26599999999996</v>
      </c>
      <c r="H11" s="19">
        <f t="shared" si="10"/>
        <v>-141.833</v>
      </c>
      <c r="I11" s="19">
        <f t="shared" si="10"/>
        <v>-143.93600000000001</v>
      </c>
      <c r="J11" s="19">
        <f t="shared" si="10"/>
        <v>-130.857</v>
      </c>
      <c r="K11" s="19">
        <f t="shared" si="10"/>
        <v>-545.72</v>
      </c>
      <c r="L11" s="19">
        <f t="shared" si="10"/>
        <v>-131</v>
      </c>
      <c r="M11" s="19">
        <f t="shared" si="10"/>
        <v>-122</v>
      </c>
      <c r="N11" s="19">
        <f t="shared" si="10"/>
        <v>-235</v>
      </c>
      <c r="O11" s="19">
        <f t="shared" si="10"/>
        <v>-763.14400000000001</v>
      </c>
      <c r="P11" s="19">
        <f t="shared" si="10"/>
        <v>1266</v>
      </c>
      <c r="Q11" s="19">
        <f t="shared" si="10"/>
        <v>3062</v>
      </c>
      <c r="R11" s="19">
        <f t="shared" si="10"/>
        <v>3558</v>
      </c>
      <c r="S11" s="19"/>
      <c r="W11" s="19">
        <f t="shared" si="6"/>
        <v>-673.50099999999998</v>
      </c>
      <c r="X11" s="19">
        <f t="shared" si="7"/>
        <v>-962.346</v>
      </c>
      <c r="Y11" s="19">
        <f t="shared" si="8"/>
        <v>-1251.144</v>
      </c>
      <c r="Z11" s="19">
        <f t="shared" si="5"/>
        <v>7886</v>
      </c>
    </row>
    <row r="12" spans="1:73" x14ac:dyDescent="0.2">
      <c r="B12" s="17" t="s">
        <v>46</v>
      </c>
      <c r="D12" s="18">
        <v>5.2089999999999996</v>
      </c>
      <c r="E12" s="18">
        <v>6.4009999999999998</v>
      </c>
      <c r="F12" s="18">
        <v>6.5190000000000001</v>
      </c>
      <c r="G12" s="18">
        <v>27.023</v>
      </c>
      <c r="H12" s="18">
        <v>10.972</v>
      </c>
      <c r="I12" s="18">
        <v>10.321999999999999</v>
      </c>
      <c r="J12" s="18">
        <v>9.2520000000000007</v>
      </c>
      <c r="K12" s="18">
        <v>38.53</v>
      </c>
      <c r="L12" s="18">
        <v>8</v>
      </c>
      <c r="M12" s="18">
        <v>7</v>
      </c>
      <c r="N12" s="18">
        <v>6</v>
      </c>
      <c r="O12" s="18">
        <v>24.715</v>
      </c>
      <c r="P12" s="18">
        <v>4</v>
      </c>
      <c r="Q12" s="18">
        <v>3</v>
      </c>
      <c r="R12" s="18">
        <v>4</v>
      </c>
      <c r="S12" s="18"/>
      <c r="W12" s="18">
        <f t="shared" si="6"/>
        <v>45.152000000000001</v>
      </c>
      <c r="X12" s="18">
        <f t="shared" si="7"/>
        <v>69.075999999999993</v>
      </c>
      <c r="Y12" s="18">
        <f t="shared" si="8"/>
        <v>45.715000000000003</v>
      </c>
      <c r="Z12" s="18">
        <f t="shared" si="5"/>
        <v>11</v>
      </c>
    </row>
    <row r="13" spans="1:73" x14ac:dyDescent="0.2">
      <c r="B13" s="17" t="s">
        <v>47</v>
      </c>
      <c r="D13" s="18">
        <v>-0.183</v>
      </c>
      <c r="E13" s="18">
        <v>0.17100000000000001</v>
      </c>
      <c r="F13" s="18">
        <v>-1.032</v>
      </c>
      <c r="G13" s="18">
        <v>1.835</v>
      </c>
      <c r="H13" s="18">
        <v>-1.82</v>
      </c>
      <c r="I13" s="18">
        <v>-1.764</v>
      </c>
      <c r="J13" s="18">
        <v>-1.7669999999999999</v>
      </c>
      <c r="K13" s="18">
        <v>-7.5259999999999998</v>
      </c>
      <c r="L13" s="18">
        <v>-1</v>
      </c>
      <c r="M13" s="18">
        <v>-2</v>
      </c>
      <c r="N13" s="18">
        <v>-3</v>
      </c>
      <c r="O13" s="18">
        <v>-6.0839999999999996</v>
      </c>
      <c r="P13" s="18">
        <v>-10</v>
      </c>
      <c r="Q13" s="18">
        <v>-2</v>
      </c>
      <c r="R13" s="18">
        <v>-10</v>
      </c>
      <c r="S13" s="18"/>
      <c r="W13" s="18">
        <f t="shared" si="6"/>
        <v>0.79099999999999993</v>
      </c>
      <c r="X13" s="18">
        <f t="shared" si="7"/>
        <v>-12.876999999999999</v>
      </c>
      <c r="Y13" s="18">
        <f t="shared" si="8"/>
        <v>-12.084</v>
      </c>
      <c r="Z13" s="18">
        <f t="shared" si="5"/>
        <v>-22</v>
      </c>
    </row>
    <row r="14" spans="1:73" ht="15" x14ac:dyDescent="0.25">
      <c r="B14" s="17" t="s">
        <v>48</v>
      </c>
      <c r="D14" s="18">
        <f t="shared" ref="D14:R14" si="11">+D11+D12+D13</f>
        <v>-72.376000000000005</v>
      </c>
      <c r="E14" s="18">
        <f t="shared" si="11"/>
        <v>-90.442999999999998</v>
      </c>
      <c r="F14" s="18">
        <f t="shared" si="11"/>
        <v>-80.330999999999975</v>
      </c>
      <c r="G14" s="18">
        <f t="shared" si="11"/>
        <v>-384.40799999999996</v>
      </c>
      <c r="H14" s="18">
        <f t="shared" si="11"/>
        <v>-132.68099999999998</v>
      </c>
      <c r="I14" s="18">
        <f t="shared" si="11"/>
        <v>-135.37800000000001</v>
      </c>
      <c r="J14" s="18">
        <f t="shared" si="11"/>
        <v>-123.372</v>
      </c>
      <c r="K14" s="18">
        <f t="shared" si="11"/>
        <v>-514.71600000000001</v>
      </c>
      <c r="L14" s="18">
        <f t="shared" si="11"/>
        <v>-124</v>
      </c>
      <c r="M14" s="18">
        <f t="shared" si="11"/>
        <v>-117</v>
      </c>
      <c r="N14" s="18">
        <f t="shared" si="11"/>
        <v>-232</v>
      </c>
      <c r="O14" s="18">
        <f t="shared" si="11"/>
        <v>-744.51299999999992</v>
      </c>
      <c r="P14" s="18">
        <f t="shared" si="11"/>
        <v>1260</v>
      </c>
      <c r="Q14" s="18">
        <f t="shared" si="11"/>
        <v>3063</v>
      </c>
      <c r="R14" s="18">
        <f t="shared" si="11"/>
        <v>3552</v>
      </c>
      <c r="S14" s="18"/>
      <c r="W14" s="18">
        <f t="shared" si="6"/>
        <v>-627.55799999999999</v>
      </c>
      <c r="X14" s="18">
        <f t="shared" si="7"/>
        <v>-906.14699999999993</v>
      </c>
      <c r="Y14" s="18">
        <f t="shared" si="8"/>
        <v>-1217.5129999999999</v>
      </c>
      <c r="Z14" s="18">
        <f t="shared" si="5"/>
        <v>7875</v>
      </c>
      <c r="AA14" s="19">
        <f>+Z14*1.03*(1+AQ18)</f>
        <v>8111.25</v>
      </c>
    </row>
    <row r="15" spans="1:73" ht="15" x14ac:dyDescent="0.25">
      <c r="B15" s="17" t="s">
        <v>49</v>
      </c>
      <c r="D15" s="21">
        <v>0</v>
      </c>
      <c r="E15" s="21">
        <v>0.158</v>
      </c>
      <c r="F15" s="21">
        <v>0.32600000000000001</v>
      </c>
      <c r="G15" s="21">
        <v>0.32600000000000001</v>
      </c>
      <c r="H15" s="21">
        <v>-0.24</v>
      </c>
      <c r="I15" s="21">
        <v>-0.32400000000000001</v>
      </c>
      <c r="J15" s="21">
        <v>-0.17799999999999999</v>
      </c>
      <c r="K15" s="21">
        <v>0.69499999999999995</v>
      </c>
      <c r="L15" s="21">
        <v>0</v>
      </c>
      <c r="M15" s="21">
        <v>0</v>
      </c>
      <c r="N15" s="21">
        <v>1</v>
      </c>
      <c r="O15" s="21">
        <v>2.5510000000000002</v>
      </c>
      <c r="P15" s="21">
        <v>39</v>
      </c>
      <c r="Q15" s="21">
        <v>283</v>
      </c>
      <c r="R15" s="21">
        <v>219</v>
      </c>
      <c r="S15" s="21"/>
      <c r="T15" s="21"/>
      <c r="U15" s="21"/>
      <c r="V15" s="21"/>
      <c r="W15" s="21">
        <f t="shared" si="6"/>
        <v>0.81</v>
      </c>
      <c r="X15" s="21">
        <f>SUM(H15:K15)</f>
        <v>-4.7000000000000042E-2</v>
      </c>
      <c r="Y15" s="21">
        <f>SUM(L15:O15)</f>
        <v>3.5510000000000002</v>
      </c>
      <c r="Z15" s="18">
        <f t="shared" si="5"/>
        <v>541</v>
      </c>
      <c r="AA15" s="19">
        <f>+Z15*1.03*(1+AQ19)</f>
        <v>557.23</v>
      </c>
    </row>
    <row r="16" spans="1:73" ht="15" x14ac:dyDescent="0.25">
      <c r="B16" s="1" t="s">
        <v>50</v>
      </c>
      <c r="C16" s="1"/>
      <c r="D16" s="19">
        <f t="shared" ref="D16:R16" si="12">+D14-D15</f>
        <v>-72.376000000000005</v>
      </c>
      <c r="E16" s="19">
        <f t="shared" si="12"/>
        <v>-90.600999999999999</v>
      </c>
      <c r="F16" s="19">
        <f t="shared" si="12"/>
        <v>-80.656999999999968</v>
      </c>
      <c r="G16" s="19">
        <f t="shared" si="12"/>
        <v>-384.73399999999998</v>
      </c>
      <c r="H16" s="19">
        <f t="shared" si="12"/>
        <v>-132.44099999999997</v>
      </c>
      <c r="I16" s="19">
        <f t="shared" si="12"/>
        <v>-135.054</v>
      </c>
      <c r="J16" s="19">
        <f t="shared" si="12"/>
        <v>-123.194</v>
      </c>
      <c r="K16" s="19">
        <f t="shared" si="12"/>
        <v>-515.41100000000006</v>
      </c>
      <c r="L16" s="19">
        <f t="shared" si="12"/>
        <v>-124</v>
      </c>
      <c r="M16" s="19">
        <f t="shared" si="12"/>
        <v>-117</v>
      </c>
      <c r="N16" s="19">
        <f t="shared" si="12"/>
        <v>-233</v>
      </c>
      <c r="O16" s="19">
        <f t="shared" si="12"/>
        <v>-747.06399999999996</v>
      </c>
      <c r="P16" s="19">
        <f t="shared" si="12"/>
        <v>1221</v>
      </c>
      <c r="Q16" s="19">
        <f t="shared" si="12"/>
        <v>2780</v>
      </c>
      <c r="R16" s="19">
        <f t="shared" si="12"/>
        <v>3333</v>
      </c>
      <c r="S16" s="19"/>
      <c r="W16" s="19">
        <f t="shared" si="6"/>
        <v>-628.36799999999994</v>
      </c>
      <c r="X16" s="19">
        <f t="shared" si="7"/>
        <v>-906.10000000000014</v>
      </c>
      <c r="Y16" s="19">
        <f>SUM(L16:O16)</f>
        <v>-1221.0639999999999</v>
      </c>
      <c r="Z16" s="19">
        <f t="shared" si="5"/>
        <v>7334</v>
      </c>
      <c r="AA16" s="19">
        <f>+Z16*1.03*(1+AQ20)</f>
        <v>7402.9396000000006</v>
      </c>
      <c r="AB16" s="19">
        <f t="shared" ref="AB16:BU16" si="13">+AA16*1.03*(1+AR20)</f>
        <v>7625.0277880000012</v>
      </c>
      <c r="AC16" s="19">
        <f t="shared" si="13"/>
        <v>7853.7786216400018</v>
      </c>
      <c r="AD16" s="19">
        <f t="shared" si="13"/>
        <v>8089.3919802892024</v>
      </c>
      <c r="AE16" s="19">
        <f t="shared" si="13"/>
        <v>8332.0737396978784</v>
      </c>
      <c r="AF16" s="19">
        <f t="shared" si="13"/>
        <v>8582.0359518888145</v>
      </c>
      <c r="AG16" s="19">
        <f t="shared" si="13"/>
        <v>8839.4970304454782</v>
      </c>
      <c r="AH16" s="19">
        <f t="shared" si="13"/>
        <v>9104.6819413588437</v>
      </c>
      <c r="AI16" s="19">
        <f t="shared" si="13"/>
        <v>9377.8223995996086</v>
      </c>
      <c r="AJ16" s="19">
        <f t="shared" si="13"/>
        <v>9659.1570715875969</v>
      </c>
      <c r="AK16" s="19">
        <f t="shared" si="13"/>
        <v>9948.9317837352246</v>
      </c>
      <c r="AL16" s="19">
        <f t="shared" si="13"/>
        <v>10247.399737247282</v>
      </c>
      <c r="AM16" s="19">
        <f t="shared" si="13"/>
        <v>10554.821729364701</v>
      </c>
      <c r="AN16" s="19">
        <f t="shared" si="13"/>
        <v>10871.466381245642</v>
      </c>
      <c r="AO16" s="19">
        <f t="shared" si="13"/>
        <v>11197.610372683012</v>
      </c>
      <c r="AP16" s="19">
        <f t="shared" si="13"/>
        <v>11533.538683863502</v>
      </c>
      <c r="AQ16" s="19">
        <f t="shared" si="13"/>
        <v>11879.544844379408</v>
      </c>
      <c r="AR16" s="19">
        <f t="shared" si="13"/>
        <v>12235.931189710791</v>
      </c>
      <c r="AS16" s="19">
        <f t="shared" si="13"/>
        <v>12603.009125402115</v>
      </c>
      <c r="AT16" s="19">
        <f t="shared" si="13"/>
        <v>12981.099399164179</v>
      </c>
      <c r="AU16" s="19">
        <f t="shared" si="13"/>
        <v>13370.532381139104</v>
      </c>
      <c r="AV16" s="19">
        <f t="shared" si="13"/>
        <v>13771.648352573278</v>
      </c>
      <c r="AW16" s="19">
        <f t="shared" si="13"/>
        <v>14184.797803150477</v>
      </c>
      <c r="AX16" s="19">
        <f t="shared" si="13"/>
        <v>14610.341737244991</v>
      </c>
      <c r="AY16" s="19">
        <f t="shared" si="13"/>
        <v>15048.651989362341</v>
      </c>
      <c r="AZ16" s="19">
        <f t="shared" si="13"/>
        <v>15500.111549043211</v>
      </c>
      <c r="BA16" s="19">
        <f t="shared" si="13"/>
        <v>15965.114895514507</v>
      </c>
      <c r="BB16" s="19">
        <f t="shared" si="13"/>
        <v>16444.068342379942</v>
      </c>
      <c r="BC16" s="19">
        <f t="shared" si="13"/>
        <v>16937.390392651341</v>
      </c>
      <c r="BD16" s="19">
        <f t="shared" si="13"/>
        <v>17445.512104430883</v>
      </c>
      <c r="BE16" s="19">
        <f t="shared" si="13"/>
        <v>17968.877467563809</v>
      </c>
      <c r="BF16" s="19">
        <f t="shared" si="13"/>
        <v>18507.943791590722</v>
      </c>
      <c r="BG16" s="19">
        <f t="shared" si="13"/>
        <v>19063.182105338445</v>
      </c>
      <c r="BH16" s="19">
        <f t="shared" si="13"/>
        <v>19635.0775684986</v>
      </c>
      <c r="BI16" s="19">
        <f t="shared" si="13"/>
        <v>20224.12989555356</v>
      </c>
      <c r="BJ16" s="19">
        <f t="shared" si="13"/>
        <v>20830.853792420166</v>
      </c>
      <c r="BK16" s="19">
        <f t="shared" si="13"/>
        <v>21455.779406192771</v>
      </c>
      <c r="BL16" s="19">
        <f t="shared" si="13"/>
        <v>22099.452788378556</v>
      </c>
      <c r="BM16" s="19">
        <f t="shared" si="13"/>
        <v>22762.436372029912</v>
      </c>
      <c r="BN16" s="19">
        <f t="shared" si="13"/>
        <v>23445.30946319081</v>
      </c>
      <c r="BO16" s="19">
        <f t="shared" si="13"/>
        <v>24148.668747086536</v>
      </c>
      <c r="BP16" s="19">
        <f t="shared" si="13"/>
        <v>24873.128809499132</v>
      </c>
      <c r="BQ16" s="19">
        <f t="shared" si="13"/>
        <v>25619.322673784107</v>
      </c>
      <c r="BR16" s="19">
        <f t="shared" si="13"/>
        <v>26387.90235399763</v>
      </c>
      <c r="BS16" s="19">
        <f t="shared" si="13"/>
        <v>27179.53942461756</v>
      </c>
      <c r="BT16" s="19">
        <f t="shared" si="13"/>
        <v>27994.925607356086</v>
      </c>
      <c r="BU16" s="19">
        <f t="shared" si="13"/>
        <v>28834.773375576769</v>
      </c>
    </row>
    <row r="17" spans="2:43" x14ac:dyDescent="0.2">
      <c r="B17" s="17" t="s">
        <v>51</v>
      </c>
      <c r="D17" s="18">
        <v>65</v>
      </c>
      <c r="E17" s="18">
        <v>65</v>
      </c>
      <c r="F17" s="18">
        <v>66</v>
      </c>
      <c r="G17" s="18">
        <v>81</v>
      </c>
      <c r="H17" s="18">
        <v>328</v>
      </c>
      <c r="I17" s="18">
        <v>329</v>
      </c>
      <c r="J17" s="18">
        <v>330</v>
      </c>
      <c r="K17" s="18">
        <v>330</v>
      </c>
      <c r="L17" s="18">
        <v>353</v>
      </c>
      <c r="M17" s="18">
        <v>381</v>
      </c>
      <c r="N17" s="18">
        <v>395</v>
      </c>
      <c r="O17" s="18">
        <v>381</v>
      </c>
      <c r="P17" s="18">
        <v>430</v>
      </c>
      <c r="Q17" s="18">
        <v>431</v>
      </c>
      <c r="R17" s="18">
        <v>434</v>
      </c>
    </row>
    <row r="18" spans="2:43" x14ac:dyDescent="0.2">
      <c r="B18" s="17" t="s">
        <v>52</v>
      </c>
      <c r="D18" s="21">
        <f t="shared" ref="D18:R18" si="14">+D16/D17</f>
        <v>-1.1134769230769233</v>
      </c>
      <c r="E18" s="21">
        <f t="shared" si="14"/>
        <v>-1.3938615384615385</v>
      </c>
      <c r="F18" s="21">
        <f t="shared" si="14"/>
        <v>-1.222075757575757</v>
      </c>
      <c r="G18" s="21">
        <f t="shared" si="14"/>
        <v>-4.7498024691358021</v>
      </c>
      <c r="H18" s="21">
        <f t="shared" si="14"/>
        <v>-0.40378353658536575</v>
      </c>
      <c r="I18" s="21">
        <f t="shared" si="14"/>
        <v>-0.4104984802431611</v>
      </c>
      <c r="J18" s="21">
        <f t="shared" si="14"/>
        <v>-0.37331515151515154</v>
      </c>
      <c r="K18" s="21">
        <f t="shared" si="14"/>
        <v>-1.5618515151515153</v>
      </c>
      <c r="L18" s="21">
        <f t="shared" si="14"/>
        <v>-0.35127478753541075</v>
      </c>
      <c r="M18" s="21">
        <f t="shared" si="14"/>
        <v>-0.30708661417322836</v>
      </c>
      <c r="N18" s="21">
        <f t="shared" si="14"/>
        <v>-0.58987341772151902</v>
      </c>
      <c r="O18" s="21">
        <f t="shared" si="14"/>
        <v>-1.9607979002624671</v>
      </c>
      <c r="P18" s="21">
        <f t="shared" si="14"/>
        <v>2.8395348837209302</v>
      </c>
      <c r="Q18" s="21">
        <f t="shared" si="14"/>
        <v>6.4501160092807428</v>
      </c>
      <c r="R18" s="21">
        <f t="shared" si="14"/>
        <v>7.6797235023041477</v>
      </c>
    </row>
    <row r="19" spans="2:43" x14ac:dyDescent="0.2">
      <c r="W19" s="22">
        <f t="shared" ref="W19:X19" si="15">+W10/W5</f>
        <v>4.2746617089873622</v>
      </c>
      <c r="X19" s="22">
        <f t="shared" si="15"/>
        <v>12.496743413744314</v>
      </c>
      <c r="Y19" s="22">
        <f>+Y10/Y5</f>
        <v>19.115342172582722</v>
      </c>
      <c r="Z19" s="22">
        <f>+Z10/Z5</f>
        <v>71.787234042553195</v>
      </c>
      <c r="AA19" s="22">
        <f>+AA10/AA5</f>
        <v>0</v>
      </c>
      <c r="AB19" s="22">
        <f t="shared" ref="AB19:AN19" si="16">+AB10/AB5</f>
        <v>0</v>
      </c>
      <c r="AC19" s="22">
        <f t="shared" si="16"/>
        <v>0</v>
      </c>
      <c r="AD19" s="22">
        <f t="shared" si="16"/>
        <v>0</v>
      </c>
      <c r="AE19" s="22">
        <f t="shared" si="16"/>
        <v>0</v>
      </c>
      <c r="AF19" s="22">
        <f t="shared" si="16"/>
        <v>0</v>
      </c>
      <c r="AG19" s="22">
        <f t="shared" si="16"/>
        <v>0</v>
      </c>
      <c r="AH19" s="22">
        <f t="shared" si="16"/>
        <v>0</v>
      </c>
      <c r="AI19" s="22">
        <f t="shared" si="16"/>
        <v>0</v>
      </c>
      <c r="AJ19" s="22">
        <f t="shared" si="16"/>
        <v>0</v>
      </c>
      <c r="AK19" s="22">
        <f t="shared" si="16"/>
        <v>0</v>
      </c>
      <c r="AL19" s="22">
        <f t="shared" si="16"/>
        <v>0</v>
      </c>
      <c r="AM19" s="22">
        <f t="shared" si="16"/>
        <v>0</v>
      </c>
      <c r="AN19" s="22">
        <f t="shared" si="16"/>
        <v>0</v>
      </c>
    </row>
    <row r="20" spans="2:43" x14ac:dyDescent="0.2">
      <c r="B20" s="17" t="s">
        <v>53</v>
      </c>
      <c r="D20" s="22">
        <f t="shared" ref="D20:Q20" si="17">+D11/D6</f>
        <v>-2.6654499121870585</v>
      </c>
      <c r="E20" s="22">
        <f t="shared" si="17"/>
        <v>-3.3626217462133026</v>
      </c>
      <c r="F20" s="22">
        <f t="shared" si="17"/>
        <v>-2.0551763776133338</v>
      </c>
      <c r="G20" s="22">
        <f t="shared" si="17"/>
        <v>-3.0596884532235609</v>
      </c>
      <c r="H20" s="22">
        <f t="shared" si="17"/>
        <v>-8.8507332293291743</v>
      </c>
      <c r="I20" s="22">
        <f>+I11/I6</f>
        <v>-11.001758006573414</v>
      </c>
      <c r="J20" s="22">
        <f t="shared" si="17"/>
        <v>-7.6766983456529392</v>
      </c>
      <c r="K20" s="22">
        <f t="shared" si="17"/>
        <v>-9.0637612317095453</v>
      </c>
      <c r="L20" s="22">
        <f t="shared" si="17"/>
        <v>-16.375</v>
      </c>
      <c r="M20" s="22">
        <f t="shared" si="17"/>
        <v>-1.8208955223880596</v>
      </c>
      <c r="N20" s="22">
        <f t="shared" si="17"/>
        <v>-1.4968152866242037</v>
      </c>
      <c r="O20" s="22">
        <f t="shared" si="17"/>
        <v>-0.94989886668450763</v>
      </c>
      <c r="P20" s="22">
        <f t="shared" si="17"/>
        <v>0.65358802271553951</v>
      </c>
      <c r="Q20" s="22">
        <f t="shared" si="17"/>
        <v>0.70326136885622414</v>
      </c>
      <c r="R20" s="22">
        <f>+R11/R6</f>
        <v>0.71603944455624879</v>
      </c>
      <c r="W20" s="22">
        <f t="shared" ref="W20:X20" si="18">+W15/W5</f>
        <v>3.8123926293742501E-3</v>
      </c>
      <c r="X20" s="22">
        <f t="shared" si="18"/>
        <v>-5.4958547223424076E-4</v>
      </c>
      <c r="Y20" s="22">
        <f>+Y15/Y5</f>
        <v>2.9686167633633735E-2</v>
      </c>
      <c r="Z20" s="22">
        <f>+Z16/Z6</f>
        <v>0.65133214920071048</v>
      </c>
      <c r="AA20" s="22">
        <f>+AA16/AA6</f>
        <v>0.63830550621669624</v>
      </c>
      <c r="AB20" s="22">
        <f t="shared" ref="AB20:AN20" si="19">+AB16/AB6</f>
        <v>0.63830550621669624</v>
      </c>
      <c r="AC20" s="22">
        <f t="shared" si="19"/>
        <v>0.63830550621669624</v>
      </c>
      <c r="AD20" s="22">
        <f t="shared" si="19"/>
        <v>0.63830550621669635</v>
      </c>
      <c r="AE20" s="22">
        <f>+AE16/AE6</f>
        <v>0.63830550621669635</v>
      </c>
      <c r="AF20" s="22">
        <f>+AF16/AF6</f>
        <v>0.63830550621669624</v>
      </c>
      <c r="AG20" s="22">
        <f t="shared" si="19"/>
        <v>0.63830550621669624</v>
      </c>
      <c r="AH20" s="22">
        <f t="shared" si="19"/>
        <v>0.63830550621669624</v>
      </c>
      <c r="AI20" s="22">
        <f t="shared" si="19"/>
        <v>0.63830550621669624</v>
      </c>
      <c r="AJ20" s="22">
        <f t="shared" si="19"/>
        <v>0.63830550621669624</v>
      </c>
      <c r="AK20" s="22">
        <f t="shared" si="19"/>
        <v>0.63830550621669624</v>
      </c>
      <c r="AL20" s="22">
        <f t="shared" si="19"/>
        <v>0.63830550621669624</v>
      </c>
      <c r="AM20" s="22">
        <f t="shared" si="19"/>
        <v>0.63830550621669613</v>
      </c>
      <c r="AN20" s="22">
        <f t="shared" si="19"/>
        <v>0.63830550621669613</v>
      </c>
      <c r="AP20" s="17" t="s">
        <v>54</v>
      </c>
      <c r="AQ20" s="22">
        <v>-0.02</v>
      </c>
    </row>
    <row r="21" spans="2:43" x14ac:dyDescent="0.2">
      <c r="B21" s="17" t="s">
        <v>55</v>
      </c>
      <c r="D21" s="22">
        <f t="shared" ref="D21:Q21" si="20">+D16/D6</f>
        <v>-2.4923723268707603</v>
      </c>
      <c r="E21" s="22">
        <f t="shared" si="20"/>
        <v>-3.1403070950746939</v>
      </c>
      <c r="F21" s="22">
        <f t="shared" si="20"/>
        <v>-1.9315803338362423</v>
      </c>
      <c r="G21" s="22">
        <f t="shared" si="20"/>
        <v>-2.8484467083246954</v>
      </c>
      <c r="H21" s="22">
        <f t="shared" si="20"/>
        <v>-8.2646489859594379</v>
      </c>
      <c r="I21" s="22">
        <f t="shared" si="20"/>
        <v>-10.322861728961247</v>
      </c>
      <c r="J21" s="22">
        <f t="shared" si="20"/>
        <v>-7.2271500645312692</v>
      </c>
      <c r="K21" s="22">
        <f t="shared" si="20"/>
        <v>-8.560364729525487</v>
      </c>
      <c r="L21" s="22">
        <f t="shared" si="20"/>
        <v>-15.5</v>
      </c>
      <c r="M21" s="22">
        <f t="shared" si="20"/>
        <v>-1.7462686567164178</v>
      </c>
      <c r="N21" s="22">
        <f t="shared" si="20"/>
        <v>-1.484076433121019</v>
      </c>
      <c r="O21" s="22">
        <f t="shared" si="20"/>
        <v>-0.92988380559998507</v>
      </c>
      <c r="P21" s="22">
        <f t="shared" si="20"/>
        <v>0.63035622096024779</v>
      </c>
      <c r="Q21" s="22">
        <f t="shared" si="20"/>
        <v>0.63849333945796971</v>
      </c>
      <c r="R21" s="22">
        <f>+R16/R6</f>
        <v>0.67075870396458037</v>
      </c>
      <c r="AP21" s="17" t="s">
        <v>56</v>
      </c>
      <c r="AQ21" s="22">
        <v>0.05</v>
      </c>
    </row>
    <row r="22" spans="2:43" x14ac:dyDescent="0.2">
      <c r="B22" s="17" t="s">
        <v>49</v>
      </c>
      <c r="F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AP22" s="17" t="s">
        <v>57</v>
      </c>
      <c r="AQ22" s="23">
        <f>NPV(AQ21,W16:BT16)</f>
        <v>182354.44507702184</v>
      </c>
    </row>
    <row r="23" spans="2:43" x14ac:dyDescent="0.2">
      <c r="AP23" s="17" t="s">
        <v>58</v>
      </c>
      <c r="AQ23" s="18">
        <v>18969</v>
      </c>
    </row>
    <row r="24" spans="2:43" x14ac:dyDescent="0.2">
      <c r="B24" s="17" t="s">
        <v>59</v>
      </c>
      <c r="H24" s="22">
        <f t="shared" ref="H24:Q24" si="21">+H6/G6-1</f>
        <v>-0.88135605768946013</v>
      </c>
      <c r="I24" s="22">
        <f t="shared" si="21"/>
        <v>-0.18358814352574082</v>
      </c>
      <c r="J24" s="22">
        <f t="shared" si="21"/>
        <v>0.30291217610639731</v>
      </c>
      <c r="K24" s="22">
        <f t="shared" si="21"/>
        <v>2.532148304587587</v>
      </c>
      <c r="L24" s="22">
        <f t="shared" si="21"/>
        <v>-0.86712949891212276</v>
      </c>
      <c r="M24" s="22">
        <f>+M6/L6-1</f>
        <v>7.375</v>
      </c>
      <c r="N24" s="22">
        <f t="shared" si="21"/>
        <v>1.3432835820895521</v>
      </c>
      <c r="O24" s="22">
        <f t="shared" si="21"/>
        <v>4.1171656050955416</v>
      </c>
      <c r="P24" s="22">
        <f t="shared" si="21"/>
        <v>1.4110182413383208</v>
      </c>
      <c r="Q24" s="22">
        <f t="shared" si="21"/>
        <v>1.247805885389778</v>
      </c>
      <c r="R24" s="22">
        <f>+R6/Q6-1</f>
        <v>0.14124942581534228</v>
      </c>
      <c r="X24" s="22">
        <f>+X6/W6-1</f>
        <v>-0.54684191466246301</v>
      </c>
      <c r="Y24" s="22">
        <f>+Y6/X6-1</f>
        <v>8.7345411468273735</v>
      </c>
      <c r="Z24" s="22">
        <f>+Z6/Y6-1</f>
        <v>9.8750766615639449</v>
      </c>
      <c r="AA24" s="22">
        <f t="shared" ref="AA24:AN24" si="22">+AA6/Z6-1</f>
        <v>3.0000000000000027E-2</v>
      </c>
      <c r="AB24" s="22">
        <f t="shared" si="22"/>
        <v>3.0000000000000027E-2</v>
      </c>
      <c r="AC24" s="22">
        <f t="shared" si="22"/>
        <v>3.0000000000000027E-2</v>
      </c>
      <c r="AD24" s="22">
        <f t="shared" si="22"/>
        <v>3.0000000000000027E-2</v>
      </c>
      <c r="AE24" s="22">
        <f t="shared" si="22"/>
        <v>3.0000000000000027E-2</v>
      </c>
      <c r="AF24" s="22">
        <f>+AF6/AE6-1</f>
        <v>3.0000000000000027E-2</v>
      </c>
      <c r="AG24" s="22">
        <f>+AG6/AF6-1</f>
        <v>3.0000000000000027E-2</v>
      </c>
      <c r="AH24" s="22">
        <f t="shared" si="22"/>
        <v>3.0000000000000027E-2</v>
      </c>
      <c r="AI24" s="22">
        <f t="shared" si="22"/>
        <v>3.0000000000000027E-2</v>
      </c>
      <c r="AJ24" s="22">
        <f t="shared" si="22"/>
        <v>3.0000000000000027E-2</v>
      </c>
      <c r="AK24" s="22">
        <f t="shared" si="22"/>
        <v>3.0000000000000027E-2</v>
      </c>
      <c r="AL24" s="22">
        <f t="shared" si="22"/>
        <v>3.0000000000000027E-2</v>
      </c>
      <c r="AM24" s="22">
        <f t="shared" si="22"/>
        <v>3.0000000000000027E-2</v>
      </c>
      <c r="AN24" s="22">
        <f t="shared" si="22"/>
        <v>3.0000000000000027E-2</v>
      </c>
      <c r="AP24" s="17" t="s">
        <v>60</v>
      </c>
      <c r="AQ24" s="18">
        <f>+AQ22+AQ23</f>
        <v>201323.44507702184</v>
      </c>
    </row>
    <row r="25" spans="2:43" x14ac:dyDescent="0.2">
      <c r="AP25" s="17" t="s">
        <v>61</v>
      </c>
      <c r="AQ25" s="17">
        <v>445</v>
      </c>
    </row>
    <row r="26" spans="2:43" x14ac:dyDescent="0.2">
      <c r="AP26" s="17" t="s">
        <v>62</v>
      </c>
      <c r="AQ26" s="21">
        <f>+AQ24/AQ25</f>
        <v>452.41223612813894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mRNA-1345</vt:lpstr>
      <vt:lpstr>NCT04528719</vt:lpstr>
      <vt:lpstr>ConquerRSV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2022-02-24T23:28:55Z</dcterms:created>
  <dcterms:modified xsi:type="dcterms:W3CDTF">2022-04-14T23:22:44Z</dcterms:modified>
</cp:coreProperties>
</file>