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Case\Documents\xl\"/>
    </mc:Choice>
  </mc:AlternateContent>
  <xr:revisionPtr revIDLastSave="0" documentId="13_ncr:1_{63977222-F7A9-4FFE-BC0B-4A16E4C8A0AE}" xr6:coauthVersionLast="47" xr6:coauthVersionMax="47" xr10:uidLastSave="{00000000-0000-0000-0000-000000000000}"/>
  <bookViews>
    <workbookView xWindow="-120" yWindow="-120" windowWidth="29040" windowHeight="16440" xr2:uid="{5061EEC2-B42A-4022-A6BD-0F00741FC6A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9" i="2" l="1"/>
  <c r="AH3" i="2"/>
  <c r="AI3" i="2" s="1"/>
  <c r="AJ3" i="2" s="1"/>
  <c r="AG3" i="2"/>
  <c r="AE3" i="2"/>
  <c r="AF3" i="2" s="1"/>
  <c r="AD3" i="2"/>
  <c r="AC3" i="2"/>
  <c r="AB3" i="2"/>
  <c r="AA3" i="2"/>
  <c r="T3" i="2"/>
  <c r="S3" i="2"/>
  <c r="R3" i="2"/>
  <c r="Q3" i="2"/>
  <c r="AC6" i="2"/>
  <c r="AD6" i="2" s="1"/>
  <c r="AE6" i="2" s="1"/>
  <c r="AF6" i="2" s="1"/>
  <c r="AG6" i="2" s="1"/>
  <c r="AH6" i="2" s="1"/>
  <c r="AI6" i="2" s="1"/>
  <c r="AJ6" i="2" s="1"/>
  <c r="AB6" i="2"/>
  <c r="AB20" i="2" s="1"/>
  <c r="AA6" i="2"/>
  <c r="Z17" i="2"/>
  <c r="Y17" i="2"/>
  <c r="X17" i="2"/>
  <c r="Z16" i="2"/>
  <c r="Y16" i="2"/>
  <c r="X16" i="2"/>
  <c r="AA20" i="2"/>
  <c r="Y20" i="2"/>
  <c r="Z20" i="2"/>
  <c r="AA8" i="2"/>
  <c r="AJ13" i="2"/>
  <c r="AI13" i="2"/>
  <c r="AH13" i="2"/>
  <c r="AG13" i="2"/>
  <c r="AF13" i="2"/>
  <c r="AE13" i="2"/>
  <c r="AD13" i="2"/>
  <c r="AC13" i="2"/>
  <c r="AB13" i="2"/>
  <c r="S8" i="2"/>
  <c r="Q8" i="2"/>
  <c r="T6" i="2"/>
  <c r="T19" i="2"/>
  <c r="S19" i="2"/>
  <c r="R5" i="2"/>
  <c r="R15" i="2" s="1"/>
  <c r="T20" i="2"/>
  <c r="S20" i="2"/>
  <c r="R20" i="2"/>
  <c r="Q20" i="2"/>
  <c r="S6" i="2"/>
  <c r="R6" i="2"/>
  <c r="Q6" i="2"/>
  <c r="S5" i="2"/>
  <c r="S15" i="2" s="1"/>
  <c r="S4" i="2"/>
  <c r="AA13" i="2"/>
  <c r="N20" i="2"/>
  <c r="O20" i="2"/>
  <c r="P20" i="2"/>
  <c r="M70" i="2"/>
  <c r="M62" i="2"/>
  <c r="M55" i="2"/>
  <c r="M33" i="2"/>
  <c r="M29" i="2"/>
  <c r="M23" i="2"/>
  <c r="M31" i="2" s="1"/>
  <c r="M41" i="2"/>
  <c r="M8" i="2"/>
  <c r="M5" i="2"/>
  <c r="M7" i="2" s="1"/>
  <c r="M9" i="2" s="1"/>
  <c r="M11" i="2" s="1"/>
  <c r="M12" i="2" s="1"/>
  <c r="J17" i="2"/>
  <c r="Y19" i="2"/>
  <c r="Z19" i="2"/>
  <c r="X8" i="2"/>
  <c r="X5" i="2"/>
  <c r="X7" i="2" s="1"/>
  <c r="X9" i="2" s="1"/>
  <c r="X11" i="2" s="1"/>
  <c r="X12" i="2" s="1"/>
  <c r="Y8" i="2"/>
  <c r="Y5" i="2"/>
  <c r="Y7" i="2" s="1"/>
  <c r="Z8" i="2"/>
  <c r="Z5" i="2"/>
  <c r="Z7" i="2" s="1"/>
  <c r="N33" i="2"/>
  <c r="N41" i="2" s="1"/>
  <c r="N29" i="2"/>
  <c r="N31" i="2" s="1"/>
  <c r="N23" i="2"/>
  <c r="J8" i="2"/>
  <c r="J5" i="2"/>
  <c r="J7" i="2" s="1"/>
  <c r="J9" i="2" s="1"/>
  <c r="J11" i="2" s="1"/>
  <c r="J12" i="2" s="1"/>
  <c r="N19" i="2"/>
  <c r="N8" i="2"/>
  <c r="N5" i="2"/>
  <c r="N7" i="2" s="1"/>
  <c r="N16" i="2" s="1"/>
  <c r="O70" i="2"/>
  <c r="O62" i="2"/>
  <c r="O55" i="2"/>
  <c r="O29" i="2"/>
  <c r="O23" i="2"/>
  <c r="O31" i="2" s="1"/>
  <c r="O41" i="2"/>
  <c r="O19" i="2"/>
  <c r="K8" i="2"/>
  <c r="K5" i="2"/>
  <c r="K7" i="2" s="1"/>
  <c r="K16" i="2" s="1"/>
  <c r="O8" i="2"/>
  <c r="O5" i="2"/>
  <c r="O7" i="2" s="1"/>
  <c r="O16" i="2" s="1"/>
  <c r="S7" i="2" l="1"/>
  <c r="S16" i="2" s="1"/>
  <c r="Q19" i="2"/>
  <c r="Q5" i="2"/>
  <c r="AJ20" i="2"/>
  <c r="AG20" i="2"/>
  <c r="AH20" i="2"/>
  <c r="AI20" i="2"/>
  <c r="AE20" i="2"/>
  <c r="AF20" i="2"/>
  <c r="AC20" i="2"/>
  <c r="AD20" i="2"/>
  <c r="AB5" i="2"/>
  <c r="T5" i="2"/>
  <c r="T15" i="2" s="1"/>
  <c r="R19" i="2"/>
  <c r="R7" i="2"/>
  <c r="R16" i="2" s="1"/>
  <c r="R4" i="2"/>
  <c r="Q4" i="2"/>
  <c r="AA5" i="2"/>
  <c r="M16" i="2"/>
  <c r="M44" i="2"/>
  <c r="M17" i="2"/>
  <c r="M15" i="2"/>
  <c r="M22" i="2"/>
  <c r="M71" i="2"/>
  <c r="J16" i="2"/>
  <c r="K9" i="2"/>
  <c r="Z9" i="2"/>
  <c r="Z11" i="2" s="1"/>
  <c r="Z12" i="2" s="1"/>
  <c r="Z15" i="2"/>
  <c r="Y15" i="2"/>
  <c r="X15" i="2"/>
  <c r="J15" i="2"/>
  <c r="Y9" i="2"/>
  <c r="Y11" i="2" s="1"/>
  <c r="Y12" i="2" s="1"/>
  <c r="N22" i="2"/>
  <c r="O9" i="2"/>
  <c r="O22" i="2"/>
  <c r="N15" i="2"/>
  <c r="O71" i="2"/>
  <c r="N9" i="2"/>
  <c r="O15" i="2"/>
  <c r="K15" i="2"/>
  <c r="Q7" i="2" l="1"/>
  <c r="Q15" i="2"/>
  <c r="AB7" i="2"/>
  <c r="AB16" i="2" s="1"/>
  <c r="AB15" i="2"/>
  <c r="AB19" i="2"/>
  <c r="AC5" i="2"/>
  <c r="AC4" i="2" s="1"/>
  <c r="AB4" i="2"/>
  <c r="T4" i="2"/>
  <c r="T7" i="2"/>
  <c r="T16" i="2" s="1"/>
  <c r="AA15" i="2"/>
  <c r="AA4" i="2"/>
  <c r="N11" i="2"/>
  <c r="N12" i="2" s="1"/>
  <c r="N17" i="2"/>
  <c r="K11" i="2"/>
  <c r="K12" i="2" s="1"/>
  <c r="K17" i="2"/>
  <c r="O11" i="2"/>
  <c r="O12" i="2" s="1"/>
  <c r="O17" i="2"/>
  <c r="O44" i="2"/>
  <c r="Q16" i="2" l="1"/>
  <c r="Q9" i="2"/>
  <c r="AA7" i="2"/>
  <c r="AA16" i="2" s="1"/>
  <c r="AC7" i="2"/>
  <c r="AC16" i="2" s="1"/>
  <c r="AC15" i="2"/>
  <c r="AC19" i="2"/>
  <c r="AD5" i="2"/>
  <c r="Q10" i="2" l="1"/>
  <c r="Q17" i="2" s="1"/>
  <c r="Q11" i="2"/>
  <c r="AD7" i="2"/>
  <c r="AD16" i="2" s="1"/>
  <c r="AD15" i="2"/>
  <c r="AD19" i="2"/>
  <c r="AD4" i="2"/>
  <c r="AE5" i="2"/>
  <c r="Q12" i="2" l="1"/>
  <c r="Q22" i="2"/>
  <c r="R8" i="2" s="1"/>
  <c r="R9" i="2" s="1"/>
  <c r="AA9" i="2" s="1"/>
  <c r="AE7" i="2"/>
  <c r="AE16" i="2" s="1"/>
  <c r="AE15" i="2"/>
  <c r="AE19" i="2"/>
  <c r="AE4" i="2"/>
  <c r="AF5" i="2"/>
  <c r="AF4" i="2" s="1"/>
  <c r="R10" i="2"/>
  <c r="AF7" i="2" l="1"/>
  <c r="AF16" i="2" s="1"/>
  <c r="AF15" i="2"/>
  <c r="AF19" i="2"/>
  <c r="AG5" i="2"/>
  <c r="AA10" i="2"/>
  <c r="AA17" i="2" s="1"/>
  <c r="R17" i="2"/>
  <c r="R11" i="2"/>
  <c r="AA11" i="2" s="1"/>
  <c r="AG7" i="2" l="1"/>
  <c r="AG16" i="2" s="1"/>
  <c r="AG15" i="2"/>
  <c r="AG19" i="2"/>
  <c r="AG4" i="2"/>
  <c r="AH5" i="2"/>
  <c r="R12" i="2"/>
  <c r="AH7" i="2" l="1"/>
  <c r="AH16" i="2" s="1"/>
  <c r="AH15" i="2"/>
  <c r="AH19" i="2"/>
  <c r="AH4" i="2"/>
  <c r="AI5" i="2"/>
  <c r="AA12" i="2"/>
  <c r="AA22" i="2"/>
  <c r="S9" i="2"/>
  <c r="AI7" i="2" l="1"/>
  <c r="AI16" i="2" s="1"/>
  <c r="AI15" i="2"/>
  <c r="AJ19" i="2"/>
  <c r="AI19" i="2"/>
  <c r="AI4" i="2"/>
  <c r="AJ5" i="2"/>
  <c r="AB8" i="2"/>
  <c r="AB9" i="2" s="1"/>
  <c r="AB10" i="2" s="1"/>
  <c r="S10" i="2"/>
  <c r="AJ7" i="2" l="1"/>
  <c r="AJ16" i="2" s="1"/>
  <c r="AJ15" i="2"/>
  <c r="AB11" i="2"/>
  <c r="AB22" i="2" s="1"/>
  <c r="AC8" i="2" s="1"/>
  <c r="AC9" i="2" s="1"/>
  <c r="AC10" i="2" s="1"/>
  <c r="AB17" i="2"/>
  <c r="AJ4" i="2"/>
  <c r="S11" i="2"/>
  <c r="S12" i="2" s="1"/>
  <c r="S17" i="2"/>
  <c r="AB12" i="2" l="1"/>
  <c r="S22" i="2"/>
  <c r="T8" i="2" s="1"/>
  <c r="T9" i="2" s="1"/>
  <c r="AC11" i="2"/>
  <c r="AC12" i="2" s="1"/>
  <c r="AC17" i="2"/>
  <c r="AC22" i="2" l="1"/>
  <c r="AD8" i="2" s="1"/>
  <c r="AD9" i="2" s="1"/>
  <c r="AD10" i="2" s="1"/>
  <c r="T10" i="2"/>
  <c r="AD11" i="2" l="1"/>
  <c r="AD17" i="2"/>
  <c r="T11" i="2"/>
  <c r="T12" i="2" s="1"/>
  <c r="T17" i="2"/>
  <c r="T22" i="2"/>
  <c r="AD22" i="2" l="1"/>
  <c r="AD12" i="2"/>
  <c r="AE8" i="2" l="1"/>
  <c r="AE9" i="2" s="1"/>
  <c r="AE10" i="2" s="1"/>
  <c r="AE11" i="2" l="1"/>
  <c r="AE17" i="2"/>
  <c r="AE12" i="2" l="1"/>
  <c r="AE22" i="2"/>
  <c r="AF8" i="2" s="1"/>
  <c r="AF9" i="2" s="1"/>
  <c r="AF10" i="2" s="1"/>
  <c r="AF11" i="2" l="1"/>
  <c r="AF17" i="2"/>
  <c r="AF22" i="2" l="1"/>
  <c r="AF12" i="2"/>
  <c r="AG8" i="2" l="1"/>
  <c r="AG9" i="2" s="1"/>
  <c r="AG10" i="2" s="1"/>
  <c r="AG11" i="2" l="1"/>
  <c r="AG17" i="2"/>
  <c r="AG12" i="2" l="1"/>
  <c r="AG22" i="2"/>
  <c r="AH8" i="2" s="1"/>
  <c r="AH9" i="2" s="1"/>
  <c r="AH10" i="2" s="1"/>
  <c r="AH11" i="2" l="1"/>
  <c r="AH17" i="2"/>
  <c r="AH22" i="2" l="1"/>
  <c r="AH12" i="2"/>
  <c r="P70" i="2"/>
  <c r="P62" i="2"/>
  <c r="P55" i="2"/>
  <c r="AI8" i="2" l="1"/>
  <c r="AI9" i="2" s="1"/>
  <c r="AI10" i="2" s="1"/>
  <c r="P71" i="2"/>
  <c r="AI11" i="2" l="1"/>
  <c r="AI17" i="2"/>
  <c r="AI12" i="2" l="1"/>
  <c r="AI22" i="2"/>
  <c r="AJ8" i="2" l="1"/>
  <c r="AJ9" i="2" s="1"/>
  <c r="AJ10" i="2" s="1"/>
  <c r="AJ11" i="2" l="1"/>
  <c r="AJ17" i="2"/>
  <c r="AJ12" i="2" l="1"/>
  <c r="AK11" i="2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AJ22" i="2"/>
  <c r="W31" i="2" l="1"/>
  <c r="W32" i="2" s="1"/>
  <c r="W33" i="2" s="1"/>
  <c r="W35" i="2" s="1"/>
  <c r="P41" i="2" l="1"/>
  <c r="L7" i="1"/>
  <c r="P29" i="2"/>
  <c r="P23" i="2"/>
  <c r="P22" i="2" s="1"/>
  <c r="P19" i="2"/>
  <c r="P8" i="2"/>
  <c r="L8" i="2"/>
  <c r="L5" i="2"/>
  <c r="L7" i="2" s="1"/>
  <c r="P5" i="2"/>
  <c r="P7" i="2" s="1"/>
  <c r="X2" i="2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L8" i="1"/>
  <c r="L6" i="1"/>
  <c r="L5" i="1"/>
  <c r="L4" i="1"/>
  <c r="L15" i="2" l="1"/>
  <c r="L9" i="2"/>
  <c r="L17" i="2" s="1"/>
  <c r="L16" i="2"/>
  <c r="P9" i="2"/>
  <c r="P16" i="2"/>
  <c r="P15" i="2"/>
  <c r="P31" i="2"/>
  <c r="L11" i="2"/>
  <c r="L12" i="2" s="1"/>
  <c r="P11" i="2" l="1"/>
  <c r="P17" i="2"/>
  <c r="P44" i="2" l="1"/>
  <c r="P12" i="2"/>
</calcChain>
</file>

<file path=xl/sharedStrings.xml><?xml version="1.0" encoding="utf-8"?>
<sst xmlns="http://schemas.openxmlformats.org/spreadsheetml/2006/main" count="96" uniqueCount="83">
  <si>
    <t>Price</t>
  </si>
  <si>
    <t>Shares</t>
  </si>
  <si>
    <t>MC</t>
  </si>
  <si>
    <t>Cash</t>
  </si>
  <si>
    <t>Debt</t>
  </si>
  <si>
    <t>EV</t>
  </si>
  <si>
    <t>Q321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</si>
  <si>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</si>
  <si>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</si>
  <si>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</si>
  <si>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</si>
  <si>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</si>
  <si>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</si>
  <si>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</si>
  <si>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</si>
  <si>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</si>
  <si>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</si>
  <si>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Q421</t>
  </si>
  <si>
    <t>Q122</t>
  </si>
  <si>
    <t>Q222</t>
  </si>
  <si>
    <t>Q322</t>
  </si>
  <si>
    <t>Q422</t>
  </si>
  <si>
    <t>Revenue</t>
  </si>
  <si>
    <t>COGS</t>
  </si>
  <si>
    <t>Gross Profit</t>
  </si>
  <si>
    <t>sG&amp;A</t>
  </si>
  <si>
    <t>Operating Income</t>
  </si>
  <si>
    <t>Pretax Income</t>
  </si>
  <si>
    <t>Taxes</t>
  </si>
  <si>
    <t>Net Income</t>
  </si>
  <si>
    <t>EPS</t>
  </si>
  <si>
    <t>Gross Margin %</t>
  </si>
  <si>
    <t>Revenue Growth Y/Y</t>
  </si>
  <si>
    <t>A/R</t>
  </si>
  <si>
    <t>Inventory</t>
  </si>
  <si>
    <t>Prepaids</t>
  </si>
  <si>
    <t>PP&amp;E</t>
  </si>
  <si>
    <t>Operating lease</t>
  </si>
  <si>
    <t>Intangibles</t>
  </si>
  <si>
    <t>D/T</t>
  </si>
  <si>
    <t>Total Assets</t>
  </si>
  <si>
    <t>A/P</t>
  </si>
  <si>
    <t>Notes</t>
  </si>
  <si>
    <t>Operating Lease</t>
  </si>
  <si>
    <t>Tax payable</t>
  </si>
  <si>
    <t>Accured Liabilties</t>
  </si>
  <si>
    <t>Lease Liabiltiies</t>
  </si>
  <si>
    <t>Total Liabilties</t>
  </si>
  <si>
    <t>Model NI</t>
  </si>
  <si>
    <t>Reported NI</t>
  </si>
  <si>
    <t>SBC</t>
  </si>
  <si>
    <t>Depreciation</t>
  </si>
  <si>
    <t>Amortization</t>
  </si>
  <si>
    <t>Currency Adj</t>
  </si>
  <si>
    <t>CFFO</t>
  </si>
  <si>
    <t>ST Investments</t>
  </si>
  <si>
    <t>Maturity of ST Investment</t>
  </si>
  <si>
    <t>Sale of ST Investment</t>
  </si>
  <si>
    <t>CapEx</t>
  </si>
  <si>
    <t>Other Investments</t>
  </si>
  <si>
    <t>CFFI</t>
  </si>
  <si>
    <t>Borrowing Repayment</t>
  </si>
  <si>
    <t>Options</t>
  </si>
  <si>
    <t>Repurchase of Stock</t>
  </si>
  <si>
    <t>Dividend</t>
  </si>
  <si>
    <t>OFA</t>
  </si>
  <si>
    <t>CFFF</t>
  </si>
  <si>
    <t>FC</t>
  </si>
  <si>
    <t>Net Cash</t>
  </si>
  <si>
    <t>Q123</t>
  </si>
  <si>
    <t>Q223</t>
  </si>
  <si>
    <t>Operating Margin %</t>
  </si>
  <si>
    <t>Tax Rate</t>
  </si>
  <si>
    <t>sG&amp;A Growth Y/Y</t>
  </si>
  <si>
    <t>Other Expenses</t>
  </si>
  <si>
    <t>ROIC</t>
  </si>
  <si>
    <t>Maturity</t>
  </si>
  <si>
    <t>Discount</t>
  </si>
  <si>
    <t>NPV</t>
  </si>
  <si>
    <t>net</t>
  </si>
  <si>
    <t>per share</t>
  </si>
  <si>
    <t>curr share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</si>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</sst>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3" fontId="0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28575</xdr:rowOff>
    </xdr:from>
    <xdr:to>
      <xdr:col>16</xdr:col>
      <xdr:colOff>19050</xdr:colOff>
      <xdr:row>46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9A405D4-156B-4094-8D2F-59B4E462E0D9}"/>
            </a:ext>
          </a:extLst>
        </xdr:cNvPr>
        <xdr:cNvCxnSpPr/>
      </xdr:nvCxnSpPr>
      <xdr:spPr>
        <a:xfrm>
          <a:off x="11677650" y="28575"/>
          <a:ext cx="0" cy="802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0</xdr:row>
      <xdr:rowOff>28575</xdr:rowOff>
    </xdr:from>
    <xdr:to>
      <xdr:col>26</xdr:col>
      <xdr:colOff>28575</xdr:colOff>
      <xdr:row>46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E033D00-6F40-49B7-A218-68DC148E3318}"/>
            </a:ext>
          </a:extLst>
        </xdr:cNvPr>
        <xdr:cNvCxnSpPr/>
      </xdr:nvCxnSpPr>
      <xdr:spPr>
        <a:xfrm>
          <a:off x="17173575" y="28575"/>
          <a:ext cx="0" cy="801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451F-22FC-4CE7-BE51-2794052144A6}">
  <dimension ref="K3:M8"/>
  <sheetViews>
    <sheetView tabSelected="1" zoomScaleNormal="100" workbookViewId="0">
      <selection activeCell="M8" sqref="M8"/>
    </sheetView>
  </sheetViews>
  <sheetFormatPr defaultRowHeight="14.25" x14ac:dyDescent="0.2"/>
  <cols>
    <col min="13" max="13" width="9" style="3"/>
  </cols>
  <sheetData>
    <row r="3" spans="11:13" x14ac:dyDescent="0.2">
      <c r="K3" t="s">
        <v>0</v>
      </c>
      <c r="L3" s="2">
        <v>161.04</v>
      </c>
    </row>
    <row r="4" spans="11:13" x14ac:dyDescent="0.2">
      <c r="K4" t="s">
        <v>1</v>
      </c>
      <c r="L4" s="1">
        <f>305.007+1276.288</f>
        <v>1581.2950000000001</v>
      </c>
      <c r="M4" s="3" t="s">
        <v>19</v>
      </c>
    </row>
    <row r="5" spans="11:13" x14ac:dyDescent="0.2">
      <c r="K5" t="s">
        <v>2</v>
      </c>
      <c r="L5" s="1">
        <f>+L3*L4</f>
        <v>254651.74679999999</v>
      </c>
    </row>
    <row r="6" spans="11:13" x14ac:dyDescent="0.2">
      <c r="K6" t="s">
        <v>3</v>
      </c>
      <c r="L6" s="1">
        <f>10751+4352</f>
        <v>15103</v>
      </c>
      <c r="M6" s="3" t="s">
        <v>19</v>
      </c>
    </row>
    <row r="7" spans="11:13" x14ac:dyDescent="0.2">
      <c r="K7" t="s">
        <v>4</v>
      </c>
      <c r="L7" s="1">
        <f>9417</f>
        <v>9417</v>
      </c>
      <c r="M7" s="3" t="s">
        <v>19</v>
      </c>
    </row>
    <row r="8" spans="11:13" x14ac:dyDescent="0.2">
      <c r="K8" t="s">
        <v>5</v>
      </c>
      <c r="L8" s="1">
        <f>+L5-L6+L7</f>
        <v>248965.74679999999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15DC-C53F-47F4-9604-2B5766D253F4}">
  <dimension ref="B2:CV71"/>
  <sheetViews>
    <sheetView zoomScaleNormal="100" workbookViewId="0">
      <pane xSplit="2" ySplit="2" topLeftCell="P18" activePane="bottomRight" state="frozen"/>
      <selection pane="topRight" activeCell="C1" sqref="C1"/>
      <selection pane="bottomLeft" activeCell="A3" sqref="A3"/>
      <selection pane="bottomRight" activeCell="X34" sqref="X34"/>
    </sheetView>
  </sheetViews>
  <sheetFormatPr defaultRowHeight="14.25" x14ac:dyDescent="0.2"/>
  <cols>
    <col min="2" max="2" width="18" bestFit="1" customWidth="1"/>
    <col min="23" max="23" width="7.875" customWidth="1"/>
  </cols>
  <sheetData>
    <row r="2" spans="2:100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69</v>
      </c>
      <c r="T2" t="s">
        <v>70</v>
      </c>
      <c r="W2">
        <v>2018</v>
      </c>
      <c r="X2">
        <f>+W2+1</f>
        <v>2019</v>
      </c>
      <c r="Y2">
        <f t="shared" ref="Y2:AJ2" si="0">+X2+1</f>
        <v>2020</v>
      </c>
      <c r="Z2">
        <f t="shared" si="0"/>
        <v>2021</v>
      </c>
      <c r="AA2">
        <f t="shared" si="0"/>
        <v>2022</v>
      </c>
      <c r="AB2">
        <f t="shared" si="0"/>
        <v>2023</v>
      </c>
      <c r="AC2">
        <f t="shared" si="0"/>
        <v>2024</v>
      </c>
      <c r="AD2">
        <f t="shared" si="0"/>
        <v>2025</v>
      </c>
      <c r="AE2">
        <f t="shared" si="0"/>
        <v>2026</v>
      </c>
      <c r="AF2">
        <f t="shared" si="0"/>
        <v>2027</v>
      </c>
      <c r="AG2">
        <f t="shared" si="0"/>
        <v>2028</v>
      </c>
      <c r="AH2">
        <f t="shared" si="0"/>
        <v>2029</v>
      </c>
      <c r="AI2">
        <f t="shared" si="0"/>
        <v>2030</v>
      </c>
      <c r="AJ2">
        <f t="shared" si="0"/>
        <v>2031</v>
      </c>
    </row>
    <row r="3" spans="2:100" s="4" customFormat="1" ht="15" x14ac:dyDescent="0.25">
      <c r="B3" s="4" t="s">
        <v>22</v>
      </c>
      <c r="J3" s="5">
        <v>6313</v>
      </c>
      <c r="K3" s="5">
        <v>10594</v>
      </c>
      <c r="L3" s="5">
        <v>11243</v>
      </c>
      <c r="M3" s="5">
        <v>10357</v>
      </c>
      <c r="N3" s="5">
        <v>12344</v>
      </c>
      <c r="O3" s="5">
        <v>12248</v>
      </c>
      <c r="P3" s="5">
        <v>11357</v>
      </c>
      <c r="Q3" s="5">
        <f>+M3*1.12</f>
        <v>11599.840000000002</v>
      </c>
      <c r="R3" s="5">
        <f t="shared" ref="R3:T3" si="1">+N3*1.12</f>
        <v>13825.28</v>
      </c>
      <c r="S3" s="5">
        <f t="shared" si="1"/>
        <v>13717.760000000002</v>
      </c>
      <c r="T3" s="5">
        <f t="shared" si="1"/>
        <v>12719.840000000002</v>
      </c>
      <c r="X3" s="5">
        <v>39117</v>
      </c>
      <c r="Y3" s="5">
        <v>37403</v>
      </c>
      <c r="Z3" s="5">
        <v>44538</v>
      </c>
      <c r="AA3" s="5">
        <f>+SUM(O3:R3)</f>
        <v>49030.12</v>
      </c>
      <c r="AB3" s="5">
        <f>+AA3*1.17</f>
        <v>57365.240400000002</v>
      </c>
      <c r="AC3" s="5">
        <f t="shared" ref="AC3" si="2">+AB3*1.17</f>
        <v>67117.331267999994</v>
      </c>
      <c r="AD3" s="5">
        <f>+AC3*1.14</f>
        <v>76513.757645519989</v>
      </c>
      <c r="AE3" s="5">
        <f t="shared" ref="AE3:AF3" si="3">+AD3*1.14</f>
        <v>87225.683715892781</v>
      </c>
      <c r="AF3" s="5">
        <f t="shared" si="3"/>
        <v>99437.279436117766</v>
      </c>
      <c r="AG3" s="5">
        <f>+AF3*1.09</f>
        <v>108386.63458536837</v>
      </c>
      <c r="AH3" s="5">
        <f t="shared" ref="AH3:AJ3" si="4">+AG3*1.09</f>
        <v>118141.43169805154</v>
      </c>
      <c r="AI3" s="5">
        <f t="shared" si="4"/>
        <v>128774.16055087619</v>
      </c>
      <c r="AJ3" s="5">
        <f t="shared" si="4"/>
        <v>140363.83500045506</v>
      </c>
    </row>
    <row r="4" spans="2:100" x14ac:dyDescent="0.2">
      <c r="B4" t="s">
        <v>23</v>
      </c>
      <c r="J4" s="1">
        <v>3960</v>
      </c>
      <c r="K4" s="1">
        <v>5853</v>
      </c>
      <c r="L4" s="1">
        <v>6396</v>
      </c>
      <c r="M4" s="1">
        <v>5638</v>
      </c>
      <c r="N4" s="1">
        <v>6689</v>
      </c>
      <c r="O4" s="1">
        <v>6552</v>
      </c>
      <c r="P4" s="1">
        <v>6144</v>
      </c>
      <c r="Q4" s="1">
        <f>+Q3-Q5</f>
        <v>6379.9120000000012</v>
      </c>
      <c r="R4" s="1">
        <f t="shared" ref="R4:T4" si="5">+R3-R5</f>
        <v>7603.9040000000005</v>
      </c>
      <c r="S4" s="1">
        <f t="shared" si="5"/>
        <v>7544.7680000000009</v>
      </c>
      <c r="T4" s="1">
        <f t="shared" si="5"/>
        <v>6995.9120000000012</v>
      </c>
      <c r="X4" s="1">
        <v>21643</v>
      </c>
      <c r="Y4" s="1">
        <v>21162</v>
      </c>
      <c r="Z4" s="1">
        <v>24576</v>
      </c>
      <c r="AA4" s="7">
        <f t="shared" ref="AA4:AA10" si="6">+SUM(O4:R4)</f>
        <v>26679.815999999999</v>
      </c>
      <c r="AB4" s="1">
        <f>+AB3-AB5</f>
        <v>30977.229815999999</v>
      </c>
      <c r="AC4" s="1">
        <f t="shared" ref="AC4:AJ4" si="7">+AC3-AC5</f>
        <v>36243.358884720001</v>
      </c>
      <c r="AD4" s="1">
        <f t="shared" si="7"/>
        <v>41317.429128580792</v>
      </c>
      <c r="AE4" s="1">
        <f t="shared" si="7"/>
        <v>47101.869206582101</v>
      </c>
      <c r="AF4" s="1">
        <f t="shared" si="7"/>
        <v>53696.130895503593</v>
      </c>
      <c r="AG4" s="1">
        <f t="shared" si="7"/>
        <v>58528.782676098919</v>
      </c>
      <c r="AH4" s="1">
        <f t="shared" si="7"/>
        <v>63796.373116947834</v>
      </c>
      <c r="AI4" s="1">
        <f t="shared" si="7"/>
        <v>69538.046697473139</v>
      </c>
      <c r="AJ4" s="1">
        <f t="shared" si="7"/>
        <v>75796.470900245738</v>
      </c>
    </row>
    <row r="5" spans="2:100" x14ac:dyDescent="0.2">
      <c r="B5" t="s">
        <v>24</v>
      </c>
      <c r="J5" s="1">
        <f t="shared" ref="J5:P5" si="8">+J3-J4</f>
        <v>2353</v>
      </c>
      <c r="K5" s="1">
        <f t="shared" si="8"/>
        <v>4741</v>
      </c>
      <c r="L5" s="1">
        <f t="shared" si="8"/>
        <v>4847</v>
      </c>
      <c r="M5" s="1">
        <f t="shared" si="8"/>
        <v>4719</v>
      </c>
      <c r="N5" s="1">
        <f t="shared" si="8"/>
        <v>5655</v>
      </c>
      <c r="O5" s="1">
        <f t="shared" si="8"/>
        <v>5696</v>
      </c>
      <c r="P5" s="1">
        <f t="shared" si="8"/>
        <v>5213</v>
      </c>
      <c r="Q5" s="1">
        <f>+Q3*0.45</f>
        <v>5219.9280000000008</v>
      </c>
      <c r="R5" s="1">
        <f t="shared" ref="R5:T5" si="9">+R3*0.45</f>
        <v>6221.3760000000002</v>
      </c>
      <c r="S5" s="1">
        <f t="shared" si="9"/>
        <v>6172.9920000000011</v>
      </c>
      <c r="T5" s="1">
        <f t="shared" si="9"/>
        <v>5723.9280000000008</v>
      </c>
      <c r="X5" s="1">
        <f>+X3-X4</f>
        <v>17474</v>
      </c>
      <c r="Y5" s="1">
        <f>+Y3-Y4</f>
        <v>16241</v>
      </c>
      <c r="Z5" s="1">
        <f>+Z3-Z4</f>
        <v>19962</v>
      </c>
      <c r="AA5" s="7">
        <f t="shared" si="6"/>
        <v>22350.304</v>
      </c>
      <c r="AB5" s="1">
        <f>+AB3*0.46</f>
        <v>26388.010584000003</v>
      </c>
      <c r="AC5" s="1">
        <f t="shared" ref="AC5:AJ5" si="10">+AC3*0.46</f>
        <v>30873.972383279997</v>
      </c>
      <c r="AD5" s="1">
        <f t="shared" si="10"/>
        <v>35196.328516939197</v>
      </c>
      <c r="AE5" s="1">
        <f t="shared" si="10"/>
        <v>40123.81450931068</v>
      </c>
      <c r="AF5" s="1">
        <f t="shared" si="10"/>
        <v>45741.148540614173</v>
      </c>
      <c r="AG5" s="1">
        <f t="shared" si="10"/>
        <v>49857.851909269455</v>
      </c>
      <c r="AH5" s="1">
        <f t="shared" si="10"/>
        <v>54345.058581103709</v>
      </c>
      <c r="AI5" s="1">
        <f t="shared" si="10"/>
        <v>59236.113853403047</v>
      </c>
      <c r="AJ5" s="1">
        <f t="shared" si="10"/>
        <v>64567.364100209328</v>
      </c>
    </row>
    <row r="6" spans="2:100" x14ac:dyDescent="0.2">
      <c r="B6" t="s">
        <v>25</v>
      </c>
      <c r="J6" s="1">
        <v>3191</v>
      </c>
      <c r="K6" s="1">
        <v>2975</v>
      </c>
      <c r="L6" s="1">
        <v>3267</v>
      </c>
      <c r="M6" s="1">
        <v>3041</v>
      </c>
      <c r="N6" s="1">
        <v>3742</v>
      </c>
      <c r="O6" s="1">
        <v>3572</v>
      </c>
      <c r="P6" s="1">
        <v>3759</v>
      </c>
      <c r="Q6" s="1">
        <f>+M6*1.13</f>
        <v>3436.3299999999995</v>
      </c>
      <c r="R6" s="1">
        <f t="shared" ref="R6:S6" si="11">+N6*1.13</f>
        <v>4228.46</v>
      </c>
      <c r="S6" s="1">
        <f t="shared" si="11"/>
        <v>4036.3599999999997</v>
      </c>
      <c r="T6" s="1">
        <f>+P6*1.08</f>
        <v>4059.7200000000003</v>
      </c>
      <c r="X6" s="1">
        <v>12702</v>
      </c>
      <c r="Y6" s="1">
        <v>13126</v>
      </c>
      <c r="Z6" s="1">
        <v>13025</v>
      </c>
      <c r="AA6" s="7">
        <f>+SUM(O6:R6)</f>
        <v>14995.79</v>
      </c>
      <c r="AB6" s="1">
        <f>+AA6*1.01</f>
        <v>15145.7479</v>
      </c>
      <c r="AC6" s="1">
        <f t="shared" ref="AC6:AJ6" si="12">+AB6*1.01</f>
        <v>15297.205379000001</v>
      </c>
      <c r="AD6" s="1">
        <f t="shared" si="12"/>
        <v>15450.17743279</v>
      </c>
      <c r="AE6" s="1">
        <f t="shared" si="12"/>
        <v>15604.679207117901</v>
      </c>
      <c r="AF6" s="1">
        <f t="shared" si="12"/>
        <v>15760.725999189081</v>
      </c>
      <c r="AG6" s="1">
        <f t="shared" si="12"/>
        <v>15918.333259180972</v>
      </c>
      <c r="AH6" s="1">
        <f t="shared" si="12"/>
        <v>16077.516591772783</v>
      </c>
      <c r="AI6" s="1">
        <f t="shared" si="12"/>
        <v>16238.291757690511</v>
      </c>
      <c r="AJ6" s="1">
        <f t="shared" si="12"/>
        <v>16400.674675267415</v>
      </c>
    </row>
    <row r="7" spans="2:100" x14ac:dyDescent="0.2">
      <c r="B7" t="s">
        <v>26</v>
      </c>
      <c r="J7" s="1">
        <f t="shared" ref="J7:P7" si="13">+J5-J6</f>
        <v>-838</v>
      </c>
      <c r="K7" s="1">
        <f t="shared" si="13"/>
        <v>1766</v>
      </c>
      <c r="L7" s="1">
        <f t="shared" si="13"/>
        <v>1580</v>
      </c>
      <c r="M7" s="1">
        <f t="shared" si="13"/>
        <v>1678</v>
      </c>
      <c r="N7" s="1">
        <f t="shared" si="13"/>
        <v>1913</v>
      </c>
      <c r="O7" s="1">
        <f t="shared" si="13"/>
        <v>2124</v>
      </c>
      <c r="P7" s="1">
        <f t="shared" si="13"/>
        <v>1454</v>
      </c>
      <c r="Q7" s="1">
        <f t="shared" ref="Q7:T7" si="14">+Q5-Q6</f>
        <v>1783.5980000000013</v>
      </c>
      <c r="R7" s="1">
        <f t="shared" si="14"/>
        <v>1992.9160000000002</v>
      </c>
      <c r="S7" s="1">
        <f t="shared" si="14"/>
        <v>2136.6320000000014</v>
      </c>
      <c r="T7" s="1">
        <f t="shared" si="14"/>
        <v>1664.2080000000005</v>
      </c>
      <c r="X7" s="1">
        <f>+X5-X6</f>
        <v>4772</v>
      </c>
      <c r="Y7" s="1">
        <f>+Y5-Y6</f>
        <v>3115</v>
      </c>
      <c r="Z7" s="1">
        <f>+Z5-Z6</f>
        <v>6937</v>
      </c>
      <c r="AA7" s="7">
        <f t="shared" si="6"/>
        <v>7354.5140000000019</v>
      </c>
      <c r="AB7" s="1">
        <f>+AB5-AB6</f>
        <v>11242.262684000003</v>
      </c>
      <c r="AC7" s="1">
        <f t="shared" ref="AC7" si="15">+AC5-AC6</f>
        <v>15576.767004279996</v>
      </c>
      <c r="AD7" s="1">
        <f t="shared" ref="AD7" si="16">+AD5-AD6</f>
        <v>19746.151084149198</v>
      </c>
      <c r="AE7" s="1">
        <f t="shared" ref="AE7" si="17">+AE5-AE6</f>
        <v>24519.135302192779</v>
      </c>
      <c r="AF7" s="1">
        <f t="shared" ref="AF7" si="18">+AF5-AF6</f>
        <v>29980.42254142509</v>
      </c>
      <c r="AG7" s="1">
        <f t="shared" ref="AG7" si="19">+AG5-AG6</f>
        <v>33939.518650088481</v>
      </c>
      <c r="AH7" s="1">
        <f t="shared" ref="AH7" si="20">+AH5-AH6</f>
        <v>38267.54198933093</v>
      </c>
      <c r="AI7" s="1">
        <f t="shared" ref="AI7" si="21">+AI5-AI6</f>
        <v>42997.822095712538</v>
      </c>
      <c r="AJ7" s="1">
        <f t="shared" ref="AJ7" si="22">+AJ5-AJ6</f>
        <v>48166.689424941913</v>
      </c>
    </row>
    <row r="8" spans="2:100" x14ac:dyDescent="0.2">
      <c r="B8" t="s">
        <v>74</v>
      </c>
      <c r="J8" s="1">
        <f>50+-84</f>
        <v>-34</v>
      </c>
      <c r="K8" s="1">
        <f>65+-14</f>
        <v>51</v>
      </c>
      <c r="L8" s="1">
        <f>70+54</f>
        <v>124</v>
      </c>
      <c r="M8" s="1">
        <f>64+-22</f>
        <v>42</v>
      </c>
      <c r="N8" s="1">
        <f>63+-4</f>
        <v>59</v>
      </c>
      <c r="O8" s="1">
        <f>57+-39</f>
        <v>18</v>
      </c>
      <c r="P8" s="1">
        <f>55+-102</f>
        <v>-47</v>
      </c>
      <c r="Q8" s="1">
        <f>+P22*-$W$28</f>
        <v>-90.975999999999999</v>
      </c>
      <c r="R8" s="1">
        <f t="shared" ref="R8:T8" si="23">+Q22*-$W$28</f>
        <v>-117.66993376000002</v>
      </c>
      <c r="S8" s="1">
        <f t="shared" si="23"/>
        <v>-161.072</v>
      </c>
      <c r="T8" s="1">
        <f t="shared" si="23"/>
        <v>-193.79130496000005</v>
      </c>
      <c r="X8" s="1">
        <f>49+-78</f>
        <v>-29</v>
      </c>
      <c r="Y8" s="1">
        <f>89+139</f>
        <v>228</v>
      </c>
      <c r="Z8" s="1">
        <f>262+14</f>
        <v>276</v>
      </c>
      <c r="AA8" s="7">
        <f>+Z22*-$W$28</f>
        <v>-65.007999999999996</v>
      </c>
      <c r="AB8" s="7">
        <f t="shared" ref="AB8:AJ8" si="24">+AA22*-$W$28</f>
        <v>-173.13267745674241</v>
      </c>
      <c r="AC8" s="7">
        <f>+AB22*-$W$28</f>
        <v>-335.68790740388641</v>
      </c>
      <c r="AD8" s="7">
        <f t="shared" si="24"/>
        <v>-562.28126534626495</v>
      </c>
      <c r="AE8" s="7">
        <f t="shared" si="24"/>
        <v>-851.47334200308035</v>
      </c>
      <c r="AF8" s="7">
        <f t="shared" si="24"/>
        <v>-1212.7508090964293</v>
      </c>
      <c r="AG8" s="7">
        <f t="shared" si="24"/>
        <v>-1656.9415976078558</v>
      </c>
      <c r="AH8" s="7">
        <f t="shared" si="24"/>
        <v>-2163.8351915350513</v>
      </c>
      <c r="AI8" s="7">
        <f t="shared" si="24"/>
        <v>-2739.5780025905833</v>
      </c>
      <c r="AJ8" s="7">
        <f t="shared" si="24"/>
        <v>-3390.8785799904194</v>
      </c>
    </row>
    <row r="9" spans="2:100" x14ac:dyDescent="0.2">
      <c r="B9" t="s">
        <v>27</v>
      </c>
      <c r="J9" s="1">
        <f t="shared" ref="J9:Q9" si="25">+J7-J8</f>
        <v>-804</v>
      </c>
      <c r="K9" s="1">
        <f t="shared" si="25"/>
        <v>1715</v>
      </c>
      <c r="L9" s="1">
        <f t="shared" si="25"/>
        <v>1456</v>
      </c>
      <c r="M9" s="1">
        <f t="shared" si="25"/>
        <v>1636</v>
      </c>
      <c r="N9" s="1">
        <f t="shared" si="25"/>
        <v>1854</v>
      </c>
      <c r="O9" s="1">
        <f t="shared" si="25"/>
        <v>2106</v>
      </c>
      <c r="P9" s="1">
        <f t="shared" si="25"/>
        <v>1501</v>
      </c>
      <c r="Q9" s="1">
        <f t="shared" si="25"/>
        <v>1874.5740000000014</v>
      </c>
      <c r="R9" s="1">
        <f t="shared" ref="R9:T9" si="26">+R7-R8</f>
        <v>2110.58593376</v>
      </c>
      <c r="S9" s="1">
        <f t="shared" si="26"/>
        <v>2297.7040000000015</v>
      </c>
      <c r="T9" s="1">
        <f t="shared" si="26"/>
        <v>1857.9993049600007</v>
      </c>
      <c r="X9" s="1">
        <f>+X7-X8</f>
        <v>4801</v>
      </c>
      <c r="Y9" s="1">
        <f>+Y7-Y8</f>
        <v>2887</v>
      </c>
      <c r="Z9" s="1">
        <f>+Z7-Z8</f>
        <v>6661</v>
      </c>
      <c r="AA9" s="7">
        <f t="shared" si="6"/>
        <v>7592.1599337600019</v>
      </c>
      <c r="AB9" s="1">
        <f t="shared" ref="AB9" si="27">+AB7-AB8</f>
        <v>11415.395361456745</v>
      </c>
      <c r="AC9" s="1">
        <f t="shared" ref="AC9" si="28">+AC7-AC8</f>
        <v>15912.454911683883</v>
      </c>
      <c r="AD9" s="1">
        <f t="shared" ref="AD9" si="29">+AD7-AD8</f>
        <v>20308.432349495462</v>
      </c>
      <c r="AE9" s="1">
        <f t="shared" ref="AE9" si="30">+AE7-AE8</f>
        <v>25370.608644195858</v>
      </c>
      <c r="AF9" s="1">
        <f t="shared" ref="AF9" si="31">+AF7-AF8</f>
        <v>31193.17335052152</v>
      </c>
      <c r="AG9" s="1">
        <f t="shared" ref="AG9" si="32">+AG7-AG8</f>
        <v>35596.460247696334</v>
      </c>
      <c r="AH9" s="1">
        <f t="shared" ref="AH9" si="33">+AH7-AH8</f>
        <v>40431.37718086598</v>
      </c>
      <c r="AI9" s="1">
        <f t="shared" ref="AI9" si="34">+AI7-AI8</f>
        <v>45737.400098303122</v>
      </c>
      <c r="AJ9" s="1">
        <f t="shared" ref="AJ9" si="35">+AJ7-AJ8</f>
        <v>51557.568004932335</v>
      </c>
    </row>
    <row r="10" spans="2:100" x14ac:dyDescent="0.2">
      <c r="B10" t="s">
        <v>28</v>
      </c>
      <c r="J10" s="1">
        <v>-14</v>
      </c>
      <c r="K10" s="1">
        <v>197</v>
      </c>
      <c r="L10" s="1">
        <v>205</v>
      </c>
      <c r="M10" s="1">
        <v>187</v>
      </c>
      <c r="N10" s="1">
        <v>345</v>
      </c>
      <c r="O10" s="1">
        <v>232</v>
      </c>
      <c r="P10" s="1">
        <v>164</v>
      </c>
      <c r="Q10" s="1">
        <f>+Q9*0.11</f>
        <v>206.20314000000016</v>
      </c>
      <c r="R10" s="1">
        <f t="shared" ref="R10:T10" si="36">+R9*0.11</f>
        <v>232.16445271360001</v>
      </c>
      <c r="S10" s="1">
        <f t="shared" si="36"/>
        <v>252.74744000000018</v>
      </c>
      <c r="T10" s="1">
        <f t="shared" si="36"/>
        <v>204.37992354560006</v>
      </c>
      <c r="X10" s="1">
        <v>772</v>
      </c>
      <c r="Y10" s="1">
        <v>348</v>
      </c>
      <c r="Z10" s="1">
        <v>934</v>
      </c>
      <c r="AA10" s="7">
        <f t="shared" si="6"/>
        <v>834.36759271360017</v>
      </c>
      <c r="AB10" s="1">
        <f>+AB9*0.11</f>
        <v>1255.6934897602421</v>
      </c>
      <c r="AC10" s="1">
        <f t="shared" ref="AC10" si="37">+AC9*0.11</f>
        <v>1750.3700402852271</v>
      </c>
      <c r="AD10" s="1">
        <f t="shared" ref="AD10" si="38">+AD9*0.11</f>
        <v>2233.9275584445008</v>
      </c>
      <c r="AE10" s="1">
        <f t="shared" ref="AE10" si="39">+AE9*0.11</f>
        <v>2790.7669508615445</v>
      </c>
      <c r="AF10" s="1">
        <f t="shared" ref="AF10" si="40">+AF9*0.11</f>
        <v>3431.2490685573671</v>
      </c>
      <c r="AG10" s="1">
        <f t="shared" ref="AG10" si="41">+AG9*0.11</f>
        <v>3915.6106272465968</v>
      </c>
      <c r="AH10" s="1">
        <f t="shared" ref="AH10" si="42">+AH9*0.11</f>
        <v>4447.4514898952575</v>
      </c>
      <c r="AI10" s="1">
        <f t="shared" ref="AI10" si="43">+AI9*0.11</f>
        <v>5031.1140108133432</v>
      </c>
      <c r="AJ10" s="1">
        <f t="shared" ref="AJ10" si="44">+AJ9*0.11</f>
        <v>5671.3324805425573</v>
      </c>
    </row>
    <row r="11" spans="2:100" s="4" customFormat="1" ht="15" x14ac:dyDescent="0.25">
      <c r="B11" s="4" t="s">
        <v>29</v>
      </c>
      <c r="J11" s="5">
        <f t="shared" ref="J11:Q11" si="45">+J9-J10</f>
        <v>-790</v>
      </c>
      <c r="K11" s="5">
        <f t="shared" si="45"/>
        <v>1518</v>
      </c>
      <c r="L11" s="5">
        <f t="shared" si="45"/>
        <v>1251</v>
      </c>
      <c r="M11" s="5">
        <f t="shared" si="45"/>
        <v>1449</v>
      </c>
      <c r="N11" s="5">
        <f t="shared" si="45"/>
        <v>1509</v>
      </c>
      <c r="O11" s="5">
        <f t="shared" si="45"/>
        <v>1874</v>
      </c>
      <c r="P11" s="5">
        <f t="shared" si="45"/>
        <v>1337</v>
      </c>
      <c r="Q11" s="5">
        <f t="shared" si="45"/>
        <v>1668.3708600000014</v>
      </c>
      <c r="R11" s="5">
        <f t="shared" ref="R11:S11" si="46">+R9-R10</f>
        <v>1878.4214810464</v>
      </c>
      <c r="S11" s="5">
        <f t="shared" si="46"/>
        <v>2044.9565600000014</v>
      </c>
      <c r="T11" s="5">
        <f>+T9-T10</f>
        <v>1653.6193814144006</v>
      </c>
      <c r="X11" s="5">
        <f>+X9-X10</f>
        <v>4029</v>
      </c>
      <c r="Y11" s="5">
        <f>+Y9-Y10</f>
        <v>2539</v>
      </c>
      <c r="Z11" s="5">
        <f>+Z9-Z10</f>
        <v>5727</v>
      </c>
      <c r="AA11" s="5">
        <f>+SUM(O11:R11)</f>
        <v>6757.7923410464009</v>
      </c>
      <c r="AB11" s="5">
        <f>+AB9-AB10</f>
        <v>10159.701871696503</v>
      </c>
      <c r="AC11" s="5">
        <f t="shared" ref="AC11:AJ11" si="47">+AC9-AC10</f>
        <v>14162.084871398656</v>
      </c>
      <c r="AD11" s="5">
        <f t="shared" si="47"/>
        <v>18074.50479105096</v>
      </c>
      <c r="AE11" s="5">
        <f t="shared" si="47"/>
        <v>22579.841693334314</v>
      </c>
      <c r="AF11" s="5">
        <f t="shared" si="47"/>
        <v>27761.924281964151</v>
      </c>
      <c r="AG11" s="5">
        <f t="shared" si="47"/>
        <v>31680.849620449735</v>
      </c>
      <c r="AH11" s="5">
        <f t="shared" si="47"/>
        <v>35983.925690970726</v>
      </c>
      <c r="AI11" s="5">
        <f t="shared" si="47"/>
        <v>40706.286087489781</v>
      </c>
      <c r="AJ11" s="5">
        <f t="shared" si="47"/>
        <v>45886.235524389776</v>
      </c>
      <c r="AK11" s="5">
        <f>+AJ11*(1+$W$29)</f>
        <v>45427.373169145882</v>
      </c>
      <c r="AL11" s="5">
        <f t="shared" ref="AL11:CV11" si="48">+AK11*(1+$W$29)</f>
        <v>44973.099437454424</v>
      </c>
      <c r="AM11" s="5">
        <f t="shared" si="48"/>
        <v>44523.368443079882</v>
      </c>
      <c r="AN11" s="5">
        <f t="shared" si="48"/>
        <v>44078.134758649081</v>
      </c>
      <c r="AO11" s="5">
        <f t="shared" si="48"/>
        <v>43637.353411062591</v>
      </c>
      <c r="AP11" s="5">
        <f t="shared" si="48"/>
        <v>43200.979876951962</v>
      </c>
      <c r="AQ11" s="5">
        <f t="shared" si="48"/>
        <v>42768.970078182443</v>
      </c>
      <c r="AR11" s="5">
        <f t="shared" si="48"/>
        <v>42341.280377400617</v>
      </c>
      <c r="AS11" s="5">
        <f t="shared" si="48"/>
        <v>41917.867573626609</v>
      </c>
      <c r="AT11" s="5">
        <f t="shared" si="48"/>
        <v>41498.688897890344</v>
      </c>
      <c r="AU11" s="5">
        <f t="shared" si="48"/>
        <v>41083.702008911438</v>
      </c>
      <c r="AV11" s="5">
        <f t="shared" si="48"/>
        <v>40672.864988822323</v>
      </c>
      <c r="AW11" s="5">
        <f t="shared" si="48"/>
        <v>40266.136338934099</v>
      </c>
      <c r="AX11" s="5">
        <f t="shared" si="48"/>
        <v>39863.474975544756</v>
      </c>
      <c r="AY11" s="5">
        <f t="shared" si="48"/>
        <v>39464.84022578931</v>
      </c>
      <c r="AZ11" s="5">
        <f t="shared" si="48"/>
        <v>39070.191823531415</v>
      </c>
      <c r="BA11" s="5">
        <f t="shared" si="48"/>
        <v>38679.489905296097</v>
      </c>
      <c r="BB11" s="5">
        <f t="shared" si="48"/>
        <v>38292.695006243135</v>
      </c>
      <c r="BC11" s="5">
        <f t="shared" si="48"/>
        <v>37909.768056180706</v>
      </c>
      <c r="BD11" s="5">
        <f t="shared" si="48"/>
        <v>37530.670375618902</v>
      </c>
      <c r="BE11" s="5">
        <f t="shared" si="48"/>
        <v>37155.363671862709</v>
      </c>
      <c r="BF11" s="5">
        <f t="shared" si="48"/>
        <v>36783.810035144081</v>
      </c>
      <c r="BG11" s="5">
        <f t="shared" si="48"/>
        <v>36415.971934792637</v>
      </c>
      <c r="BH11" s="5">
        <f t="shared" si="48"/>
        <v>36051.812215444712</v>
      </c>
      <c r="BI11" s="5">
        <f t="shared" si="48"/>
        <v>35691.294093290264</v>
      </c>
      <c r="BJ11" s="5">
        <f t="shared" si="48"/>
        <v>35334.38115235736</v>
      </c>
      <c r="BK11" s="5">
        <f t="shared" si="48"/>
        <v>34981.037340833784</v>
      </c>
      <c r="BL11" s="5">
        <f t="shared" si="48"/>
        <v>34631.226967425442</v>
      </c>
      <c r="BM11" s="5">
        <f t="shared" si="48"/>
        <v>34284.914697751185</v>
      </c>
      <c r="BN11" s="5">
        <f t="shared" si="48"/>
        <v>33942.065550773674</v>
      </c>
      <c r="BO11" s="5">
        <f t="shared" si="48"/>
        <v>33602.644895265934</v>
      </c>
      <c r="BP11" s="5">
        <f t="shared" si="48"/>
        <v>33266.618446313274</v>
      </c>
      <c r="BQ11" s="5">
        <f t="shared" si="48"/>
        <v>32933.952261850143</v>
      </c>
      <c r="BR11" s="5">
        <f t="shared" si="48"/>
        <v>32604.612739231641</v>
      </c>
      <c r="BS11" s="5">
        <f t="shared" si="48"/>
        <v>32278.566611839324</v>
      </c>
      <c r="BT11" s="5">
        <f t="shared" si="48"/>
        <v>31955.78094572093</v>
      </c>
      <c r="BU11" s="5">
        <f t="shared" si="48"/>
        <v>31636.223136263721</v>
      </c>
      <c r="BV11" s="5">
        <f t="shared" si="48"/>
        <v>31319.860904901085</v>
      </c>
      <c r="BW11" s="5">
        <f t="shared" si="48"/>
        <v>31006.662295852075</v>
      </c>
      <c r="BX11" s="5">
        <f t="shared" si="48"/>
        <v>30696.595672893553</v>
      </c>
      <c r="BY11" s="5">
        <f t="shared" si="48"/>
        <v>30389.629716164618</v>
      </c>
      <c r="BZ11" s="5">
        <f t="shared" si="48"/>
        <v>30085.733419002972</v>
      </c>
      <c r="CA11" s="5">
        <f t="shared" si="48"/>
        <v>29784.876084812942</v>
      </c>
      <c r="CB11" s="5">
        <f t="shared" si="48"/>
        <v>29487.027323964812</v>
      </c>
      <c r="CC11" s="5">
        <f t="shared" si="48"/>
        <v>29192.157050725164</v>
      </c>
      <c r="CD11" s="5">
        <f t="shared" si="48"/>
        <v>28900.235480217911</v>
      </c>
      <c r="CE11" s="5">
        <f t="shared" si="48"/>
        <v>28611.233125415733</v>
      </c>
      <c r="CF11" s="5">
        <f t="shared" si="48"/>
        <v>28325.120794161576</v>
      </c>
      <c r="CG11" s="5">
        <f t="shared" si="48"/>
        <v>28041.86958621996</v>
      </c>
      <c r="CH11" s="5">
        <f t="shared" si="48"/>
        <v>27761.450890357759</v>
      </c>
      <c r="CI11" s="5">
        <f t="shared" si="48"/>
        <v>27483.836381454181</v>
      </c>
      <c r="CJ11" s="5">
        <f t="shared" si="48"/>
        <v>27208.998017639638</v>
      </c>
      <c r="CK11" s="5">
        <f t="shared" si="48"/>
        <v>26936.908037463243</v>
      </c>
      <c r="CL11" s="5">
        <f t="shared" si="48"/>
        <v>26667.538957088611</v>
      </c>
      <c r="CM11" s="5">
        <f t="shared" si="48"/>
        <v>26400.863567517725</v>
      </c>
      <c r="CN11" s="5">
        <f t="shared" si="48"/>
        <v>26136.854931842547</v>
      </c>
      <c r="CO11" s="5">
        <f t="shared" si="48"/>
        <v>25875.486382524123</v>
      </c>
      <c r="CP11" s="5">
        <f t="shared" si="48"/>
        <v>25616.731518698882</v>
      </c>
      <c r="CQ11" s="5">
        <f t="shared" si="48"/>
        <v>25360.564203511894</v>
      </c>
      <c r="CR11" s="5">
        <f t="shared" si="48"/>
        <v>25106.958561476775</v>
      </c>
      <c r="CS11" s="5">
        <f t="shared" si="48"/>
        <v>24855.888975862006</v>
      </c>
      <c r="CT11" s="5">
        <f t="shared" si="48"/>
        <v>24607.330086103386</v>
      </c>
      <c r="CU11" s="5">
        <f t="shared" si="48"/>
        <v>24361.256785242353</v>
      </c>
      <c r="CV11" s="5">
        <f t="shared" si="48"/>
        <v>24117.64421738993</v>
      </c>
    </row>
    <row r="12" spans="2:100" x14ac:dyDescent="0.2">
      <c r="B12" t="s">
        <v>30</v>
      </c>
      <c r="J12" s="2">
        <f t="shared" ref="J12:P12" si="49">+J11/J13</f>
        <v>-0.50780998907244324</v>
      </c>
      <c r="K12" s="2">
        <f t="shared" si="49"/>
        <v>0.95273959706270006</v>
      </c>
      <c r="L12" s="2">
        <f t="shared" si="49"/>
        <v>0.77726001863932903</v>
      </c>
      <c r="M12" s="2">
        <f t="shared" si="49"/>
        <v>0.89615931721194875</v>
      </c>
      <c r="N12" s="2">
        <f t="shared" si="49"/>
        <v>0.93442318409808656</v>
      </c>
      <c r="O12" s="2">
        <f t="shared" si="49"/>
        <v>1.1570758211904175</v>
      </c>
      <c r="P12" s="2">
        <f t="shared" si="49"/>
        <v>0.82663534067021138</v>
      </c>
      <c r="Q12" s="2">
        <f t="shared" ref="Q12:T12" si="50">+Q11/Q13</f>
        <v>1.0315140719673559</v>
      </c>
      <c r="R12" s="2">
        <f t="shared" si="50"/>
        <v>1.1613833813814765</v>
      </c>
      <c r="S12" s="2">
        <f t="shared" si="50"/>
        <v>1.2643480647953513</v>
      </c>
      <c r="T12" s="2">
        <f t="shared" si="50"/>
        <v>1.0223935831670585</v>
      </c>
      <c r="X12" s="2">
        <f>+X11/X13</f>
        <v>2.4894957983193278</v>
      </c>
      <c r="Y12" s="2">
        <f>+Y11/Y13</f>
        <v>1.5952500628298569</v>
      </c>
      <c r="Z12" s="2">
        <f>+Z11/Z13</f>
        <v>3.5584689946563937</v>
      </c>
      <c r="AA12" s="2">
        <f>+AA11/AA13</f>
        <v>4.1767621626418627</v>
      </c>
      <c r="AB12" s="2">
        <f t="shared" ref="AB12:AJ12" si="51">+AB11/AB13</f>
        <v>6.281502331950354</v>
      </c>
      <c r="AC12" s="2">
        <f t="shared" si="51"/>
        <v>8.7560806673665486</v>
      </c>
      <c r="AD12" s="2">
        <f t="shared" si="51"/>
        <v>11.17503696738652</v>
      </c>
      <c r="AE12" s="2">
        <f t="shared" si="51"/>
        <v>13.960579753514475</v>
      </c>
      <c r="AF12" s="2">
        <f t="shared" si="51"/>
        <v>17.164538321976103</v>
      </c>
      <c r="AG12" s="2">
        <f t="shared" si="51"/>
        <v>19.575413754603147</v>
      </c>
      <c r="AH12" s="2">
        <f t="shared" si="51"/>
        <v>22.419891396243443</v>
      </c>
      <c r="AI12" s="2">
        <f t="shared" si="51"/>
        <v>25.339016944530307</v>
      </c>
      <c r="AJ12" s="2">
        <f t="shared" si="51"/>
        <v>28.512500034573097</v>
      </c>
    </row>
    <row r="13" spans="2:100" x14ac:dyDescent="0.2">
      <c r="B13" t="s">
        <v>1</v>
      </c>
      <c r="J13" s="1">
        <v>1555.7</v>
      </c>
      <c r="K13" s="1">
        <v>1593.3</v>
      </c>
      <c r="L13" s="1">
        <v>1609.5</v>
      </c>
      <c r="M13" s="1">
        <v>1616.9</v>
      </c>
      <c r="N13" s="1">
        <v>1614.9</v>
      </c>
      <c r="O13" s="1">
        <v>1619.6</v>
      </c>
      <c r="P13" s="1">
        <v>1617.4</v>
      </c>
      <c r="Q13" s="1">
        <v>1617.4</v>
      </c>
      <c r="R13" s="1">
        <v>1617.4</v>
      </c>
      <c r="S13" s="1">
        <v>1617.4</v>
      </c>
      <c r="T13" s="1">
        <v>1617.4</v>
      </c>
      <c r="X13" s="1">
        <v>1618.4</v>
      </c>
      <c r="Y13" s="1">
        <v>1591.6</v>
      </c>
      <c r="Z13" s="1">
        <v>1609.4</v>
      </c>
      <c r="AA13" s="1">
        <f>+AVERAGE(O13:R13)</f>
        <v>1617.9499999999998</v>
      </c>
      <c r="AB13" s="1">
        <f t="shared" ref="AB13:AJ13" si="52">+AVERAGE(P13:S13)</f>
        <v>1617.4</v>
      </c>
      <c r="AC13" s="1">
        <f t="shared" si="52"/>
        <v>1617.4</v>
      </c>
      <c r="AD13" s="1">
        <f t="shared" si="52"/>
        <v>1617.4000000000003</v>
      </c>
      <c r="AE13" s="1">
        <f t="shared" si="52"/>
        <v>1617.4</v>
      </c>
      <c r="AF13" s="1">
        <f t="shared" si="52"/>
        <v>1617.4</v>
      </c>
      <c r="AG13" s="1">
        <f t="shared" si="52"/>
        <v>1618.4</v>
      </c>
      <c r="AH13" s="1">
        <f t="shared" si="52"/>
        <v>1605</v>
      </c>
      <c r="AI13" s="1">
        <f t="shared" si="52"/>
        <v>1606.4666666666665</v>
      </c>
      <c r="AJ13" s="1">
        <f t="shared" si="52"/>
        <v>1609.3374999999999</v>
      </c>
    </row>
    <row r="15" spans="2:100" x14ac:dyDescent="0.2">
      <c r="B15" t="s">
        <v>31</v>
      </c>
      <c r="J15" s="6">
        <f t="shared" ref="J15:P15" si="53">+J5/J3</f>
        <v>0.37272295263741484</v>
      </c>
      <c r="K15" s="6">
        <f t="shared" si="53"/>
        <v>0.44751746271474419</v>
      </c>
      <c r="L15" s="6">
        <f t="shared" si="53"/>
        <v>0.43111269234190164</v>
      </c>
      <c r="M15" s="6">
        <f t="shared" si="53"/>
        <v>0.45563387081201118</v>
      </c>
      <c r="N15" s="6">
        <f t="shared" si="53"/>
        <v>0.45811730395333766</v>
      </c>
      <c r="O15" s="6">
        <f t="shared" si="53"/>
        <v>0.46505551926845201</v>
      </c>
      <c r="P15" s="6">
        <f t="shared" si="53"/>
        <v>0.45901206304481817</v>
      </c>
      <c r="Q15" s="6">
        <f t="shared" ref="Q15:T15" si="54">+Q5/Q3</f>
        <v>0.45</v>
      </c>
      <c r="R15" s="6">
        <f t="shared" si="54"/>
        <v>0.45</v>
      </c>
      <c r="S15" s="6">
        <f t="shared" si="54"/>
        <v>0.45</v>
      </c>
      <c r="T15" s="6">
        <f t="shared" si="54"/>
        <v>0.45</v>
      </c>
      <c r="X15" s="6">
        <f>+X5/X3</f>
        <v>0.44671114860546568</v>
      </c>
      <c r="Y15" s="6">
        <f>+Y5/Y3</f>
        <v>0.43421650669732376</v>
      </c>
      <c r="Z15" s="6">
        <f>+Z5/Z3</f>
        <v>0.44820153576721</v>
      </c>
      <c r="AA15" s="6">
        <f>+AA5/AA3</f>
        <v>0.4558484458124924</v>
      </c>
      <c r="AB15" s="6">
        <f t="shared" ref="AB15:AJ15" si="55">+AB5/AB3</f>
        <v>0.46</v>
      </c>
      <c r="AC15" s="6">
        <f t="shared" si="55"/>
        <v>0.46</v>
      </c>
      <c r="AD15" s="6">
        <f t="shared" si="55"/>
        <v>0.46</v>
      </c>
      <c r="AE15" s="6">
        <f t="shared" si="55"/>
        <v>0.46</v>
      </c>
      <c r="AF15" s="6">
        <f t="shared" si="55"/>
        <v>0.46</v>
      </c>
      <c r="AG15" s="6">
        <f t="shared" si="55"/>
        <v>0.46</v>
      </c>
      <c r="AH15" s="6">
        <f t="shared" si="55"/>
        <v>0.46</v>
      </c>
      <c r="AI15" s="6">
        <f t="shared" si="55"/>
        <v>0.46</v>
      </c>
      <c r="AJ15" s="6">
        <f t="shared" si="55"/>
        <v>0.46</v>
      </c>
    </row>
    <row r="16" spans="2:100" x14ac:dyDescent="0.2">
      <c r="B16" t="s">
        <v>71</v>
      </c>
      <c r="J16" s="6">
        <f t="shared" ref="J16:P16" si="56">+J7/J3</f>
        <v>-0.13274196103278948</v>
      </c>
      <c r="K16" s="6">
        <f t="shared" si="56"/>
        <v>0.16669813101755709</v>
      </c>
      <c r="L16" s="6">
        <f t="shared" si="56"/>
        <v>0.14053188650716</v>
      </c>
      <c r="M16" s="6">
        <f t="shared" si="56"/>
        <v>0.16201602780728011</v>
      </c>
      <c r="N16" s="6">
        <f t="shared" si="56"/>
        <v>0.15497407647440051</v>
      </c>
      <c r="O16" s="6">
        <f t="shared" si="56"/>
        <v>0.17341606792945788</v>
      </c>
      <c r="P16" s="6">
        <f t="shared" si="56"/>
        <v>0.12802676763229726</v>
      </c>
      <c r="Q16" s="6">
        <f t="shared" ref="Q16:T16" si="57">+Q7/Q3</f>
        <v>0.15376056911129818</v>
      </c>
      <c r="R16" s="6">
        <f t="shared" si="57"/>
        <v>0.1441501365614295</v>
      </c>
      <c r="S16" s="6">
        <f t="shared" si="57"/>
        <v>0.15575662498833637</v>
      </c>
      <c r="T16" s="6">
        <f t="shared" si="57"/>
        <v>0.13083560799506913</v>
      </c>
      <c r="X16" s="6">
        <f t="shared" ref="X16:AI16" si="58">+X7/X3</f>
        <v>0.12199299537285579</v>
      </c>
      <c r="Y16" s="6">
        <f t="shared" si="58"/>
        <v>8.3282089671951443E-2</v>
      </c>
      <c r="Z16" s="6">
        <f t="shared" si="58"/>
        <v>0.15575463649018814</v>
      </c>
      <c r="AA16" s="6">
        <f t="shared" si="58"/>
        <v>0.14999991841749524</v>
      </c>
      <c r="AB16" s="6">
        <f t="shared" si="58"/>
        <v>0.19597691224876315</v>
      </c>
      <c r="AC16" s="6">
        <f t="shared" si="58"/>
        <v>0.23208263365064161</v>
      </c>
      <c r="AD16" s="6">
        <f t="shared" si="58"/>
        <v>0.25807321051504217</v>
      </c>
      <c r="AE16" s="6">
        <f t="shared" si="58"/>
        <v>0.28109994966683555</v>
      </c>
      <c r="AF16" s="6">
        <f t="shared" si="58"/>
        <v>0.30150083259956478</v>
      </c>
      <c r="AG16" s="6">
        <f t="shared" si="58"/>
        <v>0.31313379901427568</v>
      </c>
      <c r="AH16" s="6">
        <f t="shared" si="58"/>
        <v>0.32391296972882427</v>
      </c>
      <c r="AI16" s="6">
        <f t="shared" si="58"/>
        <v>0.33390100864780964</v>
      </c>
      <c r="AJ16" s="6">
        <f>+AJ7/AJ3</f>
        <v>0.34315598049017226</v>
      </c>
    </row>
    <row r="17" spans="2:36" x14ac:dyDescent="0.2">
      <c r="B17" t="s">
        <v>72</v>
      </c>
      <c r="J17" s="6">
        <f t="shared" ref="J17:P17" si="59">+J10/J9</f>
        <v>1.7412935323383085E-2</v>
      </c>
      <c r="K17" s="6">
        <f t="shared" si="59"/>
        <v>0.11486880466472303</v>
      </c>
      <c r="L17" s="6">
        <f t="shared" si="59"/>
        <v>0.1407967032967033</v>
      </c>
      <c r="M17" s="6">
        <f t="shared" si="59"/>
        <v>0.11430317848410758</v>
      </c>
      <c r="N17" s="6">
        <f t="shared" si="59"/>
        <v>0.18608414239482202</v>
      </c>
      <c r="O17" s="6">
        <f t="shared" si="59"/>
        <v>0.11016144349477683</v>
      </c>
      <c r="P17" s="6">
        <f t="shared" si="59"/>
        <v>0.10926049300466356</v>
      </c>
      <c r="Q17" s="6">
        <f t="shared" ref="Q17:T17" si="60">+Q10/Q9</f>
        <v>0.11</v>
      </c>
      <c r="R17" s="6">
        <f t="shared" si="60"/>
        <v>0.11</v>
      </c>
      <c r="S17" s="6">
        <f t="shared" si="60"/>
        <v>0.11</v>
      </c>
      <c r="T17" s="6">
        <f t="shared" si="60"/>
        <v>0.10999999999999999</v>
      </c>
      <c r="X17" s="6">
        <f t="shared" ref="X17:AJ17" si="61">+X10/X9</f>
        <v>0.16079983336804832</v>
      </c>
      <c r="Y17" s="6">
        <f t="shared" si="61"/>
        <v>0.12054035330793211</v>
      </c>
      <c r="Z17" s="6">
        <f t="shared" si="61"/>
        <v>0.14021918630836211</v>
      </c>
      <c r="AA17" s="6">
        <f t="shared" si="61"/>
        <v>0.10989857958647893</v>
      </c>
      <c r="AB17" s="6">
        <f t="shared" si="61"/>
        <v>0.11</v>
      </c>
      <c r="AC17" s="6">
        <f t="shared" si="61"/>
        <v>0.11</v>
      </c>
      <c r="AD17" s="6">
        <f t="shared" si="61"/>
        <v>0.11</v>
      </c>
      <c r="AE17" s="6">
        <f t="shared" si="61"/>
        <v>0.11</v>
      </c>
      <c r="AF17" s="6">
        <f t="shared" si="61"/>
        <v>0.11</v>
      </c>
      <c r="AG17" s="6">
        <f t="shared" si="61"/>
        <v>0.11</v>
      </c>
      <c r="AH17" s="6">
        <f t="shared" si="61"/>
        <v>0.10999999999999999</v>
      </c>
      <c r="AI17" s="6">
        <f t="shared" si="61"/>
        <v>0.11</v>
      </c>
      <c r="AJ17" s="6">
        <f t="shared" si="61"/>
        <v>0.11000000000000001</v>
      </c>
    </row>
    <row r="19" spans="2:36" x14ac:dyDescent="0.2">
      <c r="B19" t="s">
        <v>32</v>
      </c>
      <c r="N19" s="6">
        <f t="shared" ref="N19:T19" si="62">+N3/J3-1</f>
        <v>0.95533027086963407</v>
      </c>
      <c r="O19" s="6">
        <f t="shared" si="62"/>
        <v>0.15612610911836899</v>
      </c>
      <c r="P19" s="6">
        <f t="shared" si="62"/>
        <v>1.0139642444187524E-2</v>
      </c>
      <c r="Q19" s="6">
        <f t="shared" si="62"/>
        <v>0.12000000000000011</v>
      </c>
      <c r="R19" s="6">
        <f t="shared" si="62"/>
        <v>0.12000000000000011</v>
      </c>
      <c r="S19" s="6">
        <f t="shared" si="62"/>
        <v>0.12000000000000011</v>
      </c>
      <c r="T19" s="6">
        <f t="shared" si="62"/>
        <v>0.12000000000000011</v>
      </c>
      <c r="U19" s="6"/>
      <c r="V19" s="6"/>
      <c r="Y19" s="6">
        <f>+Y3/X3-1</f>
        <v>-4.3817266150267153E-2</v>
      </c>
      <c r="Z19" s="6">
        <f>+Z3/Y3-1</f>
        <v>0.19076009945726269</v>
      </c>
      <c r="AA19" s="6">
        <f>+AA3/Z3-1</f>
        <v>0.10086038888140481</v>
      </c>
      <c r="AB19" s="6">
        <f t="shared" ref="AB19:AJ19" si="63">+AB3/AA3-1</f>
        <v>0.16999999999999993</v>
      </c>
      <c r="AC19" s="6">
        <f t="shared" si="63"/>
        <v>0.16999999999999993</v>
      </c>
      <c r="AD19" s="6">
        <f t="shared" si="63"/>
        <v>0.1399999999999999</v>
      </c>
      <c r="AE19" s="6">
        <f t="shared" si="63"/>
        <v>0.1399999999999999</v>
      </c>
      <c r="AF19" s="6">
        <f t="shared" si="63"/>
        <v>0.1399999999999999</v>
      </c>
      <c r="AG19" s="6">
        <f t="shared" si="63"/>
        <v>9.000000000000008E-2</v>
      </c>
      <c r="AH19" s="6">
        <f t="shared" si="63"/>
        <v>9.000000000000008E-2</v>
      </c>
      <c r="AI19" s="6">
        <f t="shared" si="63"/>
        <v>9.000000000000008E-2</v>
      </c>
      <c r="AJ19" s="6">
        <f t="shared" si="63"/>
        <v>9.000000000000008E-2</v>
      </c>
    </row>
    <row r="20" spans="2:36" x14ac:dyDescent="0.2">
      <c r="B20" t="s">
        <v>73</v>
      </c>
      <c r="N20" s="6">
        <f>+N6/J6-1</f>
        <v>0.17267314321529303</v>
      </c>
      <c r="O20" s="6">
        <f>+O6/K6-1</f>
        <v>0.20067226890756307</v>
      </c>
      <c r="P20" s="6">
        <f>+P6/L6-1</f>
        <v>0.15059687786960518</v>
      </c>
      <c r="Q20" s="6">
        <f t="shared" ref="Q20:T20" si="64">+Q6/M6-1</f>
        <v>0.12999999999999989</v>
      </c>
      <c r="R20" s="6">
        <f t="shared" si="64"/>
        <v>0.13000000000000012</v>
      </c>
      <c r="S20" s="6">
        <f t="shared" si="64"/>
        <v>0.12999999999999989</v>
      </c>
      <c r="T20" s="6">
        <f t="shared" si="64"/>
        <v>8.0000000000000071E-2</v>
      </c>
      <c r="Y20" s="6">
        <f>+Y6/X6-1</f>
        <v>3.3380569988978204E-2</v>
      </c>
      <c r="Z20" s="6">
        <f>+Z6/Y6-1</f>
        <v>-7.6946518360505589E-3</v>
      </c>
      <c r="AA20" s="6">
        <f>+AA6/Z6-1</f>
        <v>0.15130825335892517</v>
      </c>
      <c r="AB20" s="6">
        <f t="shared" ref="AB20:AJ20" si="65">+AB6/AA6-1</f>
        <v>1.0000000000000009E-2</v>
      </c>
      <c r="AC20" s="6">
        <f t="shared" si="65"/>
        <v>1.0000000000000009E-2</v>
      </c>
      <c r="AD20" s="6">
        <f t="shared" si="65"/>
        <v>1.0000000000000009E-2</v>
      </c>
      <c r="AE20" s="6">
        <f t="shared" si="65"/>
        <v>1.0000000000000009E-2</v>
      </c>
      <c r="AF20" s="6">
        <f t="shared" si="65"/>
        <v>1.0000000000000009E-2</v>
      </c>
      <c r="AG20" s="6">
        <f t="shared" si="65"/>
        <v>1.0000000000000009E-2</v>
      </c>
      <c r="AH20" s="6">
        <f t="shared" si="65"/>
        <v>1.0000000000000009E-2</v>
      </c>
      <c r="AI20" s="6">
        <f t="shared" si="65"/>
        <v>1.0000000000000009E-2</v>
      </c>
      <c r="AJ20" s="6">
        <f t="shared" si="65"/>
        <v>1.0000000000000009E-2</v>
      </c>
    </row>
    <row r="22" spans="2:36" s="4" customFormat="1" ht="15" x14ac:dyDescent="0.25">
      <c r="B22" s="4" t="s">
        <v>68</v>
      </c>
      <c r="M22" s="5">
        <f>+M23-M33</f>
        <v>3116</v>
      </c>
      <c r="N22" s="5">
        <f>+N23-N33</f>
        <v>4063</v>
      </c>
      <c r="O22" s="5">
        <f>+O23-O33</f>
        <v>4280</v>
      </c>
      <c r="P22" s="5">
        <f>+P23-P33</f>
        <v>5686</v>
      </c>
      <c r="Q22" s="5">
        <f>+P22+Q11</f>
        <v>7354.3708600000009</v>
      </c>
      <c r="R22" s="5">
        <v>10067</v>
      </c>
      <c r="S22" s="5">
        <f t="shared" ref="S22:T22" si="66">+R22+S11</f>
        <v>12111.956560000002</v>
      </c>
      <c r="T22" s="5">
        <f t="shared" si="66"/>
        <v>13765.575941414403</v>
      </c>
      <c r="Z22" s="5">
        <v>4063</v>
      </c>
      <c r="AA22" s="5">
        <f>+Z22+AA11</f>
        <v>10820.792341046401</v>
      </c>
      <c r="AB22" s="5">
        <f t="shared" ref="AB22:AJ22" si="67">+AA22+AB11</f>
        <v>20980.494212742902</v>
      </c>
      <c r="AC22" s="5">
        <f t="shared" si="67"/>
        <v>35142.579084141558</v>
      </c>
      <c r="AD22" s="5">
        <f t="shared" si="67"/>
        <v>53217.083875192518</v>
      </c>
      <c r="AE22" s="5">
        <f t="shared" si="67"/>
        <v>75796.925568526829</v>
      </c>
      <c r="AF22" s="5">
        <f t="shared" si="67"/>
        <v>103558.84985049098</v>
      </c>
      <c r="AG22" s="5">
        <f t="shared" si="67"/>
        <v>135239.69947094072</v>
      </c>
      <c r="AH22" s="5">
        <f t="shared" si="67"/>
        <v>171223.62516191145</v>
      </c>
      <c r="AI22" s="5">
        <f t="shared" si="67"/>
        <v>211929.91124940122</v>
      </c>
      <c r="AJ22" s="5">
        <f t="shared" si="67"/>
        <v>257816.146773791</v>
      </c>
    </row>
    <row r="23" spans="2:36" x14ac:dyDescent="0.2">
      <c r="B23" t="s">
        <v>3</v>
      </c>
      <c r="M23" s="1">
        <f>8516+4012</f>
        <v>12528</v>
      </c>
      <c r="N23" s="1">
        <f>9889+3587</f>
        <v>13476</v>
      </c>
      <c r="O23" s="1">
        <f>10720+2975</f>
        <v>13695</v>
      </c>
      <c r="P23" s="1">
        <f>10751+4352</f>
        <v>15103</v>
      </c>
    </row>
    <row r="24" spans="2:36" x14ac:dyDescent="0.2">
      <c r="B24" t="s">
        <v>33</v>
      </c>
      <c r="M24" s="1">
        <v>3669</v>
      </c>
      <c r="N24" s="1">
        <v>4463</v>
      </c>
      <c r="O24" s="1">
        <v>4341</v>
      </c>
      <c r="P24" s="1">
        <v>3746</v>
      </c>
    </row>
    <row r="25" spans="2:36" x14ac:dyDescent="0.2">
      <c r="B25" t="s">
        <v>34</v>
      </c>
      <c r="M25" s="1">
        <v>6693</v>
      </c>
      <c r="N25" s="1">
        <v>6854</v>
      </c>
      <c r="O25" s="1">
        <v>6699</v>
      </c>
      <c r="P25" s="1">
        <v>6506</v>
      </c>
    </row>
    <row r="26" spans="2:36" x14ac:dyDescent="0.2">
      <c r="B26" t="s">
        <v>35</v>
      </c>
      <c r="M26" s="1">
        <v>1810</v>
      </c>
      <c r="N26" s="1">
        <v>1498</v>
      </c>
      <c r="O26" s="1">
        <v>1655</v>
      </c>
      <c r="P26" s="1">
        <v>1822</v>
      </c>
    </row>
    <row r="27" spans="2:36" x14ac:dyDescent="0.2">
      <c r="B27" t="s">
        <v>36</v>
      </c>
      <c r="M27" s="1">
        <v>4958</v>
      </c>
      <c r="N27" s="1">
        <v>4904</v>
      </c>
      <c r="O27" s="1">
        <v>4869</v>
      </c>
      <c r="P27" s="1">
        <v>4812</v>
      </c>
    </row>
    <row r="28" spans="2:36" x14ac:dyDescent="0.2">
      <c r="B28" t="s">
        <v>37</v>
      </c>
      <c r="M28" s="1">
        <v>3149</v>
      </c>
      <c r="N28" s="1">
        <v>3113</v>
      </c>
      <c r="O28" s="1">
        <v>3078</v>
      </c>
      <c r="P28" s="1">
        <v>3017</v>
      </c>
      <c r="V28" t="s">
        <v>75</v>
      </c>
      <c r="W28" s="6">
        <v>1.6E-2</v>
      </c>
    </row>
    <row r="29" spans="2:36" x14ac:dyDescent="0.2">
      <c r="B29" t="s">
        <v>38</v>
      </c>
      <c r="M29" s="1">
        <f>271+242</f>
        <v>513</v>
      </c>
      <c r="N29" s="1">
        <f>269+242</f>
        <v>511</v>
      </c>
      <c r="O29" s="1">
        <f>267+242</f>
        <v>509</v>
      </c>
      <c r="P29" s="1">
        <f>265+242</f>
        <v>507</v>
      </c>
      <c r="V29" t="s">
        <v>76</v>
      </c>
      <c r="W29" s="6">
        <v>-0.01</v>
      </c>
    </row>
    <row r="30" spans="2:36" x14ac:dyDescent="0.2">
      <c r="B30" t="s">
        <v>39</v>
      </c>
      <c r="M30" s="1">
        <v>2865</v>
      </c>
      <c r="N30" s="1">
        <v>2921</v>
      </c>
      <c r="O30" s="1">
        <v>3071</v>
      </c>
      <c r="P30" s="1">
        <v>3404</v>
      </c>
      <c r="V30" t="s">
        <v>77</v>
      </c>
      <c r="W30" s="8">
        <v>0.04</v>
      </c>
    </row>
    <row r="31" spans="2:36" x14ac:dyDescent="0.2">
      <c r="B31" t="s">
        <v>40</v>
      </c>
      <c r="M31" s="1">
        <f>+SUM(M23:M30)</f>
        <v>36185</v>
      </c>
      <c r="N31" s="1">
        <f>+SUM(N23:N30)</f>
        <v>37740</v>
      </c>
      <c r="O31" s="1">
        <f>+SUM(O23:O30)</f>
        <v>37917</v>
      </c>
      <c r="P31" s="1">
        <f>+SUM(P23:P30)</f>
        <v>38917</v>
      </c>
      <c r="V31" t="s">
        <v>78</v>
      </c>
      <c r="W31" s="1">
        <f>+NPV(W30,AA11:CV11)+Z11</f>
        <v>787692.80205286853</v>
      </c>
    </row>
    <row r="32" spans="2:36" x14ac:dyDescent="0.2">
      <c r="V32" t="s">
        <v>79</v>
      </c>
      <c r="W32" s="1">
        <f>+W31+P22</f>
        <v>793378.80205286853</v>
      </c>
    </row>
    <row r="33" spans="2:23" x14ac:dyDescent="0.2">
      <c r="B33" t="s">
        <v>4</v>
      </c>
      <c r="M33" s="1">
        <f>0+9412</f>
        <v>9412</v>
      </c>
      <c r="N33" s="1">
        <f>0+9413</f>
        <v>9413</v>
      </c>
      <c r="O33" s="1">
        <v>9415</v>
      </c>
      <c r="P33" s="1">
        <v>9417</v>
      </c>
      <c r="V33" t="s">
        <v>80</v>
      </c>
      <c r="W33" s="2">
        <f>+W32/Model!L4</f>
        <v>124.04296467368177</v>
      </c>
    </row>
    <row r="34" spans="2:23" x14ac:dyDescent="0.2">
      <c r="B34" t="s">
        <v>42</v>
      </c>
      <c r="M34" s="1">
        <v>4</v>
      </c>
      <c r="N34" s="1">
        <v>2</v>
      </c>
      <c r="O34" s="1">
        <v>15</v>
      </c>
      <c r="P34" s="1">
        <v>9</v>
      </c>
      <c r="V34" t="s">
        <v>81</v>
      </c>
      <c r="W34">
        <v>161.04</v>
      </c>
    </row>
    <row r="35" spans="2:23" x14ac:dyDescent="0.2">
      <c r="B35" t="s">
        <v>41</v>
      </c>
      <c r="M35" s="1">
        <v>2257</v>
      </c>
      <c r="N35" s="1">
        <v>2836</v>
      </c>
      <c r="O35" s="1">
        <v>2135</v>
      </c>
      <c r="P35" s="1">
        <v>2795</v>
      </c>
      <c r="V35" t="s">
        <v>82</v>
      </c>
      <c r="W35" s="6">
        <f>+W33/W34-1</f>
        <v>-0.22973817266715246</v>
      </c>
    </row>
    <row r="36" spans="2:23" x14ac:dyDescent="0.2">
      <c r="B36" t="s">
        <v>43</v>
      </c>
      <c r="M36" s="1">
        <v>470</v>
      </c>
      <c r="N36" s="1">
        <v>467</v>
      </c>
      <c r="O36" s="1">
        <v>462</v>
      </c>
      <c r="P36" s="1">
        <v>462</v>
      </c>
    </row>
    <row r="37" spans="2:23" x14ac:dyDescent="0.2">
      <c r="B37" t="s">
        <v>45</v>
      </c>
      <c r="M37" s="1">
        <v>5907</v>
      </c>
      <c r="N37" s="1">
        <v>6063</v>
      </c>
      <c r="O37" s="1">
        <v>5296</v>
      </c>
      <c r="P37" s="1">
        <v>5431</v>
      </c>
    </row>
    <row r="38" spans="2:23" x14ac:dyDescent="0.2">
      <c r="B38" t="s">
        <v>44</v>
      </c>
      <c r="M38" s="1">
        <v>256</v>
      </c>
      <c r="N38" s="1">
        <v>306</v>
      </c>
      <c r="O38" s="1">
        <v>361</v>
      </c>
      <c r="P38" s="1">
        <v>160</v>
      </c>
    </row>
    <row r="39" spans="2:23" x14ac:dyDescent="0.2">
      <c r="B39" t="s">
        <v>46</v>
      </c>
      <c r="M39" s="1">
        <v>2964</v>
      </c>
      <c r="N39" s="1">
        <v>2931</v>
      </c>
      <c r="O39" s="1">
        <v>2898</v>
      </c>
      <c r="P39" s="1">
        <v>2835</v>
      </c>
    </row>
    <row r="40" spans="2:23" x14ac:dyDescent="0.2">
      <c r="B40" t="s">
        <v>39</v>
      </c>
      <c r="M40" s="1">
        <v>2984</v>
      </c>
      <c r="N40" s="1">
        <v>2955</v>
      </c>
      <c r="O40" s="1">
        <v>2992</v>
      </c>
      <c r="P40" s="1">
        <v>2884</v>
      </c>
    </row>
    <row r="41" spans="2:23" x14ac:dyDescent="0.2">
      <c r="B41" t="s">
        <v>47</v>
      </c>
      <c r="M41" s="1">
        <f>+SUM(M33:M40)</f>
        <v>24254</v>
      </c>
      <c r="N41" s="1">
        <f>+SUM(N33:N40)</f>
        <v>24973</v>
      </c>
      <c r="O41" s="1">
        <f>+SUM(O33:O40)</f>
        <v>23574</v>
      </c>
      <c r="P41" s="1">
        <f>+SUM(P33:P40)</f>
        <v>23993</v>
      </c>
    </row>
    <row r="44" spans="2:23" x14ac:dyDescent="0.2">
      <c r="B44" t="s">
        <v>48</v>
      </c>
      <c r="M44" s="1">
        <f>+M11</f>
        <v>1449</v>
      </c>
      <c r="O44" s="1">
        <f>+O11</f>
        <v>1874</v>
      </c>
      <c r="P44" s="1">
        <f>+P11</f>
        <v>1337</v>
      </c>
    </row>
    <row r="45" spans="2:23" x14ac:dyDescent="0.2">
      <c r="B45" t="s">
        <v>49</v>
      </c>
      <c r="M45" s="1">
        <v>4218</v>
      </c>
      <c r="O45" s="1">
        <v>1874</v>
      </c>
      <c r="P45" s="1">
        <v>3211</v>
      </c>
    </row>
    <row r="46" spans="2:23" x14ac:dyDescent="0.2">
      <c r="B46" t="s">
        <v>51</v>
      </c>
      <c r="M46" s="1">
        <v>543</v>
      </c>
      <c r="O46" s="1">
        <v>177</v>
      </c>
      <c r="P46" s="1">
        <v>358</v>
      </c>
    </row>
    <row r="47" spans="2:23" x14ac:dyDescent="0.2">
      <c r="B47" t="s">
        <v>39</v>
      </c>
      <c r="M47" s="1">
        <v>-291</v>
      </c>
      <c r="O47" s="1">
        <v>-145</v>
      </c>
      <c r="P47" s="1">
        <v>-222</v>
      </c>
    </row>
    <row r="48" spans="2:23" x14ac:dyDescent="0.2">
      <c r="B48" t="s">
        <v>50</v>
      </c>
      <c r="M48" s="1">
        <v>467</v>
      </c>
      <c r="O48" s="1">
        <v>136</v>
      </c>
      <c r="P48" s="1">
        <v>306</v>
      </c>
    </row>
    <row r="49" spans="2:16" x14ac:dyDescent="0.2">
      <c r="B49" t="s">
        <v>52</v>
      </c>
      <c r="M49" s="1">
        <v>33</v>
      </c>
      <c r="O49" s="1">
        <v>-9</v>
      </c>
      <c r="P49" s="1">
        <v>3</v>
      </c>
    </row>
    <row r="50" spans="2:16" x14ac:dyDescent="0.2">
      <c r="B50" t="s">
        <v>53</v>
      </c>
      <c r="M50" s="1">
        <v>-130</v>
      </c>
      <c r="O50" s="1">
        <v>43</v>
      </c>
      <c r="P50" s="1">
        <v>48</v>
      </c>
    </row>
    <row r="51" spans="2:16" x14ac:dyDescent="0.2">
      <c r="B51" t="s">
        <v>33</v>
      </c>
      <c r="M51" s="1">
        <v>-837</v>
      </c>
      <c r="O51" s="1">
        <v>36</v>
      </c>
      <c r="P51" s="1">
        <v>543</v>
      </c>
    </row>
    <row r="52" spans="2:16" x14ac:dyDescent="0.2">
      <c r="B52" t="s">
        <v>34</v>
      </c>
      <c r="M52" s="1">
        <v>674</v>
      </c>
      <c r="O52" s="1">
        <v>101</v>
      </c>
      <c r="P52" s="1">
        <v>268</v>
      </c>
    </row>
    <row r="53" spans="2:16" x14ac:dyDescent="0.2">
      <c r="B53" t="s">
        <v>35</v>
      </c>
      <c r="M53" s="1">
        <v>-406</v>
      </c>
      <c r="O53" s="1">
        <v>-242</v>
      </c>
      <c r="P53" s="1">
        <v>-444</v>
      </c>
    </row>
    <row r="54" spans="2:16" x14ac:dyDescent="0.2">
      <c r="B54" t="s">
        <v>41</v>
      </c>
      <c r="M54" s="1">
        <v>374</v>
      </c>
      <c r="O54" s="1">
        <v>-860</v>
      </c>
      <c r="P54" s="1">
        <v>-203</v>
      </c>
    </row>
    <row r="55" spans="2:16" s="4" customFormat="1" ht="15" x14ac:dyDescent="0.25">
      <c r="B55" s="4" t="s">
        <v>54</v>
      </c>
      <c r="M55" s="5">
        <f>+SUM(M45:M54)</f>
        <v>4645</v>
      </c>
      <c r="O55" s="5">
        <f>+SUM(O45:O54)</f>
        <v>1111</v>
      </c>
      <c r="P55" s="5">
        <f>+SUM(P45:P54)</f>
        <v>3868</v>
      </c>
    </row>
    <row r="57" spans="2:16" x14ac:dyDescent="0.2">
      <c r="B57" t="s">
        <v>55</v>
      </c>
      <c r="M57" s="1">
        <v>-7441</v>
      </c>
      <c r="O57" s="1">
        <v>-2550</v>
      </c>
      <c r="P57" s="1">
        <v>-6699</v>
      </c>
    </row>
    <row r="58" spans="2:16" x14ac:dyDescent="0.2">
      <c r="B58" t="s">
        <v>56</v>
      </c>
      <c r="M58" s="1">
        <v>2203</v>
      </c>
      <c r="O58" s="1">
        <v>2096</v>
      </c>
      <c r="P58" s="1">
        <v>3891</v>
      </c>
    </row>
    <row r="59" spans="2:16" x14ac:dyDescent="0.2">
      <c r="B59" t="s">
        <v>57</v>
      </c>
      <c r="M59" s="1">
        <v>1588</v>
      </c>
      <c r="O59" s="1">
        <v>1037</v>
      </c>
      <c r="P59" s="1">
        <v>2032</v>
      </c>
    </row>
    <row r="60" spans="2:16" x14ac:dyDescent="0.2">
      <c r="B60" t="s">
        <v>58</v>
      </c>
      <c r="M60" s="1">
        <v>-521</v>
      </c>
      <c r="O60" s="1">
        <v>-184</v>
      </c>
      <c r="P60" s="1">
        <v>-362</v>
      </c>
    </row>
    <row r="61" spans="2:16" x14ac:dyDescent="0.2">
      <c r="B61" t="s">
        <v>59</v>
      </c>
      <c r="M61" s="1">
        <v>184</v>
      </c>
      <c r="O61" s="1">
        <v>102</v>
      </c>
      <c r="P61" s="1">
        <v>33</v>
      </c>
    </row>
    <row r="62" spans="2:16" s="4" customFormat="1" ht="15" x14ac:dyDescent="0.25">
      <c r="B62" s="4" t="s">
        <v>60</v>
      </c>
      <c r="M62" s="5">
        <f>+SUM(M57:M61)</f>
        <v>-3987</v>
      </c>
      <c r="O62" s="5">
        <f>+SUM(O57:O61)</f>
        <v>501</v>
      </c>
      <c r="P62" s="5">
        <f>+SUM(P57:P61)</f>
        <v>-1105</v>
      </c>
    </row>
    <row r="64" spans="2:16" x14ac:dyDescent="0.2">
      <c r="B64" t="s">
        <v>42</v>
      </c>
      <c r="M64" s="1">
        <v>-51</v>
      </c>
      <c r="O64" s="1">
        <v>13</v>
      </c>
      <c r="P64" s="1">
        <v>13</v>
      </c>
    </row>
    <row r="65" spans="2:16" x14ac:dyDescent="0.2">
      <c r="B65" t="s">
        <v>61</v>
      </c>
      <c r="M65" s="1">
        <v>-196</v>
      </c>
      <c r="O65" s="1">
        <v>0</v>
      </c>
      <c r="P65" s="1">
        <v>0</v>
      </c>
    </row>
    <row r="66" spans="2:16" x14ac:dyDescent="0.2">
      <c r="B66" t="s">
        <v>62</v>
      </c>
      <c r="M66" s="1">
        <v>969</v>
      </c>
      <c r="O66" s="1">
        <v>473</v>
      </c>
      <c r="P66" s="1">
        <v>846</v>
      </c>
    </row>
    <row r="67" spans="2:16" x14ac:dyDescent="0.2">
      <c r="B67" t="s">
        <v>63</v>
      </c>
      <c r="M67" s="1">
        <v>0</v>
      </c>
      <c r="O67" s="1">
        <v>-752</v>
      </c>
      <c r="P67" s="1">
        <v>-1723</v>
      </c>
    </row>
    <row r="68" spans="2:16" x14ac:dyDescent="0.2">
      <c r="B68" t="s">
        <v>64</v>
      </c>
      <c r="M68" s="1">
        <v>-1203</v>
      </c>
      <c r="O68" s="1">
        <v>-435</v>
      </c>
      <c r="P68" s="1">
        <v>-873</v>
      </c>
    </row>
    <row r="69" spans="2:16" x14ac:dyDescent="0.2">
      <c r="B69" t="s">
        <v>65</v>
      </c>
      <c r="M69" s="1">
        <v>-131</v>
      </c>
      <c r="O69" s="1">
        <v>-42</v>
      </c>
      <c r="P69" s="1">
        <v>-109</v>
      </c>
    </row>
    <row r="70" spans="2:16" s="4" customFormat="1" ht="15" x14ac:dyDescent="0.25">
      <c r="B70" s="4" t="s">
        <v>66</v>
      </c>
      <c r="M70" s="5">
        <f>+SUM(M64:M69)</f>
        <v>-612</v>
      </c>
      <c r="O70" s="5">
        <f>+SUM(O64:O69)</f>
        <v>-743</v>
      </c>
      <c r="P70" s="5">
        <f>+SUM(P64:P69)</f>
        <v>-1846</v>
      </c>
    </row>
    <row r="71" spans="2:16" s="4" customFormat="1" ht="15" x14ac:dyDescent="0.25">
      <c r="B71" s="4" t="s">
        <v>67</v>
      </c>
      <c r="M71" s="5">
        <f>+M55+M62+M70</f>
        <v>46</v>
      </c>
      <c r="O71" s="5">
        <f>+O55+O62+O70</f>
        <v>869</v>
      </c>
      <c r="P71" s="5">
        <f>+P55+P62+P70</f>
        <v>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2022-01-07T03:02:00Z</dcterms:created>
  <dcterms:modified xsi:type="dcterms:W3CDTF">2022-01-07T04:14:55Z</dcterms:modified>
</cp:coreProperties>
</file>