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\"/>
    </mc:Choice>
  </mc:AlternateContent>
  <xr:revisionPtr revIDLastSave="0" documentId="13_ncr:1_{2BC45DA5-3BA0-4D5F-A3F0-BB6713BBE482}" xr6:coauthVersionLast="47" xr6:coauthVersionMax="47" xr10:uidLastSave="{00000000-0000-0000-0000-000000000000}"/>
  <bookViews>
    <workbookView xWindow="5415" yWindow="810" windowWidth="19710" windowHeight="14280" activeTab="1" xr2:uid="{B58FF54C-34DB-4BEA-8037-FAC58923E793}"/>
  </bookViews>
  <sheets>
    <sheet name="Main" sheetId="1" r:id="rId1"/>
    <sheet name="Model" sheetId="2" r:id="rId2"/>
    <sheet name="Sheet1" sheetId="6" r:id="rId3"/>
    <sheet name="PP&amp;E grwoth vs R&amp;D Margin" sheetId="5" r:id="rId4"/>
    <sheet name="ROA vs R&amp;D Margi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7" i="2" l="1"/>
  <c r="U34" i="2" l="1"/>
  <c r="U10" i="2"/>
  <c r="U9" i="2"/>
  <c r="AD48" i="2"/>
  <c r="X15" i="2"/>
  <c r="Y15" i="2" s="1"/>
  <c r="Z15" i="2" s="1"/>
  <c r="M7" i="1"/>
  <c r="AJ15" i="2"/>
  <c r="AJ21" i="2" s="1"/>
  <c r="AJ31" i="2" s="1"/>
  <c r="U1" i="2"/>
  <c r="T1" i="2" s="1"/>
  <c r="S1" i="2" s="1"/>
  <c r="R1" i="2" s="1"/>
  <c r="Q1" i="2" s="1"/>
  <c r="P1" i="2" s="1"/>
  <c r="O1" i="2" s="1"/>
  <c r="N1" i="2" s="1"/>
  <c r="M1" i="2" s="1"/>
  <c r="L1" i="2" s="1"/>
  <c r="K1" i="2" s="1"/>
  <c r="J1" i="2" s="1"/>
  <c r="I1" i="2" s="1"/>
  <c r="H1" i="2" s="1"/>
  <c r="G1" i="2" s="1"/>
  <c r="F1" i="2" s="1"/>
  <c r="E1" i="2" s="1"/>
  <c r="D1" i="2" s="1"/>
  <c r="C1" i="2" s="1"/>
  <c r="U102" i="2"/>
  <c r="U92" i="2"/>
  <c r="U83" i="2"/>
  <c r="U84" i="2" s="1"/>
  <c r="U61" i="2"/>
  <c r="U60" i="2"/>
  <c r="U48" i="2"/>
  <c r="U52" i="2" s="1"/>
  <c r="U42" i="2"/>
  <c r="M6" i="1" s="1"/>
  <c r="U22" i="2"/>
  <c r="U20" i="2"/>
  <c r="U37" i="2"/>
  <c r="U36" i="2"/>
  <c r="U17" i="2"/>
  <c r="U21" i="2" s="1"/>
  <c r="U31" i="2" s="1"/>
  <c r="T102" i="2"/>
  <c r="T92" i="2"/>
  <c r="T83" i="2"/>
  <c r="T84" i="2" s="1"/>
  <c r="T48" i="2"/>
  <c r="T42" i="2"/>
  <c r="T60" i="2"/>
  <c r="S60" i="2"/>
  <c r="R60" i="2"/>
  <c r="Q60" i="2"/>
  <c r="P60" i="2"/>
  <c r="O60" i="2"/>
  <c r="N60" i="2"/>
  <c r="M60" i="2"/>
  <c r="L60" i="2"/>
  <c r="K60" i="2"/>
  <c r="J60" i="2"/>
  <c r="T51" i="2"/>
  <c r="S51" i="2"/>
  <c r="S67" i="2" s="1"/>
  <c r="K51" i="2"/>
  <c r="K67" i="2" s="1"/>
  <c r="T61" i="2"/>
  <c r="T41" i="2"/>
  <c r="T22" i="2"/>
  <c r="T37" i="2"/>
  <c r="T36" i="2"/>
  <c r="T34" i="2"/>
  <c r="T20" i="2"/>
  <c r="T17" i="2"/>
  <c r="T30" i="2" s="1"/>
  <c r="S34" i="2"/>
  <c r="C21" i="6"/>
  <c r="C22" i="6"/>
  <c r="C26" i="6"/>
  <c r="C30" i="6"/>
  <c r="C23" i="6"/>
  <c r="C27" i="6"/>
  <c r="C31" i="6"/>
  <c r="C24" i="6"/>
  <c r="C28" i="6"/>
  <c r="C25" i="6"/>
  <c r="C29" i="6"/>
  <c r="M8" i="1" l="1"/>
  <c r="U41" i="2"/>
  <c r="AD46" i="2" s="1"/>
  <c r="AJ17" i="2"/>
  <c r="AJ30" i="2" s="1"/>
  <c r="U51" i="2"/>
  <c r="U67" i="2" s="1"/>
  <c r="AJ41" i="2"/>
  <c r="AA15" i="2"/>
  <c r="AK15" i="2" s="1"/>
  <c r="U103" i="2"/>
  <c r="U62" i="2"/>
  <c r="U30" i="2"/>
  <c r="U23" i="2"/>
  <c r="T67" i="2"/>
  <c r="T103" i="2"/>
  <c r="T52" i="2"/>
  <c r="T62" i="2" s="1"/>
  <c r="T21" i="2"/>
  <c r="AI26" i="2"/>
  <c r="AJ26" i="2" s="1"/>
  <c r="AK26" i="2" s="1"/>
  <c r="AL26" i="2" s="1"/>
  <c r="AM26" i="2" s="1"/>
  <c r="AI24" i="2"/>
  <c r="AI19" i="2"/>
  <c r="AI18" i="2"/>
  <c r="AI16" i="2"/>
  <c r="AI15" i="2"/>
  <c r="AJ34" i="2" s="1"/>
  <c r="E29" i="6"/>
  <c r="E28" i="6"/>
  <c r="D31" i="6"/>
  <c r="D23" i="6"/>
  <c r="E26" i="6"/>
  <c r="E21" i="6"/>
  <c r="D28" i="6"/>
  <c r="E31" i="6"/>
  <c r="D26" i="6"/>
  <c r="D21" i="6"/>
  <c r="E25" i="6"/>
  <c r="D27" i="6"/>
  <c r="E30" i="6"/>
  <c r="D25" i="6"/>
  <c r="E27" i="6"/>
  <c r="D22" i="6"/>
  <c r="D29" i="6"/>
  <c r="E23" i="6"/>
  <c r="E24" i="6"/>
  <c r="E22" i="6"/>
  <c r="D24" i="6"/>
  <c r="D30" i="6"/>
  <c r="U63" i="2" l="1"/>
  <c r="U66" i="2"/>
  <c r="U65" i="2"/>
  <c r="AK17" i="2"/>
  <c r="AK30" i="2" s="1"/>
  <c r="AL15" i="2"/>
  <c r="AK34" i="2"/>
  <c r="AK21" i="2"/>
  <c r="AK31" i="2"/>
  <c r="AL34" i="2"/>
  <c r="AM15" i="2"/>
  <c r="AL21" i="2"/>
  <c r="AL17" i="2"/>
  <c r="AL30" i="2" s="1"/>
  <c r="AN26" i="2"/>
  <c r="U32" i="2"/>
  <c r="U25" i="2"/>
  <c r="T63" i="2"/>
  <c r="T66" i="2"/>
  <c r="T65" i="2"/>
  <c r="T31" i="2"/>
  <c r="T23" i="2"/>
  <c r="S102" i="2"/>
  <c r="S92" i="2"/>
  <c r="S83" i="2"/>
  <c r="S84" i="2" s="1"/>
  <c r="S41" i="2"/>
  <c r="S61" i="2"/>
  <c r="S48" i="2"/>
  <c r="S52" i="2" s="1"/>
  <c r="S37" i="2"/>
  <c r="S36" i="2"/>
  <c r="S22" i="2"/>
  <c r="S20" i="2"/>
  <c r="S17" i="2"/>
  <c r="S30" i="2" s="1"/>
  <c r="AH15" i="2"/>
  <c r="AI34" i="2" s="1"/>
  <c r="AF15" i="2"/>
  <c r="C47" i="4"/>
  <c r="C9" i="4"/>
  <c r="D9" i="4"/>
  <c r="C10" i="4"/>
  <c r="D10" i="4"/>
  <c r="D25" i="4" s="1"/>
  <c r="D26" i="4" s="1"/>
  <c r="C11" i="4"/>
  <c r="C28" i="4" s="1"/>
  <c r="D11" i="4"/>
  <c r="D24" i="4" s="1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  <c r="C19" i="4"/>
  <c r="D19" i="4"/>
  <c r="C20" i="4"/>
  <c r="D20" i="4"/>
  <c r="C25" i="4"/>
  <c r="C26" i="4" s="1"/>
  <c r="C30" i="4"/>
  <c r="C31" i="4"/>
  <c r="C32" i="4" s="1"/>
  <c r="C38" i="4"/>
  <c r="C43" i="4"/>
  <c r="C44" i="4"/>
  <c r="C46" i="4"/>
  <c r="B51" i="4"/>
  <c r="B52" i="4"/>
  <c r="B53" i="4"/>
  <c r="B54" i="4"/>
  <c r="B55" i="4" s="1"/>
  <c r="B56" i="4" s="1"/>
  <c r="B57" i="4" s="1"/>
  <c r="B58" i="4" s="1"/>
  <c r="B59" i="4" s="1"/>
  <c r="B60" i="4" s="1"/>
  <c r="B61" i="4" s="1"/>
  <c r="U69" i="2" l="1"/>
  <c r="AN15" i="2"/>
  <c r="AM17" i="2"/>
  <c r="AM30" i="2" s="1"/>
  <c r="AM21" i="2"/>
  <c r="AM34" i="2"/>
  <c r="AL31" i="2"/>
  <c r="AO26" i="2"/>
  <c r="T32" i="2"/>
  <c r="T25" i="2"/>
  <c r="S103" i="2"/>
  <c r="S62" i="2"/>
  <c r="S65" i="2" s="1"/>
  <c r="S21" i="2"/>
  <c r="C29" i="4"/>
  <c r="D29" i="4" s="1"/>
  <c r="C40" i="4"/>
  <c r="C24" i="4"/>
  <c r="C41" i="4" s="1"/>
  <c r="C22" i="4"/>
  <c r="AO15" i="2" l="1"/>
  <c r="AN21" i="2"/>
  <c r="AN17" i="2"/>
  <c r="AN30" i="2" s="1"/>
  <c r="AN34" i="2"/>
  <c r="AM31" i="2"/>
  <c r="AP26" i="2"/>
  <c r="T27" i="2"/>
  <c r="T69" i="2"/>
  <c r="S66" i="2"/>
  <c r="S63" i="2"/>
  <c r="S23" i="2"/>
  <c r="S32" i="2" s="1"/>
  <c r="S31" i="2"/>
  <c r="C50" i="4"/>
  <c r="C54" i="4"/>
  <c r="C58" i="4"/>
  <c r="C53" i="4"/>
  <c r="C57" i="4"/>
  <c r="C61" i="4"/>
  <c r="C51" i="4"/>
  <c r="C55" i="4"/>
  <c r="C59" i="4"/>
  <c r="C52" i="4"/>
  <c r="C56" i="4"/>
  <c r="C60" i="4"/>
  <c r="F11" i="4"/>
  <c r="F19" i="4"/>
  <c r="F14" i="4"/>
  <c r="F12" i="4"/>
  <c r="F20" i="4"/>
  <c r="F10" i="4"/>
  <c r="F13" i="4"/>
  <c r="F16" i="4"/>
  <c r="F9" i="4"/>
  <c r="F17" i="4"/>
  <c r="F15" i="4"/>
  <c r="F18" i="4"/>
  <c r="AN31" i="2" l="1"/>
  <c r="AP15" i="2"/>
  <c r="AO21" i="2"/>
  <c r="AO17" i="2"/>
  <c r="AO30" i="2" s="1"/>
  <c r="AO34" i="2"/>
  <c r="AQ26" i="2"/>
  <c r="S25" i="2"/>
  <c r="G34" i="2"/>
  <c r="H34" i="2"/>
  <c r="AH26" i="2"/>
  <c r="AG26" i="2"/>
  <c r="AO31" i="2" l="1"/>
  <c r="AQ15" i="2"/>
  <c r="AP17" i="2"/>
  <c r="AP30" i="2" s="1"/>
  <c r="AP21" i="2"/>
  <c r="AP34" i="2"/>
  <c r="AR26" i="2"/>
  <c r="S27" i="2"/>
  <c r="S69" i="2"/>
  <c r="M37" i="2"/>
  <c r="Q37" i="2"/>
  <c r="P37" i="2"/>
  <c r="O37" i="2"/>
  <c r="N37" i="2"/>
  <c r="L37" i="2"/>
  <c r="K37" i="2"/>
  <c r="J37" i="2"/>
  <c r="I37" i="2"/>
  <c r="H37" i="2"/>
  <c r="R37" i="2"/>
  <c r="N36" i="2"/>
  <c r="M36" i="2"/>
  <c r="L36" i="2"/>
  <c r="K36" i="2"/>
  <c r="J36" i="2"/>
  <c r="I36" i="2"/>
  <c r="H36" i="2"/>
  <c r="N34" i="2"/>
  <c r="M34" i="2"/>
  <c r="L34" i="2"/>
  <c r="K34" i="2"/>
  <c r="J34" i="2"/>
  <c r="I34" i="2"/>
  <c r="AH24" i="2"/>
  <c r="AH19" i="2"/>
  <c r="AI37" i="2" s="1"/>
  <c r="AH18" i="2"/>
  <c r="AI36" i="2" s="1"/>
  <c r="AH16" i="2"/>
  <c r="AG24" i="2"/>
  <c r="AG19" i="2"/>
  <c r="AG18" i="2"/>
  <c r="AG16" i="2"/>
  <c r="AG15" i="2"/>
  <c r="AF26" i="2"/>
  <c r="AF24" i="2"/>
  <c r="AF19" i="2"/>
  <c r="AF18" i="2"/>
  <c r="AF16" i="2"/>
  <c r="C22" i="2"/>
  <c r="C20" i="2"/>
  <c r="C17" i="2"/>
  <c r="C30" i="2" s="1"/>
  <c r="G22" i="2"/>
  <c r="G20" i="2"/>
  <c r="G17" i="2"/>
  <c r="D22" i="2"/>
  <c r="D20" i="2"/>
  <c r="D17" i="2"/>
  <c r="H22" i="2"/>
  <c r="H20" i="2"/>
  <c r="H17" i="2"/>
  <c r="H30" i="2" s="1"/>
  <c r="E22" i="2"/>
  <c r="E20" i="2"/>
  <c r="E17" i="2"/>
  <c r="E30" i="2" s="1"/>
  <c r="I22" i="2"/>
  <c r="I20" i="2"/>
  <c r="I17" i="2"/>
  <c r="I30" i="2" s="1"/>
  <c r="F17" i="2"/>
  <c r="F20" i="2"/>
  <c r="D8" i="1"/>
  <c r="D7" i="1"/>
  <c r="O36" i="2"/>
  <c r="Q36" i="2"/>
  <c r="P36" i="2"/>
  <c r="R36" i="2"/>
  <c r="AR15" i="2" l="1"/>
  <c r="AQ21" i="2"/>
  <c r="AQ17" i="2"/>
  <c r="AQ30" i="2" s="1"/>
  <c r="AQ34" i="2"/>
  <c r="AP31" i="2"/>
  <c r="AS26" i="2"/>
  <c r="AH37" i="2"/>
  <c r="AG22" i="2"/>
  <c r="G21" i="2"/>
  <c r="G23" i="2" s="1"/>
  <c r="G25" i="2" s="1"/>
  <c r="G27" i="2" s="1"/>
  <c r="AG37" i="2"/>
  <c r="AH34" i="2"/>
  <c r="D21" i="2"/>
  <c r="D31" i="2" s="1"/>
  <c r="AH36" i="2"/>
  <c r="AF22" i="2"/>
  <c r="AG34" i="2"/>
  <c r="AF20" i="2"/>
  <c r="AG36" i="2"/>
  <c r="G30" i="2"/>
  <c r="D30" i="2"/>
  <c r="AF17" i="2"/>
  <c r="AF30" i="2" s="1"/>
  <c r="C21" i="2"/>
  <c r="F21" i="2"/>
  <c r="I21" i="2"/>
  <c r="I31" i="2" s="1"/>
  <c r="F30" i="2"/>
  <c r="H21" i="2"/>
  <c r="E21" i="2"/>
  <c r="P34" i="2"/>
  <c r="L48" i="2"/>
  <c r="L42" i="2"/>
  <c r="L61" i="2"/>
  <c r="L63" i="2" s="1"/>
  <c r="M48" i="2"/>
  <c r="M42" i="2"/>
  <c r="M61" i="2"/>
  <c r="M63" i="2" s="1"/>
  <c r="N61" i="2"/>
  <c r="N63" i="2" s="1"/>
  <c r="N48" i="2"/>
  <c r="N42" i="2"/>
  <c r="N51" i="2" s="1"/>
  <c r="N67" i="2" s="1"/>
  <c r="J61" i="2"/>
  <c r="J63" i="2" s="1"/>
  <c r="K57" i="2"/>
  <c r="J48" i="2"/>
  <c r="J42" i="2"/>
  <c r="J51" i="2" s="1"/>
  <c r="J67" i="2" s="1"/>
  <c r="J20" i="2"/>
  <c r="J17" i="2"/>
  <c r="J30" i="2" s="1"/>
  <c r="K48" i="2"/>
  <c r="K52" i="2" s="1"/>
  <c r="K20" i="2"/>
  <c r="K17" i="2"/>
  <c r="O34" i="2"/>
  <c r="O20" i="2"/>
  <c r="O17" i="2"/>
  <c r="P57" i="2"/>
  <c r="P48" i="2"/>
  <c r="P42" i="2"/>
  <c r="P51" i="2" s="1"/>
  <c r="P67" i="2" s="1"/>
  <c r="L22" i="2"/>
  <c r="L20" i="2"/>
  <c r="L17" i="2"/>
  <c r="P22" i="2"/>
  <c r="P20" i="2"/>
  <c r="P17" i="2"/>
  <c r="Q57" i="2"/>
  <c r="Q48" i="2"/>
  <c r="Q42" i="2"/>
  <c r="Q51" i="2" s="1"/>
  <c r="Q67" i="2" s="1"/>
  <c r="Q34" i="2"/>
  <c r="M22" i="2"/>
  <c r="M20" i="2"/>
  <c r="M17" i="2"/>
  <c r="M30" i="2" s="1"/>
  <c r="Q22" i="2"/>
  <c r="Q20" i="2"/>
  <c r="Q17" i="2"/>
  <c r="Q30" i="2" s="1"/>
  <c r="O57" i="2"/>
  <c r="O48" i="2"/>
  <c r="O42" i="2"/>
  <c r="O51" i="2" s="1"/>
  <c r="O67" i="2" s="1"/>
  <c r="R57" i="2"/>
  <c r="R48" i="2"/>
  <c r="R42" i="2"/>
  <c r="N22" i="2"/>
  <c r="N20" i="2"/>
  <c r="R22" i="2"/>
  <c r="R20" i="2"/>
  <c r="R34" i="2"/>
  <c r="AQ31" i="2" l="1"/>
  <c r="AR17" i="2"/>
  <c r="AR30" i="2" s="1"/>
  <c r="AR21" i="2"/>
  <c r="AS15" i="2"/>
  <c r="AR34" i="2"/>
  <c r="AT26" i="2"/>
  <c r="R41" i="2"/>
  <c r="R51" i="2"/>
  <c r="R67" i="2" s="1"/>
  <c r="L41" i="2"/>
  <c r="L51" i="2"/>
  <c r="L67" i="2" s="1"/>
  <c r="M41" i="2"/>
  <c r="M51" i="2"/>
  <c r="M67" i="2" s="1"/>
  <c r="AI20" i="2"/>
  <c r="AI22" i="2"/>
  <c r="O61" i="2"/>
  <c r="O63" i="2" s="1"/>
  <c r="K41" i="2"/>
  <c r="Q61" i="2"/>
  <c r="Q63" i="2" s="1"/>
  <c r="R61" i="2"/>
  <c r="R63" i="2" s="1"/>
  <c r="D23" i="2"/>
  <c r="D25" i="2" s="1"/>
  <c r="D27" i="2" s="1"/>
  <c r="G31" i="2"/>
  <c r="G32" i="2"/>
  <c r="P30" i="2"/>
  <c r="O21" i="2"/>
  <c r="O31" i="2" s="1"/>
  <c r="J52" i="2"/>
  <c r="K21" i="2"/>
  <c r="K23" i="2" s="1"/>
  <c r="K25" i="2" s="1"/>
  <c r="K27" i="2" s="1"/>
  <c r="AG20" i="2"/>
  <c r="AF21" i="2"/>
  <c r="AF31" i="2" s="1"/>
  <c r="L30" i="2"/>
  <c r="AG17" i="2"/>
  <c r="AG30" i="2" s="1"/>
  <c r="C23" i="2"/>
  <c r="C31" i="2"/>
  <c r="AH20" i="2"/>
  <c r="AH22" i="2"/>
  <c r="L52" i="2"/>
  <c r="P52" i="2"/>
  <c r="E23" i="2"/>
  <c r="E31" i="2"/>
  <c r="I23" i="2"/>
  <c r="H23" i="2"/>
  <c r="H31" i="2"/>
  <c r="N52" i="2"/>
  <c r="F23" i="2"/>
  <c r="F31" i="2"/>
  <c r="O41" i="2"/>
  <c r="K61" i="2"/>
  <c r="K63" i="2" s="1"/>
  <c r="P41" i="2"/>
  <c r="N41" i="2"/>
  <c r="J41" i="2"/>
  <c r="M52" i="2"/>
  <c r="J21" i="2"/>
  <c r="O30" i="2"/>
  <c r="R52" i="2"/>
  <c r="K30" i="2"/>
  <c r="O52" i="2"/>
  <c r="Q52" i="2"/>
  <c r="P61" i="2"/>
  <c r="P63" i="2" s="1"/>
  <c r="L21" i="2"/>
  <c r="P21" i="2"/>
  <c r="Q41" i="2"/>
  <c r="M21" i="2"/>
  <c r="Q21" i="2"/>
  <c r="AT15" i="2" l="1"/>
  <c r="AS17" i="2"/>
  <c r="AS30" i="2" s="1"/>
  <c r="AS34" i="2"/>
  <c r="AS21" i="2"/>
  <c r="AR31" i="2"/>
  <c r="AU26" i="2"/>
  <c r="Q62" i="2"/>
  <c r="Q66" i="2" s="1"/>
  <c r="R62" i="2"/>
  <c r="R66" i="2" s="1"/>
  <c r="O62" i="2"/>
  <c r="O66" i="2" s="1"/>
  <c r="L62" i="2"/>
  <c r="L66" i="2" s="1"/>
  <c r="M62" i="2"/>
  <c r="M66" i="2" s="1"/>
  <c r="M65" i="2"/>
  <c r="N62" i="2"/>
  <c r="N66" i="2" s="1"/>
  <c r="D32" i="2"/>
  <c r="J62" i="2"/>
  <c r="J66" i="2" s="1"/>
  <c r="P62" i="2"/>
  <c r="P66" i="2" s="1"/>
  <c r="K62" i="2"/>
  <c r="O23" i="2"/>
  <c r="O25" i="2" s="1"/>
  <c r="O27" i="2" s="1"/>
  <c r="K31" i="2"/>
  <c r="AG21" i="2"/>
  <c r="AG31" i="2" s="1"/>
  <c r="AF23" i="2"/>
  <c r="AF32" i="2" s="1"/>
  <c r="C25" i="2"/>
  <c r="C27" i="2" s="1"/>
  <c r="C32" i="2"/>
  <c r="H25" i="2"/>
  <c r="H32" i="2"/>
  <c r="I25" i="2"/>
  <c r="I27" i="2" s="1"/>
  <c r="I32" i="2"/>
  <c r="P23" i="2"/>
  <c r="P31" i="2"/>
  <c r="F25" i="2"/>
  <c r="F27" i="2" s="1"/>
  <c r="F32" i="2"/>
  <c r="E25" i="2"/>
  <c r="E32" i="2"/>
  <c r="J23" i="2"/>
  <c r="J25" i="2" s="1"/>
  <c r="J27" i="2" s="1"/>
  <c r="J31" i="2"/>
  <c r="M23" i="2"/>
  <c r="M25" i="2" s="1"/>
  <c r="M27" i="2" s="1"/>
  <c r="M31" i="2"/>
  <c r="L23" i="2"/>
  <c r="L31" i="2"/>
  <c r="K32" i="2"/>
  <c r="Q23" i="2"/>
  <c r="Q25" i="2" s="1"/>
  <c r="Q27" i="2" s="1"/>
  <c r="Q31" i="2"/>
  <c r="AS31" i="2" l="1"/>
  <c r="AT17" i="2"/>
  <c r="AT30" i="2" s="1"/>
  <c r="AT34" i="2"/>
  <c r="AT21" i="2"/>
  <c r="AU15" i="2"/>
  <c r="AV26" i="2"/>
  <c r="Q65" i="2"/>
  <c r="O65" i="2"/>
  <c r="O32" i="2"/>
  <c r="P65" i="2"/>
  <c r="J65" i="2"/>
  <c r="N65" i="2"/>
  <c r="L65" i="2"/>
  <c r="R65" i="2"/>
  <c r="K65" i="2"/>
  <c r="K66" i="2"/>
  <c r="P25" i="2"/>
  <c r="P32" i="2"/>
  <c r="AG23" i="2"/>
  <c r="AG32" i="2" s="1"/>
  <c r="E27" i="2"/>
  <c r="AF25" i="2"/>
  <c r="AF27" i="2" s="1"/>
  <c r="Q32" i="2"/>
  <c r="L25" i="2"/>
  <c r="H27" i="2"/>
  <c r="AG25" i="2"/>
  <c r="J32" i="2"/>
  <c r="L32" i="2"/>
  <c r="M32" i="2"/>
  <c r="R17" i="2"/>
  <c r="AI17" i="2" s="1"/>
  <c r="AI30" i="2" s="1"/>
  <c r="N17" i="2"/>
  <c r="AF2" i="2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M5" i="1"/>
  <c r="AU34" i="2" l="1"/>
  <c r="AU21" i="2"/>
  <c r="AV15" i="2"/>
  <c r="AU17" i="2"/>
  <c r="AU30" i="2" s="1"/>
  <c r="AT31" i="2"/>
  <c r="AW26" i="2"/>
  <c r="AG27" i="2"/>
  <c r="P27" i="2"/>
  <c r="N21" i="2"/>
  <c r="AH21" i="2" s="1"/>
  <c r="AH31" i="2" s="1"/>
  <c r="AH17" i="2"/>
  <c r="AH30" i="2" s="1"/>
  <c r="L27" i="2"/>
  <c r="R21" i="2"/>
  <c r="AI21" i="2" s="1"/>
  <c r="AI31" i="2" s="1"/>
  <c r="R30" i="2"/>
  <c r="N30" i="2"/>
  <c r="AU31" i="2" l="1"/>
  <c r="AV34" i="2"/>
  <c r="AW15" i="2"/>
  <c r="AV21" i="2"/>
  <c r="AV17" i="2"/>
  <c r="AV30" i="2" s="1"/>
  <c r="AX26" i="2"/>
  <c r="N23" i="2"/>
  <c r="AH23" i="2" s="1"/>
  <c r="AH32" i="2" s="1"/>
  <c r="N31" i="2"/>
  <c r="R23" i="2"/>
  <c r="R31" i="2"/>
  <c r="AV31" i="2" l="1"/>
  <c r="AX15" i="2"/>
  <c r="AW21" i="2"/>
  <c r="AW34" i="2"/>
  <c r="AW17" i="2"/>
  <c r="AW30" i="2" s="1"/>
  <c r="AY26" i="2"/>
  <c r="R25" i="2"/>
  <c r="AI25" i="2" s="1"/>
  <c r="AI27" i="2" s="1"/>
  <c r="AI23" i="2"/>
  <c r="AI32" i="2" s="1"/>
  <c r="N25" i="2"/>
  <c r="AH25" i="2" s="1"/>
  <c r="N32" i="2"/>
  <c r="R32" i="2"/>
  <c r="N27" i="2"/>
  <c r="AD42" i="2" l="1"/>
  <c r="AJ22" i="2" s="1"/>
  <c r="R27" i="2"/>
  <c r="AJ23" i="2"/>
  <c r="AK22" i="2"/>
  <c r="AW31" i="2"/>
  <c r="AX34" i="2"/>
  <c r="AY15" i="2"/>
  <c r="AX21" i="2"/>
  <c r="AX17" i="2"/>
  <c r="AX30" i="2" s="1"/>
  <c r="AZ26" i="2"/>
  <c r="AH27" i="2"/>
  <c r="AJ24" i="2" l="1"/>
  <c r="AJ32" i="2" s="1"/>
  <c r="AJ25" i="2"/>
  <c r="AJ27" i="2" s="1"/>
  <c r="AL22" i="2"/>
  <c r="AK23" i="2"/>
  <c r="AZ15" i="2"/>
  <c r="AY34" i="2"/>
  <c r="AY21" i="2"/>
  <c r="AY17" i="2"/>
  <c r="AY30" i="2" s="1"/>
  <c r="AX31" i="2"/>
  <c r="AK24" i="2" l="1"/>
  <c r="AK32" i="2" s="1"/>
  <c r="AK25" i="2"/>
  <c r="AK27" i="2" s="1"/>
  <c r="AM22" i="2"/>
  <c r="AL23" i="2"/>
  <c r="AY31" i="2"/>
  <c r="AZ17" i="2"/>
  <c r="AZ30" i="2" s="1"/>
  <c r="AZ34" i="2"/>
  <c r="AZ21" i="2"/>
  <c r="AN22" i="2" l="1"/>
  <c r="AM23" i="2"/>
  <c r="AL24" i="2"/>
  <c r="AL32" i="2" s="1"/>
  <c r="AL25" i="2"/>
  <c r="AL27" i="2" s="1"/>
  <c r="AZ31" i="2"/>
  <c r="AM24" i="2" l="1"/>
  <c r="AM32" i="2" s="1"/>
  <c r="AM25" i="2"/>
  <c r="AM27" i="2" s="1"/>
  <c r="AO22" i="2"/>
  <c r="AN23" i="2"/>
  <c r="AN24" i="2" l="1"/>
  <c r="AN32" i="2" s="1"/>
  <c r="AP22" i="2"/>
  <c r="AO23" i="2"/>
  <c r="AO24" i="2" l="1"/>
  <c r="AO32" i="2" s="1"/>
  <c r="AQ22" i="2"/>
  <c r="AP23" i="2"/>
  <c r="AN25" i="2"/>
  <c r="AN27" i="2" s="1"/>
  <c r="AP24" i="2" l="1"/>
  <c r="AP32" i="2" s="1"/>
  <c r="AP25" i="2"/>
  <c r="AP27" i="2" s="1"/>
  <c r="AR22" i="2"/>
  <c r="AQ23" i="2"/>
  <c r="AO25" i="2"/>
  <c r="AO27" i="2" s="1"/>
  <c r="AS22" i="2" l="1"/>
  <c r="AR23" i="2"/>
  <c r="AQ24" i="2"/>
  <c r="AQ32" i="2" s="1"/>
  <c r="AQ25" i="2"/>
  <c r="AQ27" i="2" s="1"/>
  <c r="AT22" i="2" l="1"/>
  <c r="AS23" i="2"/>
  <c r="AR24" i="2"/>
  <c r="AR32" i="2" s="1"/>
  <c r="AR25" i="2"/>
  <c r="AR27" i="2" s="1"/>
  <c r="AU22" i="2" l="1"/>
  <c r="AT23" i="2"/>
  <c r="AS24" i="2"/>
  <c r="AS32" i="2" s="1"/>
  <c r="AS25" i="2"/>
  <c r="AS27" i="2" s="1"/>
  <c r="AV22" i="2" l="1"/>
  <c r="AU23" i="2"/>
  <c r="AT24" i="2"/>
  <c r="AT32" i="2" s="1"/>
  <c r="AT25" i="2"/>
  <c r="AT27" i="2" s="1"/>
  <c r="AW22" i="2" l="1"/>
  <c r="AV23" i="2"/>
  <c r="AU24" i="2"/>
  <c r="AU32" i="2" s="1"/>
  <c r="AU25" i="2"/>
  <c r="AU27" i="2" s="1"/>
  <c r="AV24" i="2" l="1"/>
  <c r="AV32" i="2" s="1"/>
  <c r="AV25" i="2"/>
  <c r="AV27" i="2" s="1"/>
  <c r="AX22" i="2"/>
  <c r="AW23" i="2"/>
  <c r="AW24" i="2" l="1"/>
  <c r="AW32" i="2" s="1"/>
  <c r="AY22" i="2"/>
  <c r="AX23" i="2"/>
  <c r="AW25" i="2" l="1"/>
  <c r="AW27" i="2" s="1"/>
  <c r="AX24" i="2"/>
  <c r="AX32" i="2" s="1"/>
  <c r="AX25" i="2"/>
  <c r="AX27" i="2" s="1"/>
  <c r="AZ22" i="2"/>
  <c r="AZ23" i="2" s="1"/>
  <c r="AY23" i="2"/>
  <c r="AY24" i="2" l="1"/>
  <c r="AY32" i="2" s="1"/>
  <c r="AY25" i="2"/>
  <c r="AY27" i="2" s="1"/>
  <c r="AZ24" i="2"/>
  <c r="AZ32" i="2" s="1"/>
  <c r="AZ25" i="2"/>
  <c r="AZ27" i="2" l="1"/>
  <c r="BA25" i="2"/>
  <c r="BB25" i="2" s="1"/>
  <c r="BC25" i="2" s="1"/>
  <c r="BD25" i="2" s="1"/>
  <c r="BE25" i="2" s="1"/>
  <c r="BF25" i="2" s="1"/>
  <c r="BG25" i="2" s="1"/>
  <c r="BH25" i="2" s="1"/>
  <c r="BI25" i="2" s="1"/>
  <c r="BJ25" i="2" s="1"/>
  <c r="BK25" i="2" s="1"/>
  <c r="BL25" i="2" s="1"/>
  <c r="BM25" i="2" s="1"/>
  <c r="BN25" i="2" s="1"/>
  <c r="BO25" i="2" s="1"/>
  <c r="BP25" i="2" s="1"/>
  <c r="BQ25" i="2" s="1"/>
  <c r="BR25" i="2" s="1"/>
  <c r="BS25" i="2" s="1"/>
  <c r="BT25" i="2" s="1"/>
  <c r="BU25" i="2" s="1"/>
  <c r="BV25" i="2" s="1"/>
  <c r="BW25" i="2" s="1"/>
  <c r="BX25" i="2" s="1"/>
  <c r="BY25" i="2" s="1"/>
  <c r="BZ25" i="2" s="1"/>
  <c r="CA25" i="2" s="1"/>
  <c r="CB25" i="2" s="1"/>
  <c r="CC25" i="2" s="1"/>
  <c r="CD25" i="2" s="1"/>
  <c r="CE25" i="2" s="1"/>
  <c r="CF25" i="2" s="1"/>
  <c r="CG25" i="2" s="1"/>
  <c r="CH25" i="2" s="1"/>
  <c r="CI25" i="2" s="1"/>
  <c r="CJ25" i="2" s="1"/>
  <c r="CK25" i="2" s="1"/>
  <c r="CL25" i="2" s="1"/>
  <c r="CM25" i="2" s="1"/>
  <c r="CN25" i="2" s="1"/>
  <c r="CO25" i="2" s="1"/>
  <c r="CP25" i="2" s="1"/>
  <c r="CQ25" i="2" s="1"/>
  <c r="CR25" i="2" s="1"/>
  <c r="CS25" i="2" s="1"/>
  <c r="CT25" i="2" s="1"/>
  <c r="CU25" i="2" s="1"/>
  <c r="CV25" i="2" s="1"/>
  <c r="CW25" i="2" s="1"/>
  <c r="CX25" i="2" s="1"/>
  <c r="CY25" i="2" s="1"/>
  <c r="CZ25" i="2" s="1"/>
  <c r="DA25" i="2" s="1"/>
  <c r="DB25" i="2" s="1"/>
  <c r="DC25" i="2" s="1"/>
  <c r="DD25" i="2" s="1"/>
  <c r="DE25" i="2" s="1"/>
  <c r="DF25" i="2" s="1"/>
  <c r="DG25" i="2" s="1"/>
  <c r="DH25" i="2" s="1"/>
  <c r="DI25" i="2" s="1"/>
  <c r="DJ25" i="2" s="1"/>
  <c r="DK25" i="2" s="1"/>
  <c r="DL25" i="2" s="1"/>
  <c r="DM25" i="2" s="1"/>
  <c r="DN25" i="2" s="1"/>
  <c r="DO25" i="2" s="1"/>
  <c r="DP25" i="2" s="1"/>
  <c r="DQ25" i="2" s="1"/>
  <c r="DR25" i="2" s="1"/>
  <c r="DS25" i="2" s="1"/>
  <c r="DT25" i="2" s="1"/>
  <c r="DU25" i="2" s="1"/>
  <c r="DV25" i="2" s="1"/>
  <c r="DW25" i="2" s="1"/>
  <c r="DX25" i="2" s="1"/>
  <c r="DY25" i="2" s="1"/>
  <c r="DZ25" i="2" s="1"/>
  <c r="EA25" i="2" s="1"/>
  <c r="EB25" i="2" s="1"/>
  <c r="EC25" i="2" s="1"/>
  <c r="ED25" i="2" s="1"/>
  <c r="EE25" i="2" s="1"/>
  <c r="EF25" i="2" s="1"/>
  <c r="AD45" i="2" s="1"/>
  <c r="AD47" i="2" s="1"/>
  <c r="AD4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 Case</author>
  </authors>
  <commentList>
    <comment ref="B17" authorId="0" shapeId="0" xr:uid="{7FFCB6D8-9822-4AB1-9579-3DB6775ACCA1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What is "optimize across computing"?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 Case</author>
  </authors>
  <commentList>
    <comment ref="M37" authorId="0" shapeId="0" xr:uid="{DE265C6D-E355-4F4D-8BA0-A1BE0FDB2B41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GAYMING</t>
        </r>
      </text>
    </comment>
    <comment ref="O41" authorId="0" shapeId="0" xr:uid="{88DCFBA2-6811-4E66-93CA-24E00D0C398B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Bought Mellanox
</t>
        </r>
      </text>
    </comment>
    <comment ref="B46" authorId="0" shapeId="0" xr:uid="{F95840C5-9D1D-4CD7-89CB-BA3F57A07058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Fabless
</t>
        </r>
      </text>
    </comment>
    <comment ref="U71" authorId="0" shapeId="0" xr:uid="{216A71B7-BC6B-440D-8186-24C9B275ADD9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ARM by Softbank fell through.</t>
        </r>
      </text>
    </comment>
    <comment ref="B72" authorId="0" shapeId="0" xr:uid="{0E4B0D31-AC01-421B-A2C5-9CB16EB33724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Stock-based compensation expense
</t>
        </r>
      </text>
    </comment>
    <comment ref="B73" authorId="0" shapeId="0" xr:uid="{AC216D7B-5972-4BC3-8B5E-1B139273BE6A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Depreciation &amp; amortization
</t>
        </r>
      </text>
    </comment>
    <comment ref="B74" authorId="0" shapeId="0" xr:uid="{CC3C6FC7-756E-4124-8CA1-DDE02C19574A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Deferred Income tax</t>
        </r>
      </text>
    </comment>
  </commentList>
</comments>
</file>

<file path=xl/sharedStrings.xml><?xml version="1.0" encoding="utf-8"?>
<sst xmlns="http://schemas.openxmlformats.org/spreadsheetml/2006/main" count="200" uniqueCount="185">
  <si>
    <t>Price</t>
  </si>
  <si>
    <t>S/O</t>
  </si>
  <si>
    <t>MC</t>
  </si>
  <si>
    <t>Cash</t>
  </si>
  <si>
    <t>Debt</t>
  </si>
  <si>
    <t>EV</t>
  </si>
  <si>
    <t>Q321</t>
  </si>
  <si>
    <t>Main!A1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</si>
  <si>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</si>
  <si>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</si>
  <si>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</si>
  <si>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</si>
  <si>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</si>
  <si>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</si>
  <si>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</si>
  <si>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</si>
  <si>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</si>
  <si>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</si>
  <si>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</si>
  <si>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</si>
  <si>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</si>
  <si>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</si>
  <si>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Q421</t>
  </si>
  <si>
    <t>Revenue</t>
  </si>
  <si>
    <t>COGS</t>
  </si>
  <si>
    <t>Gross Profit</t>
  </si>
  <si>
    <t>R&amp;D</t>
  </si>
  <si>
    <t>sG&amp;A</t>
  </si>
  <si>
    <t>Operating expenses</t>
  </si>
  <si>
    <t>Operating Income</t>
  </si>
  <si>
    <t>Other, Interest</t>
  </si>
  <si>
    <t>Pretax Income</t>
  </si>
  <si>
    <t>Tax</t>
  </si>
  <si>
    <t>Net Income</t>
  </si>
  <si>
    <t>EPS</t>
  </si>
  <si>
    <t>Gross Margin %</t>
  </si>
  <si>
    <t>Revenue Y/Y</t>
  </si>
  <si>
    <t>Net Cash</t>
  </si>
  <si>
    <t>A/R</t>
  </si>
  <si>
    <t>Inventory</t>
  </si>
  <si>
    <t>Prepaids</t>
  </si>
  <si>
    <t>PP&amp;E</t>
  </si>
  <si>
    <t>Operating Lease</t>
  </si>
  <si>
    <t>Intangibles</t>
  </si>
  <si>
    <t>Deferred Tax</t>
  </si>
  <si>
    <t>OA</t>
  </si>
  <si>
    <t>Total Assets</t>
  </si>
  <si>
    <t>A/P</t>
  </si>
  <si>
    <t>Accured Liabilities</t>
  </si>
  <si>
    <t>OLTL</t>
  </si>
  <si>
    <t>Total Liabilties</t>
  </si>
  <si>
    <t>L + S/E</t>
  </si>
  <si>
    <t>Tax Rate</t>
  </si>
  <si>
    <t>R&amp;D Y/Y</t>
  </si>
  <si>
    <t>NVDA powers 8out of the 10 top super computers</t>
  </si>
  <si>
    <t xml:space="preserve">Headquartered in Santa Clara, California, NVIDIA was incorporated in California in April 1993 and reincorporated in Delaware in April 1998. </t>
  </si>
  <si>
    <t>Graphics</t>
  </si>
  <si>
    <t>Business</t>
  </si>
  <si>
    <t>Description</t>
  </si>
  <si>
    <t>% of Revenue</t>
  </si>
  <si>
    <t>Hardware</t>
  </si>
  <si>
    <t>Software</t>
  </si>
  <si>
    <t>GPUs, Supercomputers, Cloud</t>
  </si>
  <si>
    <t>Data Centers, AI(DrivingCars), Robotics, Networking</t>
  </si>
  <si>
    <t>Notes</t>
  </si>
  <si>
    <t>Competitors</t>
  </si>
  <si>
    <t>Computing &amp; Networking</t>
  </si>
  <si>
    <t>Networking</t>
  </si>
  <si>
    <t>Fujitsu, Intel, AMD, Qualcomm</t>
  </si>
  <si>
    <t>Netgear, AMZN, Cisco, Chinese Telecomm</t>
  </si>
  <si>
    <t>Gaming is the largest entertainment industry</t>
  </si>
  <si>
    <t xml:space="preserve">  Mellanox Technologies(2021)</t>
  </si>
  <si>
    <t xml:space="preserve">Bought Mellanox to optimize across computing </t>
  </si>
  <si>
    <t>Suppliers</t>
  </si>
  <si>
    <t>Semiconductor Production</t>
  </si>
  <si>
    <t xml:space="preserve">Samsung, Taiwanese Semiconductor, </t>
  </si>
  <si>
    <t>Testing, Assembling, Packaging</t>
  </si>
  <si>
    <t>Amkor Tech, BYD Auto, Hon Hai Precision Industry, King Yuan Electronics, Omni Logisitics, Siliconware Precision Industries</t>
  </si>
  <si>
    <t>Adapter &amp; Switch Manufactures</t>
  </si>
  <si>
    <t xml:space="preserve">Flex LTD, </t>
  </si>
  <si>
    <t>Cable Manufactures</t>
  </si>
  <si>
    <t>Fabrinet</t>
  </si>
  <si>
    <t>Substrate suppliers</t>
  </si>
  <si>
    <t>Ibiden Co, Kinsus Interconnect Technology, Unimicron Tech</t>
  </si>
  <si>
    <t>Memory Suppliers</t>
  </si>
  <si>
    <t>Micron, Samsung, SK Hynix</t>
  </si>
  <si>
    <t>Contract Manufactures(Labor)</t>
  </si>
  <si>
    <t>Wistron Corp</t>
  </si>
  <si>
    <t>Operating Margin %</t>
  </si>
  <si>
    <t>Q122</t>
  </si>
  <si>
    <t>Q222</t>
  </si>
  <si>
    <t>Q322</t>
  </si>
  <si>
    <t>Q422</t>
  </si>
  <si>
    <t>Sg&amp;a y/y</t>
  </si>
  <si>
    <t>ROIC</t>
  </si>
  <si>
    <t>Discount</t>
  </si>
  <si>
    <t>Maturity</t>
  </si>
  <si>
    <t>NPV</t>
  </si>
  <si>
    <t>Net cash</t>
  </si>
  <si>
    <t>per share</t>
  </si>
  <si>
    <t>Q123</t>
  </si>
  <si>
    <t>Q223</t>
  </si>
  <si>
    <t>Q323</t>
  </si>
  <si>
    <t>Q423</t>
  </si>
  <si>
    <t>curr share</t>
  </si>
  <si>
    <t>net</t>
  </si>
  <si>
    <t>Shares</t>
  </si>
  <si>
    <t>Model NI</t>
  </si>
  <si>
    <t>Reported NI</t>
  </si>
  <si>
    <t>SBC</t>
  </si>
  <si>
    <t>D/A</t>
  </si>
  <si>
    <t>D/T</t>
  </si>
  <si>
    <t>RTX is used in movie production(spider-man?, IMAX?)</t>
  </si>
  <si>
    <t>Nvidia looking into computerizing cars + AI(Self-driving Cars), working w/ Mercedes Benz</t>
  </si>
  <si>
    <t>Fabless Manufacture Strat, Low PP&amp;E costs</t>
  </si>
  <si>
    <t>f(x)</t>
  </si>
  <si>
    <t>x</t>
  </si>
  <si>
    <t>Rejected</t>
  </si>
  <si>
    <t>t-stat</t>
  </si>
  <si>
    <t>t-value[5%]</t>
  </si>
  <si>
    <t>f-stat</t>
  </si>
  <si>
    <t>f-value[5%]</t>
  </si>
  <si>
    <t>intercept</t>
  </si>
  <si>
    <t>slope</t>
  </si>
  <si>
    <t>MSE</t>
  </si>
  <si>
    <t>SST</t>
  </si>
  <si>
    <t>SSE</t>
  </si>
  <si>
    <t>SSR</t>
  </si>
  <si>
    <t>S[^b1]</t>
  </si>
  <si>
    <t>Se</t>
  </si>
  <si>
    <t>R^2</t>
  </si>
  <si>
    <t>Correlation</t>
  </si>
  <si>
    <t>Covarience</t>
  </si>
  <si>
    <t>stnd dev</t>
  </si>
  <si>
    <t>varience</t>
  </si>
  <si>
    <t>average</t>
  </si>
  <si>
    <t>n</t>
  </si>
  <si>
    <t>new</t>
  </si>
  <si>
    <t>old</t>
  </si>
  <si>
    <t>^yi</t>
  </si>
  <si>
    <t>X</t>
  </si>
  <si>
    <t>Y</t>
  </si>
  <si>
    <t>S/E</t>
  </si>
  <si>
    <t>Q417</t>
  </si>
  <si>
    <t>Leverage</t>
  </si>
  <si>
    <t>Debt to Equity</t>
  </si>
  <si>
    <t>Current</t>
  </si>
  <si>
    <t>Non Affilates Investments</t>
  </si>
  <si>
    <t>Other</t>
  </si>
  <si>
    <t>OL</t>
  </si>
  <si>
    <t>CFFO</t>
  </si>
  <si>
    <t>Maturity of Securites</t>
  </si>
  <si>
    <t>Sale of Securities</t>
  </si>
  <si>
    <t>Purchase of Securities</t>
  </si>
  <si>
    <t>Capex</t>
  </si>
  <si>
    <t>Acqusitions</t>
  </si>
  <si>
    <t>Other Investments</t>
  </si>
  <si>
    <t>CFFI</t>
  </si>
  <si>
    <t>Employee Stock Plan</t>
  </si>
  <si>
    <t>Taxes - Stocks</t>
  </si>
  <si>
    <t>Dividends</t>
  </si>
  <si>
    <t>PPE Payment</t>
  </si>
  <si>
    <t>Debt Issuance</t>
  </si>
  <si>
    <t>Debt Repayment</t>
  </si>
  <si>
    <t>CFFF</t>
  </si>
  <si>
    <t>CF</t>
  </si>
  <si>
    <t>Current Liabilties</t>
  </si>
  <si>
    <t>Current Assets</t>
  </si>
  <si>
    <t>Termination Costs</t>
  </si>
  <si>
    <t>Stock Repurchase</t>
  </si>
  <si>
    <t>Free Cashflow</t>
  </si>
  <si>
    <t>LT Debt</t>
  </si>
  <si>
    <t>ST Debt</t>
  </si>
  <si>
    <t>Timeline</t>
  </si>
  <si>
    <t>Values</t>
  </si>
  <si>
    <t>Forecast</t>
  </si>
  <si>
    <t>Lower Confidence Bound</t>
  </si>
  <si>
    <t>Upper Confidence Bound</t>
  </si>
  <si>
    <t>Gaming</t>
  </si>
  <si>
    <t>Data Center</t>
  </si>
  <si>
    <t>Professional Visualization</t>
  </si>
  <si>
    <t>Automotive</t>
  </si>
  <si>
    <t>OEM &amp; Other</t>
  </si>
  <si>
    <t>Gaming Y/Y</t>
  </si>
  <si>
    <t>Data Center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</si>
</sst>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3" fillId="0" borderId="0"/>
  </cellStyleXfs>
  <cellXfs count="56">
    <xf numFmtId="0" fontId="0" fillId="0" borderId="0" xfId="0"/>
    <xf numFmtId="0" fontId="12" fillId="0" borderId="0" xfId="0" applyFont="1"/>
    <xf numFmtId="0" fontId="6" fillId="0" borderId="0" xfId="2" applyFont="1"/>
    <xf numFmtId="4" fontId="6" fillId="0" borderId="0" xfId="2" applyNumberFormat="1" applyFont="1"/>
    <xf numFmtId="0" fontId="6" fillId="0" borderId="0" xfId="2" applyFont="1" applyAlignment="1">
      <alignment horizontal="center"/>
    </xf>
    <xf numFmtId="3" fontId="6" fillId="0" borderId="0" xfId="2" applyNumberFormat="1" applyFont="1"/>
    <xf numFmtId="0" fontId="5" fillId="0" borderId="0" xfId="0" applyFont="1"/>
    <xf numFmtId="4" fontId="4" fillId="0" borderId="0" xfId="2" applyNumberFormat="1" applyFont="1"/>
    <xf numFmtId="0" fontId="2" fillId="0" borderId="0" xfId="0" applyFont="1"/>
    <xf numFmtId="3" fontId="2" fillId="0" borderId="0" xfId="0" applyNumberFormat="1" applyFo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8" xfId="0" applyFont="1" applyBorder="1"/>
    <xf numFmtId="9" fontId="2" fillId="0" borderId="8" xfId="0" applyNumberFormat="1" applyFont="1" applyBorder="1"/>
    <xf numFmtId="0" fontId="2" fillId="0" borderId="7" xfId="0" applyFont="1" applyBorder="1"/>
    <xf numFmtId="9" fontId="2" fillId="0" borderId="7" xfId="0" applyNumberFormat="1" applyFont="1" applyBorder="1"/>
    <xf numFmtId="0" fontId="14" fillId="0" borderId="0" xfId="0" applyFont="1"/>
    <xf numFmtId="0" fontId="2" fillId="0" borderId="0" xfId="0" applyFont="1" applyAlignment="1">
      <alignment horizontal="right"/>
    </xf>
    <xf numFmtId="14" fontId="0" fillId="0" borderId="0" xfId="0" applyNumberFormat="1"/>
    <xf numFmtId="3" fontId="0" fillId="0" borderId="0" xfId="0" applyNumberFormat="1"/>
    <xf numFmtId="0" fontId="10" fillId="2" borderId="0" xfId="1" applyFont="1" applyFill="1"/>
    <xf numFmtId="0" fontId="11" fillId="2" borderId="0" xfId="0" applyFont="1" applyFill="1"/>
    <xf numFmtId="14" fontId="11" fillId="2" borderId="0" xfId="0" applyNumberFormat="1" applyFont="1" applyFill="1"/>
    <xf numFmtId="0" fontId="1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3" fontId="11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3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9" fontId="11" fillId="2" borderId="0" xfId="0" applyNumberFormat="1" applyFont="1" applyFill="1" applyAlignment="1">
      <alignment horizontal="right"/>
    </xf>
    <xf numFmtId="3" fontId="12" fillId="2" borderId="0" xfId="0" applyNumberFormat="1" applyFont="1" applyFill="1"/>
    <xf numFmtId="0" fontId="12" fillId="2" borderId="0" xfId="0" applyFont="1" applyFill="1"/>
    <xf numFmtId="3" fontId="11" fillId="2" borderId="0" xfId="0" applyNumberFormat="1" applyFont="1" applyFill="1"/>
    <xf numFmtId="3" fontId="2" fillId="2" borderId="0" xfId="0" applyNumberFormat="1" applyFont="1" applyFill="1"/>
    <xf numFmtId="0" fontId="6" fillId="2" borderId="0" xfId="0" applyFont="1" applyFill="1"/>
    <xf numFmtId="3" fontId="6" fillId="2" borderId="0" xfId="0" applyNumberFormat="1" applyFont="1" applyFill="1"/>
    <xf numFmtId="0" fontId="5" fillId="2" borderId="0" xfId="0" applyFont="1" applyFill="1"/>
    <xf numFmtId="2" fontId="11" fillId="2" borderId="0" xfId="0" applyNumberFormat="1" applyFont="1" applyFill="1"/>
    <xf numFmtId="4" fontId="11" fillId="2" borderId="0" xfId="0" applyNumberFormat="1" applyFont="1" applyFill="1"/>
    <xf numFmtId="0" fontId="11" fillId="2" borderId="1" xfId="0" applyFont="1" applyFill="1" applyBorder="1"/>
    <xf numFmtId="10" fontId="11" fillId="2" borderId="2" xfId="0" applyNumberFormat="1" applyFont="1" applyFill="1" applyBorder="1"/>
    <xf numFmtId="0" fontId="11" fillId="2" borderId="3" xfId="0" applyFont="1" applyFill="1" applyBorder="1"/>
    <xf numFmtId="10" fontId="11" fillId="2" borderId="4" xfId="0" applyNumberFormat="1" applyFont="1" applyFill="1" applyBorder="1"/>
    <xf numFmtId="9" fontId="11" fillId="2" borderId="4" xfId="0" applyNumberFormat="1" applyFont="1" applyFill="1" applyBorder="1"/>
    <xf numFmtId="3" fontId="11" fillId="2" borderId="4" xfId="0" applyNumberFormat="1" applyFont="1" applyFill="1" applyBorder="1"/>
    <xf numFmtId="0" fontId="12" fillId="2" borderId="3" xfId="0" applyFont="1" applyFill="1" applyBorder="1"/>
    <xf numFmtId="4" fontId="12" fillId="2" borderId="4" xfId="0" applyNumberFormat="1" applyFont="1" applyFill="1" applyBorder="1"/>
    <xf numFmtId="0" fontId="11" fillId="2" borderId="4" xfId="0" applyFont="1" applyFill="1" applyBorder="1"/>
    <xf numFmtId="0" fontId="11" fillId="2" borderId="5" xfId="0" applyFont="1" applyFill="1" applyBorder="1"/>
    <xf numFmtId="9" fontId="1" fillId="2" borderId="6" xfId="0" applyNumberFormat="1" applyFont="1" applyFill="1" applyBorder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15" fillId="2" borderId="0" xfId="0" applyFont="1" applyFill="1"/>
    <xf numFmtId="9" fontId="15" fillId="2" borderId="0" xfId="0" applyNumberFormat="1" applyFont="1" applyFill="1"/>
  </cellXfs>
  <cellStyles count="3">
    <cellStyle name="Hyperlink" xfId="1" builtinId="8"/>
    <cellStyle name="Normal" xfId="0" builtinId="0"/>
    <cellStyle name="Normal 2" xfId="2" xr:uid="{5E21AF54-DC9F-442E-904D-67705AFDEE57}"/>
  </cellStyles>
  <dxfs count="4">
    <dxf>
      <numFmt numFmtId="3" formatCode="#,##0"/>
    </dxf>
    <dxf>
      <numFmt numFmtId="3" formatCode="#,##0"/>
    </dxf>
    <dxf>
      <numFmt numFmtId="3" formatCode="#,##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Sheet1!$B$2:$B$31</c:f>
              <c:numCache>
                <c:formatCode>#,##0</c:formatCode>
                <c:ptCount val="30"/>
                <c:pt idx="0">
                  <c:v>2173</c:v>
                </c:pt>
                <c:pt idx="1">
                  <c:v>3207</c:v>
                </c:pt>
                <c:pt idx="2">
                  <c:v>3123</c:v>
                </c:pt>
                <c:pt idx="3">
                  <c:v>3181</c:v>
                </c:pt>
                <c:pt idx="4">
                  <c:v>2911</c:v>
                </c:pt>
                <c:pt idx="5">
                  <c:v>2220</c:v>
                </c:pt>
                <c:pt idx="6">
                  <c:v>2579</c:v>
                </c:pt>
                <c:pt idx="7">
                  <c:v>3014</c:v>
                </c:pt>
                <c:pt idx="8">
                  <c:v>3105</c:v>
                </c:pt>
                <c:pt idx="9">
                  <c:v>3080</c:v>
                </c:pt>
                <c:pt idx="10">
                  <c:v>3866</c:v>
                </c:pt>
                <c:pt idx="11">
                  <c:v>4726</c:v>
                </c:pt>
                <c:pt idx="12">
                  <c:v>5003</c:v>
                </c:pt>
                <c:pt idx="13">
                  <c:v>5661</c:v>
                </c:pt>
                <c:pt idx="14">
                  <c:v>6507</c:v>
                </c:pt>
                <c:pt idx="15">
                  <c:v>7103</c:v>
                </c:pt>
                <c:pt idx="16">
                  <c:v>7643</c:v>
                </c:pt>
                <c:pt idx="17">
                  <c:v>8288</c:v>
                </c:pt>
                <c:pt idx="18">
                  <c:v>6704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5-44CD-AAA8-75F427328FF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m/d/yyyy</c:formatCode>
                <c:ptCount val="30"/>
                <c:pt idx="0">
                  <c:v>43171</c:v>
                </c:pt>
                <c:pt idx="1">
                  <c:v>43261</c:v>
                </c:pt>
                <c:pt idx="2">
                  <c:v>43351</c:v>
                </c:pt>
                <c:pt idx="3">
                  <c:v>43441</c:v>
                </c:pt>
                <c:pt idx="4">
                  <c:v>43531</c:v>
                </c:pt>
                <c:pt idx="5">
                  <c:v>43621</c:v>
                </c:pt>
                <c:pt idx="6">
                  <c:v>43711</c:v>
                </c:pt>
                <c:pt idx="7">
                  <c:v>43801</c:v>
                </c:pt>
                <c:pt idx="8">
                  <c:v>43891</c:v>
                </c:pt>
                <c:pt idx="9">
                  <c:v>43981</c:v>
                </c:pt>
                <c:pt idx="10">
                  <c:v>44071</c:v>
                </c:pt>
                <c:pt idx="11">
                  <c:v>44161</c:v>
                </c:pt>
                <c:pt idx="12">
                  <c:v>44251</c:v>
                </c:pt>
                <c:pt idx="13">
                  <c:v>44341</c:v>
                </c:pt>
                <c:pt idx="14">
                  <c:v>44431</c:v>
                </c:pt>
                <c:pt idx="15">
                  <c:v>44521</c:v>
                </c:pt>
                <c:pt idx="16">
                  <c:v>44611</c:v>
                </c:pt>
                <c:pt idx="17">
                  <c:v>44701</c:v>
                </c:pt>
                <c:pt idx="18">
                  <c:v>44791</c:v>
                </c:pt>
                <c:pt idx="19">
                  <c:v>44881</c:v>
                </c:pt>
                <c:pt idx="20">
                  <c:v>44971</c:v>
                </c:pt>
                <c:pt idx="21">
                  <c:v>45061</c:v>
                </c:pt>
                <c:pt idx="22">
                  <c:v>45151</c:v>
                </c:pt>
                <c:pt idx="23">
                  <c:v>45241</c:v>
                </c:pt>
                <c:pt idx="24">
                  <c:v>45331</c:v>
                </c:pt>
                <c:pt idx="25">
                  <c:v>45421</c:v>
                </c:pt>
                <c:pt idx="26">
                  <c:v>45511</c:v>
                </c:pt>
                <c:pt idx="27">
                  <c:v>45601</c:v>
                </c:pt>
                <c:pt idx="28">
                  <c:v>45691</c:v>
                </c:pt>
                <c:pt idx="29">
                  <c:v>45728</c:v>
                </c:pt>
              </c:numCache>
            </c:numRef>
          </c:cat>
          <c:val>
            <c:numRef>
              <c:f>Sheet1!$C$2:$C$31</c:f>
              <c:numCache>
                <c:formatCode>General</c:formatCode>
                <c:ptCount val="30"/>
                <c:pt idx="18" formatCode="#,##0">
                  <c:v>6704</c:v>
                </c:pt>
                <c:pt idx="19" formatCode="#,##0">
                  <c:v>6747.3897261209186</c:v>
                </c:pt>
                <c:pt idx="20" formatCode="#,##0">
                  <c:v>6786.4575156307365</c:v>
                </c:pt>
                <c:pt idx="21" formatCode="#,##0">
                  <c:v>6825.5253051405552</c:v>
                </c:pt>
                <c:pt idx="22" formatCode="#,##0">
                  <c:v>6864.593094650374</c:v>
                </c:pt>
                <c:pt idx="23" formatCode="#,##0">
                  <c:v>6903.6608841601928</c:v>
                </c:pt>
                <c:pt idx="24" formatCode="#,##0">
                  <c:v>6942.7286736700116</c:v>
                </c:pt>
                <c:pt idx="25" formatCode="#,##0">
                  <c:v>6981.7964631798295</c:v>
                </c:pt>
                <c:pt idx="26" formatCode="#,##0">
                  <c:v>7020.8642526896483</c:v>
                </c:pt>
                <c:pt idx="27" formatCode="#,##0">
                  <c:v>7059.9320421994671</c:v>
                </c:pt>
                <c:pt idx="28" formatCode="#,##0">
                  <c:v>7098.999831709285</c:v>
                </c:pt>
                <c:pt idx="29" formatCode="#,##0">
                  <c:v>7115.061034063322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85-44CD-AAA8-75F427328FF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m/d/yyyy</c:formatCode>
                <c:ptCount val="30"/>
                <c:pt idx="0">
                  <c:v>43171</c:v>
                </c:pt>
                <c:pt idx="1">
                  <c:v>43261</c:v>
                </c:pt>
                <c:pt idx="2">
                  <c:v>43351</c:v>
                </c:pt>
                <c:pt idx="3">
                  <c:v>43441</c:v>
                </c:pt>
                <c:pt idx="4">
                  <c:v>43531</c:v>
                </c:pt>
                <c:pt idx="5">
                  <c:v>43621</c:v>
                </c:pt>
                <c:pt idx="6">
                  <c:v>43711</c:v>
                </c:pt>
                <c:pt idx="7">
                  <c:v>43801</c:v>
                </c:pt>
                <c:pt idx="8">
                  <c:v>43891</c:v>
                </c:pt>
                <c:pt idx="9">
                  <c:v>43981</c:v>
                </c:pt>
                <c:pt idx="10">
                  <c:v>44071</c:v>
                </c:pt>
                <c:pt idx="11">
                  <c:v>44161</c:v>
                </c:pt>
                <c:pt idx="12">
                  <c:v>44251</c:v>
                </c:pt>
                <c:pt idx="13">
                  <c:v>44341</c:v>
                </c:pt>
                <c:pt idx="14">
                  <c:v>44431</c:v>
                </c:pt>
                <c:pt idx="15">
                  <c:v>44521</c:v>
                </c:pt>
                <c:pt idx="16">
                  <c:v>44611</c:v>
                </c:pt>
                <c:pt idx="17">
                  <c:v>44701</c:v>
                </c:pt>
                <c:pt idx="18">
                  <c:v>44791</c:v>
                </c:pt>
                <c:pt idx="19">
                  <c:v>44881</c:v>
                </c:pt>
                <c:pt idx="20">
                  <c:v>44971</c:v>
                </c:pt>
                <c:pt idx="21">
                  <c:v>45061</c:v>
                </c:pt>
                <c:pt idx="22">
                  <c:v>45151</c:v>
                </c:pt>
                <c:pt idx="23">
                  <c:v>45241</c:v>
                </c:pt>
                <c:pt idx="24">
                  <c:v>45331</c:v>
                </c:pt>
                <c:pt idx="25">
                  <c:v>45421</c:v>
                </c:pt>
                <c:pt idx="26">
                  <c:v>45511</c:v>
                </c:pt>
                <c:pt idx="27">
                  <c:v>45601</c:v>
                </c:pt>
                <c:pt idx="28">
                  <c:v>45691</c:v>
                </c:pt>
                <c:pt idx="29">
                  <c:v>45728</c:v>
                </c:pt>
              </c:numCache>
            </c:numRef>
          </c:cat>
          <c:val>
            <c:numRef>
              <c:f>Sheet1!$D$2:$D$31</c:f>
              <c:numCache>
                <c:formatCode>General</c:formatCode>
                <c:ptCount val="30"/>
                <c:pt idx="18" formatCode="#,##0">
                  <c:v>6704</c:v>
                </c:pt>
                <c:pt idx="19" formatCode="#,##0">
                  <c:v>5469.8441558272007</c:v>
                </c:pt>
                <c:pt idx="20" formatCode="#,##0">
                  <c:v>4744.3781471495186</c:v>
                </c:pt>
                <c:pt idx="21" formatCode="#,##0">
                  <c:v>4028.5975569983279</c:v>
                </c:pt>
                <c:pt idx="22" formatCode="#,##0">
                  <c:v>3287.9103851115024</c:v>
                </c:pt>
                <c:pt idx="23" formatCode="#,##0">
                  <c:v>2512.5291674590062</c:v>
                </c:pt>
                <c:pt idx="24" formatCode="#,##0">
                  <c:v>1699.320721629123</c:v>
                </c:pt>
                <c:pt idx="25" formatCode="#,##0">
                  <c:v>847.55541182578145</c:v>
                </c:pt>
                <c:pt idx="26" formatCode="#,##0">
                  <c:v>-42.504858738493567</c:v>
                </c:pt>
                <c:pt idx="27" formatCode="#,##0">
                  <c:v>-970.1690289632661</c:v>
                </c:pt>
                <c:pt idx="28" formatCode="#,##0">
                  <c:v>-1934.5664507527872</c:v>
                </c:pt>
                <c:pt idx="29" formatCode="#,##0">
                  <c:v>-2359.5685074589082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85-44CD-AAA8-75F427328FF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m/d/yyyy</c:formatCode>
                <c:ptCount val="30"/>
                <c:pt idx="0">
                  <c:v>43171</c:v>
                </c:pt>
                <c:pt idx="1">
                  <c:v>43261</c:v>
                </c:pt>
                <c:pt idx="2">
                  <c:v>43351</c:v>
                </c:pt>
                <c:pt idx="3">
                  <c:v>43441</c:v>
                </c:pt>
                <c:pt idx="4">
                  <c:v>43531</c:v>
                </c:pt>
                <c:pt idx="5">
                  <c:v>43621</c:v>
                </c:pt>
                <c:pt idx="6">
                  <c:v>43711</c:v>
                </c:pt>
                <c:pt idx="7">
                  <c:v>43801</c:v>
                </c:pt>
                <c:pt idx="8">
                  <c:v>43891</c:v>
                </c:pt>
                <c:pt idx="9">
                  <c:v>43981</c:v>
                </c:pt>
                <c:pt idx="10">
                  <c:v>44071</c:v>
                </c:pt>
                <c:pt idx="11">
                  <c:v>44161</c:v>
                </c:pt>
                <c:pt idx="12">
                  <c:v>44251</c:v>
                </c:pt>
                <c:pt idx="13">
                  <c:v>44341</c:v>
                </c:pt>
                <c:pt idx="14">
                  <c:v>44431</c:v>
                </c:pt>
                <c:pt idx="15">
                  <c:v>44521</c:v>
                </c:pt>
                <c:pt idx="16">
                  <c:v>44611</c:v>
                </c:pt>
                <c:pt idx="17">
                  <c:v>44701</c:v>
                </c:pt>
                <c:pt idx="18">
                  <c:v>44791</c:v>
                </c:pt>
                <c:pt idx="19">
                  <c:v>44881</c:v>
                </c:pt>
                <c:pt idx="20">
                  <c:v>44971</c:v>
                </c:pt>
                <c:pt idx="21">
                  <c:v>45061</c:v>
                </c:pt>
                <c:pt idx="22">
                  <c:v>45151</c:v>
                </c:pt>
                <c:pt idx="23">
                  <c:v>45241</c:v>
                </c:pt>
                <c:pt idx="24">
                  <c:v>45331</c:v>
                </c:pt>
                <c:pt idx="25">
                  <c:v>45421</c:v>
                </c:pt>
                <c:pt idx="26">
                  <c:v>45511</c:v>
                </c:pt>
                <c:pt idx="27">
                  <c:v>45601</c:v>
                </c:pt>
                <c:pt idx="28">
                  <c:v>45691</c:v>
                </c:pt>
                <c:pt idx="29">
                  <c:v>45728</c:v>
                </c:pt>
              </c:numCache>
            </c:numRef>
          </c:cat>
          <c:val>
            <c:numRef>
              <c:f>Sheet1!$E$2:$E$31</c:f>
              <c:numCache>
                <c:formatCode>General</c:formatCode>
                <c:ptCount val="30"/>
                <c:pt idx="18" formatCode="#,##0">
                  <c:v>6704</c:v>
                </c:pt>
                <c:pt idx="19" formatCode="#,##0">
                  <c:v>8024.9352964146365</c:v>
                </c:pt>
                <c:pt idx="20" formatCode="#,##0">
                  <c:v>8828.5368841119544</c:v>
                </c:pt>
                <c:pt idx="21" formatCode="#,##0">
                  <c:v>9622.453053282783</c:v>
                </c:pt>
                <c:pt idx="22" formatCode="#,##0">
                  <c:v>10441.275804189245</c:v>
                </c:pt>
                <c:pt idx="23" formatCode="#,##0">
                  <c:v>11294.792600861379</c:v>
                </c:pt>
                <c:pt idx="24" formatCode="#,##0">
                  <c:v>12186.1366257109</c:v>
                </c:pt>
                <c:pt idx="25" formatCode="#,##0">
                  <c:v>13116.037514533877</c:v>
                </c:pt>
                <c:pt idx="26" formatCode="#,##0">
                  <c:v>14084.23336411779</c:v>
                </c:pt>
                <c:pt idx="27" formatCode="#,##0">
                  <c:v>15090.0331133622</c:v>
                </c:pt>
                <c:pt idx="28" formatCode="#,##0">
                  <c:v>16132.566114171357</c:v>
                </c:pt>
                <c:pt idx="29" formatCode="#,##0">
                  <c:v>16589.690575585551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85-44CD-AAA8-75F427328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5053487"/>
        <c:axId val="1415058895"/>
      </c:lineChart>
      <c:catAx>
        <c:axId val="1415053487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058895"/>
        <c:crosses val="autoZero"/>
        <c:auto val="1"/>
        <c:lblAlgn val="ctr"/>
        <c:lblOffset val="100"/>
        <c:noMultiLvlLbl val="0"/>
      </c:catAx>
      <c:valAx>
        <c:axId val="141505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05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[NVDA]ROA Regressed on R&amp;D Margin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Regression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'ROA vs R&amp;D Margin'!$B$50:$B$61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'ROA vs R&amp;D Margin'!$C$50:$C$61</c:f>
              <c:numCache>
                <c:formatCode>General</c:formatCode>
                <c:ptCount val="12"/>
                <c:pt idx="0">
                  <c:v>-5.5505490724844551</c:v>
                </c:pt>
                <c:pt idx="1">
                  <c:v>-15.191206381254705</c:v>
                </c:pt>
                <c:pt idx="2">
                  <c:v>-24.831863690024957</c:v>
                </c:pt>
                <c:pt idx="3">
                  <c:v>-34.472520998795211</c:v>
                </c:pt>
                <c:pt idx="4">
                  <c:v>-44.113178307565462</c:v>
                </c:pt>
                <c:pt idx="5">
                  <c:v>-53.753835616335714</c:v>
                </c:pt>
                <c:pt idx="6">
                  <c:v>-63.394492925105972</c:v>
                </c:pt>
                <c:pt idx="7">
                  <c:v>-73.035150233876209</c:v>
                </c:pt>
                <c:pt idx="8">
                  <c:v>-82.675807542646453</c:v>
                </c:pt>
                <c:pt idx="9">
                  <c:v>-92.316464851416711</c:v>
                </c:pt>
                <c:pt idx="10">
                  <c:v>-101.95712216018697</c:v>
                </c:pt>
                <c:pt idx="11">
                  <c:v>-111.59777946895721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D5-4791-8BEC-7DAE469F8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4899743"/>
        <c:axId val="1184908479"/>
      </c:lineChart>
      <c:scatterChart>
        <c:scatterStyle val="lineMarker"/>
        <c:varyColors val="0"/>
        <c:ser>
          <c:idx val="0"/>
          <c:order val="0"/>
          <c:tx>
            <c:v>ROA/R&amp;D%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'ROA vs R&amp;D Margin'!$D$9:$D$20</c:f>
              <c:numCache>
                <c:formatCode>#,##0.00</c:formatCode>
                <c:ptCount val="12"/>
                <c:pt idx="0">
                  <c:v>0.28206551915602446</c:v>
                </c:pt>
                <c:pt idx="1">
                  <c:v>0.52006172839506171</c:v>
                </c:pt>
                <c:pt idx="2">
                  <c:v>0.45684620376378976</c:v>
                </c:pt>
                <c:pt idx="3">
                  <c:v>0.37160751565762007</c:v>
                </c:pt>
                <c:pt idx="4">
                  <c:v>0.36625310173697273</c:v>
                </c:pt>
                <c:pt idx="5">
                  <c:v>0.36676646706586824</c:v>
                </c:pt>
                <c:pt idx="6">
                  <c:v>0.43824175824175826</c:v>
                </c:pt>
                <c:pt idx="7">
                  <c:v>0.35371621621621624</c:v>
                </c:pt>
                <c:pt idx="8">
                  <c:v>0.36331960722204626</c:v>
                </c:pt>
                <c:pt idx="9">
                  <c:v>0.31771837971893085</c:v>
                </c:pt>
                <c:pt idx="10">
                  <c:v>0.29537366548042704</c:v>
                </c:pt>
                <c:pt idx="11">
                  <c:v>0.30295832433599656</c:v>
                </c:pt>
              </c:numCache>
            </c:numRef>
          </c:xVal>
          <c:yVal>
            <c:numRef>
              <c:f>'ROA vs R&amp;D Margin'!$C$9:$C$20</c:f>
              <c:numCache>
                <c:formatCode>#,##0.00</c:formatCode>
                <c:ptCount val="12"/>
                <c:pt idx="0">
                  <c:v>0.70687022900763363</c:v>
                </c:pt>
                <c:pt idx="1">
                  <c:v>-0.68327974276527326</c:v>
                </c:pt>
                <c:pt idx="2">
                  <c:v>-0.49863760217983655</c:v>
                </c:pt>
                <c:pt idx="3">
                  <c:v>-0.26910569105691062</c:v>
                </c:pt>
                <c:pt idx="4">
                  <c:v>-0.15026833631484793</c:v>
                </c:pt>
                <c:pt idx="5">
                  <c:v>1.3274111675126905</c:v>
                </c:pt>
                <c:pt idx="6">
                  <c:v>0.12681159420289845</c:v>
                </c:pt>
                <c:pt idx="7">
                  <c:v>0.486095661846496</c:v>
                </c:pt>
                <c:pt idx="8">
                  <c:v>0.53368421052631576</c:v>
                </c:pt>
                <c:pt idx="9">
                  <c:v>1.085059978189749</c:v>
                </c:pt>
                <c:pt idx="10">
                  <c:v>2.8167202572347265</c:v>
                </c:pt>
                <c:pt idx="11">
                  <c:v>0.84431137724550909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D5-4791-8BEC-7DAE469F8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593567"/>
        <c:axId val="1513586911"/>
      </c:scatterChart>
      <c:catAx>
        <c:axId val="118489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908479"/>
        <c:crosses val="autoZero"/>
        <c:auto val="1"/>
        <c:lblAlgn val="ctr"/>
        <c:lblOffset val="100"/>
        <c:noMultiLvlLbl val="0"/>
      </c:catAx>
      <c:valAx>
        <c:axId val="118490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899743"/>
        <c:crosses val="autoZero"/>
        <c:crossBetween val="between"/>
      </c:valAx>
      <c:valAx>
        <c:axId val="1513586911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593567"/>
        <c:crosses val="max"/>
        <c:crossBetween val="midCat"/>
      </c:valAx>
      <c:valAx>
        <c:axId val="1513593567"/>
        <c:scaling>
          <c:orientation val="minMax"/>
        </c:scaling>
        <c:delete val="0"/>
        <c:axPos val="t"/>
        <c:numFmt formatCode="#,##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586911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54109</xdr:colOff>
      <xdr:row>0</xdr:row>
      <xdr:rowOff>8404</xdr:rowOff>
    </xdr:from>
    <xdr:to>
      <xdr:col>21</xdr:col>
      <xdr:colOff>54109</xdr:colOff>
      <xdr:row>57</xdr:row>
      <xdr:rowOff>36979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F62D44A-67B6-4DAC-A552-D3B6B012B101}"/>
            </a:ext>
          </a:extLst>
        </xdr:cNvPr>
        <xdr:cNvCxnSpPr/>
      </xdr:nvCxnSpPr>
      <xdr:spPr>
        <a:xfrm>
          <a:off x="13170034" y="8404"/>
          <a:ext cx="0" cy="778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5042</xdr:colOff>
      <xdr:row>0</xdr:row>
      <xdr:rowOff>121665</xdr:rowOff>
    </xdr:from>
    <xdr:to>
      <xdr:col>35</xdr:col>
      <xdr:colOff>5042</xdr:colOff>
      <xdr:row>69</xdr:row>
      <xdr:rowOff>65636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C9AED53-0FBA-494C-BCEB-46EA9CFC6D7B}"/>
            </a:ext>
          </a:extLst>
        </xdr:cNvPr>
        <xdr:cNvCxnSpPr/>
      </xdr:nvCxnSpPr>
      <xdr:spPr>
        <a:xfrm>
          <a:off x="21655367" y="121665"/>
          <a:ext cx="0" cy="98690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13</xdr:row>
      <xdr:rowOff>38100</xdr:rowOff>
    </xdr:from>
    <xdr:to>
      <xdr:col>15</xdr:col>
      <xdr:colOff>504825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4C2503-C5F7-9675-7F90-3C2B2B736A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180135</xdr:colOff>
      <xdr:row>46</xdr:row>
      <xdr:rowOff>177335</xdr:rowOff>
    </xdr:from>
    <xdr:to>
      <xdr:col>14</xdr:col>
      <xdr:colOff>635094</xdr:colOff>
      <xdr:row>68</xdr:row>
      <xdr:rowOff>26614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52C90A-2678-45C8-BFB4-9C5AA66E1C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57A06-F269-42CB-AA91-398448A6BED1}" name="Table1" displayName="Table1" ref="A1:E31" totalsRowShown="0">
  <autoFilter ref="A1:E31" xr:uid="{79957A06-F269-42CB-AA91-398448A6BED1}"/>
  <tableColumns count="5">
    <tableColumn id="1" xr3:uid="{403EEF14-6B20-4BCC-B35E-B084B61F7DD2}" name="Timeline" dataDxfId="3"/>
    <tableColumn id="2" xr3:uid="{685E8E2D-60A8-4670-8CF3-940451D9B2D1}" name="Values"/>
    <tableColumn id="3" xr3:uid="{41F63817-C368-4629-AD22-B5AD64E8432C}" name="Forecast" dataDxfId="2">
      <calculatedColumnFormula>_xlfn.FORECAST.ETS(A2,$B$2:$B$20,$A$2:$A$20,1,1)</calculatedColumnFormula>
    </tableColumn>
    <tableColumn id="4" xr3:uid="{2FD04F11-9B8B-4439-8976-2F260DCD511E}" name="Lower Confidence Bound" dataDxfId="1">
      <calculatedColumnFormula>C2-_xlfn.FORECAST.ETS.CONFINT(A2,$B$2:$B$20,$A$2:$A$20,0.95,1,1)</calculatedColumnFormula>
    </tableColumn>
    <tableColumn id="5" xr3:uid="{1292695E-C3FA-43A2-A1B2-662682DE10C6}" name="Upper Confidence Bound" dataDxfId="0">
      <calculatedColumnFormula>C2+_xlfn.FORECAST.ETS.CONFINT(A2,$B$2:$B$20,$A$2:$A$20,0.95,1,1)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6357-E367-46AF-87F6-2A643F2B10DB}">
  <dimension ref="B3:N35"/>
  <sheetViews>
    <sheetView zoomScale="115" zoomScaleNormal="115" workbookViewId="0">
      <selection activeCell="B17" sqref="B17"/>
    </sheetView>
  </sheetViews>
  <sheetFormatPr defaultRowHeight="14.25" x14ac:dyDescent="0.2"/>
  <cols>
    <col min="1" max="1" width="6.85546875" style="8" customWidth="1"/>
    <col min="2" max="2" width="21.28515625" style="8" customWidth="1"/>
    <col min="3" max="3" width="11.140625" style="8" bestFit="1" customWidth="1"/>
    <col min="4" max="4" width="13.28515625" style="8" bestFit="1" customWidth="1"/>
    <col min="5" max="5" width="42.28515625" style="8" customWidth="1"/>
    <col min="6" max="13" width="9.140625" style="8"/>
    <col min="14" max="14" width="9.140625" style="18"/>
    <col min="15" max="16384" width="9.140625" style="8"/>
  </cols>
  <sheetData>
    <row r="3" spans="2:14" x14ac:dyDescent="0.2">
      <c r="L3" s="8" t="s">
        <v>0</v>
      </c>
      <c r="M3" s="8">
        <v>129.03</v>
      </c>
    </row>
    <row r="4" spans="2:14" x14ac:dyDescent="0.2">
      <c r="L4" s="8" t="s">
        <v>1</v>
      </c>
      <c r="M4" s="9">
        <v>2490</v>
      </c>
      <c r="N4" s="18" t="s">
        <v>22</v>
      </c>
    </row>
    <row r="5" spans="2:14" ht="15" thickBot="1" x14ac:dyDescent="0.25">
      <c r="L5" s="8" t="s">
        <v>2</v>
      </c>
      <c r="M5" s="9">
        <f>+M3*M4</f>
        <v>321284.7</v>
      </c>
    </row>
    <row r="6" spans="2:14" ht="15" thickBot="1" x14ac:dyDescent="0.25">
      <c r="B6" s="10" t="s">
        <v>57</v>
      </c>
      <c r="C6" s="11" t="s">
        <v>58</v>
      </c>
      <c r="D6" s="11" t="s">
        <v>59</v>
      </c>
      <c r="E6" s="11" t="s">
        <v>64</v>
      </c>
      <c r="F6" s="12" t="s">
        <v>65</v>
      </c>
      <c r="L6" s="8" t="s">
        <v>3</v>
      </c>
      <c r="M6" s="9">
        <f>+Model!U42</f>
        <v>17037</v>
      </c>
      <c r="N6" s="18" t="s">
        <v>22</v>
      </c>
    </row>
    <row r="7" spans="2:14" x14ac:dyDescent="0.2">
      <c r="B7" s="13" t="s">
        <v>56</v>
      </c>
      <c r="C7" s="13" t="s">
        <v>60</v>
      </c>
      <c r="D7" s="14">
        <f>9834/16675</f>
        <v>0.58974512743628182</v>
      </c>
      <c r="E7" s="13" t="s">
        <v>62</v>
      </c>
      <c r="F7" s="13" t="s">
        <v>68</v>
      </c>
      <c r="L7" s="8" t="s">
        <v>4</v>
      </c>
      <c r="M7" s="9">
        <f>+Model!U54+Model!U57</f>
        <v>10949</v>
      </c>
      <c r="N7" s="18" t="s">
        <v>22</v>
      </c>
    </row>
    <row r="8" spans="2:14" x14ac:dyDescent="0.2">
      <c r="B8" s="15" t="s">
        <v>66</v>
      </c>
      <c r="C8" s="15" t="s">
        <v>61</v>
      </c>
      <c r="D8" s="16">
        <f>6841/16675</f>
        <v>0.41025487256371812</v>
      </c>
      <c r="E8" s="15" t="s">
        <v>63</v>
      </c>
      <c r="F8" s="15" t="s">
        <v>69</v>
      </c>
      <c r="L8" s="8" t="s">
        <v>5</v>
      </c>
      <c r="M8" s="9">
        <f>+M5-M6+M7</f>
        <v>315196.7</v>
      </c>
    </row>
    <row r="9" spans="2:14" x14ac:dyDescent="0.2">
      <c r="B9" s="15" t="s">
        <v>71</v>
      </c>
      <c r="C9" s="15" t="s">
        <v>67</v>
      </c>
      <c r="D9" s="15"/>
      <c r="E9" s="15"/>
      <c r="F9" s="15"/>
    </row>
    <row r="13" spans="2:14" x14ac:dyDescent="0.2">
      <c r="B13" s="8" t="s">
        <v>55</v>
      </c>
    </row>
    <row r="14" spans="2:14" x14ac:dyDescent="0.2">
      <c r="B14" s="8" t="s">
        <v>54</v>
      </c>
    </row>
    <row r="15" spans="2:14" x14ac:dyDescent="0.2">
      <c r="B15" s="8" t="s">
        <v>70</v>
      </c>
    </row>
    <row r="16" spans="2:14" x14ac:dyDescent="0.2">
      <c r="B16" s="8" t="s">
        <v>112</v>
      </c>
    </row>
    <row r="17" spans="2:3" x14ac:dyDescent="0.2">
      <c r="B17" s="8" t="s">
        <v>72</v>
      </c>
    </row>
    <row r="18" spans="2:3" x14ac:dyDescent="0.2">
      <c r="B18" s="8" t="s">
        <v>113</v>
      </c>
    </row>
    <row r="19" spans="2:3" ht="15" x14ac:dyDescent="0.25">
      <c r="B19" s="1" t="s">
        <v>114</v>
      </c>
    </row>
    <row r="27" spans="2:3" ht="15" x14ac:dyDescent="0.25">
      <c r="B27" s="17" t="s">
        <v>73</v>
      </c>
    </row>
    <row r="28" spans="2:3" x14ac:dyDescent="0.2">
      <c r="B28" s="8" t="s">
        <v>74</v>
      </c>
      <c r="C28" s="8" t="s">
        <v>75</v>
      </c>
    </row>
    <row r="29" spans="2:3" x14ac:dyDescent="0.2">
      <c r="B29" s="8" t="s">
        <v>76</v>
      </c>
      <c r="C29" s="8" t="s">
        <v>77</v>
      </c>
    </row>
    <row r="30" spans="2:3" x14ac:dyDescent="0.2">
      <c r="B30" s="8" t="s">
        <v>78</v>
      </c>
      <c r="C30" s="8" t="s">
        <v>79</v>
      </c>
    </row>
    <row r="31" spans="2:3" x14ac:dyDescent="0.2">
      <c r="B31" s="8" t="s">
        <v>80</v>
      </c>
      <c r="C31" s="8" t="s">
        <v>81</v>
      </c>
    </row>
    <row r="32" spans="2:3" x14ac:dyDescent="0.2">
      <c r="B32" s="8" t="s">
        <v>82</v>
      </c>
      <c r="C32" s="8" t="s">
        <v>83</v>
      </c>
    </row>
    <row r="33" spans="2:3" x14ac:dyDescent="0.2">
      <c r="B33" s="8" t="s">
        <v>84</v>
      </c>
      <c r="C33" s="8" t="s">
        <v>85</v>
      </c>
    </row>
    <row r="35" spans="2:3" x14ac:dyDescent="0.2">
      <c r="B35" s="8" t="s">
        <v>86</v>
      </c>
      <c r="C35" s="8" t="s">
        <v>87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4BEF-AD6D-405A-BED7-1AA7FE82F19F}">
  <dimension ref="A1:EF103"/>
  <sheetViews>
    <sheetView tabSelected="1" zoomScaleNormal="100" workbookViewId="0">
      <pane xSplit="2" ySplit="2" topLeftCell="L17" activePane="bottomRight" state="frozen"/>
      <selection pane="topRight" activeCell="C1" sqref="C1"/>
      <selection pane="bottomLeft" activeCell="A3" sqref="A3"/>
      <selection pane="bottomRight" activeCell="N51" sqref="N51"/>
    </sheetView>
  </sheetViews>
  <sheetFormatPr defaultRowHeight="14.25" x14ac:dyDescent="0.2"/>
  <cols>
    <col min="1" max="1" width="4.5703125" style="22" customWidth="1"/>
    <col min="2" max="2" width="25.140625" style="22" bestFit="1" customWidth="1"/>
    <col min="3" max="3" width="8.5703125" style="22" customWidth="1"/>
    <col min="4" max="20" width="9.140625" style="22"/>
    <col min="21" max="21" width="10.140625" style="22" bestFit="1" customWidth="1"/>
    <col min="22" max="22" width="11.28515625" style="22" bestFit="1" customWidth="1"/>
    <col min="23" max="35" width="9.140625" style="22"/>
    <col min="36" max="36" width="10.140625" style="22" bestFit="1" customWidth="1"/>
    <col min="37" max="38" width="9.140625" style="22"/>
    <col min="39" max="39" width="11.28515625" style="22" bestFit="1" customWidth="1"/>
    <col min="40" max="40" width="10.7109375" style="22" customWidth="1"/>
    <col min="41" max="16384" width="9.140625" style="22"/>
  </cols>
  <sheetData>
    <row r="1" spans="1:52" x14ac:dyDescent="0.2">
      <c r="A1" s="21" t="s">
        <v>7</v>
      </c>
      <c r="C1" s="23">
        <f t="shared" ref="C1:T1" si="0">+D1-90</f>
        <v>43171</v>
      </c>
      <c r="D1" s="23">
        <f t="shared" si="0"/>
        <v>43261</v>
      </c>
      <c r="E1" s="23">
        <f t="shared" si="0"/>
        <v>43351</v>
      </c>
      <c r="F1" s="23">
        <f t="shared" si="0"/>
        <v>43441</v>
      </c>
      <c r="G1" s="23">
        <f t="shared" si="0"/>
        <v>43531</v>
      </c>
      <c r="H1" s="23">
        <f t="shared" si="0"/>
        <v>43621</v>
      </c>
      <c r="I1" s="23">
        <f t="shared" si="0"/>
        <v>43711</v>
      </c>
      <c r="J1" s="23">
        <f t="shared" si="0"/>
        <v>43801</v>
      </c>
      <c r="K1" s="23">
        <f t="shared" si="0"/>
        <v>43891</v>
      </c>
      <c r="L1" s="23">
        <f t="shared" si="0"/>
        <v>43981</v>
      </c>
      <c r="M1" s="23">
        <f t="shared" si="0"/>
        <v>44071</v>
      </c>
      <c r="N1" s="23">
        <f t="shared" si="0"/>
        <v>44161</v>
      </c>
      <c r="O1" s="23">
        <f t="shared" si="0"/>
        <v>44251</v>
      </c>
      <c r="P1" s="23">
        <f t="shared" si="0"/>
        <v>44341</v>
      </c>
      <c r="Q1" s="23">
        <f t="shared" si="0"/>
        <v>44431</v>
      </c>
      <c r="R1" s="23">
        <f t="shared" si="0"/>
        <v>44521</v>
      </c>
      <c r="S1" s="23">
        <f t="shared" si="0"/>
        <v>44611</v>
      </c>
      <c r="T1" s="23">
        <f t="shared" si="0"/>
        <v>44701</v>
      </c>
      <c r="U1" s="23">
        <f>+V1-90</f>
        <v>44791</v>
      </c>
      <c r="V1" s="23">
        <v>44881</v>
      </c>
    </row>
    <row r="2" spans="1:52" s="24" customFormat="1" x14ac:dyDescent="0.2">
      <c r="C2" s="25" t="s">
        <v>143</v>
      </c>
      <c r="D2" s="24" t="s">
        <v>8</v>
      </c>
      <c r="E2" s="24" t="s">
        <v>9</v>
      </c>
      <c r="F2" s="24" t="s">
        <v>10</v>
      </c>
      <c r="G2" s="24" t="s">
        <v>11</v>
      </c>
      <c r="H2" s="24" t="s">
        <v>12</v>
      </c>
      <c r="I2" s="24" t="s">
        <v>13</v>
      </c>
      <c r="J2" s="24" t="s">
        <v>14</v>
      </c>
      <c r="K2" s="24" t="s">
        <v>15</v>
      </c>
      <c r="L2" s="24" t="s">
        <v>16</v>
      </c>
      <c r="M2" s="24" t="s">
        <v>17</v>
      </c>
      <c r="N2" s="24" t="s">
        <v>18</v>
      </c>
      <c r="O2" s="24" t="s">
        <v>19</v>
      </c>
      <c r="P2" s="24" t="s">
        <v>20</v>
      </c>
      <c r="Q2" s="24" t="s">
        <v>21</v>
      </c>
      <c r="R2" s="24" t="s">
        <v>6</v>
      </c>
      <c r="S2" s="24" t="s">
        <v>22</v>
      </c>
      <c r="T2" s="24" t="s">
        <v>89</v>
      </c>
      <c r="U2" s="24" t="s">
        <v>90</v>
      </c>
      <c r="V2" s="24" t="s">
        <v>91</v>
      </c>
      <c r="W2" s="24" t="s">
        <v>92</v>
      </c>
      <c r="X2" s="24" t="s">
        <v>100</v>
      </c>
      <c r="Y2" s="24" t="s">
        <v>101</v>
      </c>
      <c r="Z2" s="24" t="s">
        <v>102</v>
      </c>
      <c r="AA2" s="24" t="s">
        <v>103</v>
      </c>
      <c r="AE2" s="24">
        <v>2017</v>
      </c>
      <c r="AF2" s="24">
        <f t="shared" ref="AF2:AK2" si="1">+AE2+1</f>
        <v>2018</v>
      </c>
      <c r="AG2" s="24">
        <f t="shared" si="1"/>
        <v>2019</v>
      </c>
      <c r="AH2" s="24">
        <f t="shared" si="1"/>
        <v>2020</v>
      </c>
      <c r="AI2" s="24">
        <f t="shared" si="1"/>
        <v>2021</v>
      </c>
      <c r="AJ2" s="24">
        <f t="shared" si="1"/>
        <v>2022</v>
      </c>
      <c r="AK2" s="24">
        <f t="shared" si="1"/>
        <v>2023</v>
      </c>
      <c r="AL2" s="24">
        <f t="shared" ref="AL2:AS2" si="2">+AK2+1</f>
        <v>2024</v>
      </c>
      <c r="AM2" s="24">
        <f t="shared" si="2"/>
        <v>2025</v>
      </c>
      <c r="AN2" s="24">
        <f t="shared" si="2"/>
        <v>2026</v>
      </c>
      <c r="AO2" s="24">
        <f t="shared" si="2"/>
        <v>2027</v>
      </c>
      <c r="AP2" s="24">
        <f t="shared" si="2"/>
        <v>2028</v>
      </c>
      <c r="AQ2" s="24">
        <f t="shared" si="2"/>
        <v>2029</v>
      </c>
      <c r="AR2" s="24">
        <f t="shared" si="2"/>
        <v>2030</v>
      </c>
      <c r="AS2" s="24">
        <f t="shared" si="2"/>
        <v>2031</v>
      </c>
      <c r="AT2" s="24">
        <f t="shared" ref="AT2" si="3">+AS2+1</f>
        <v>2032</v>
      </c>
      <c r="AU2" s="24">
        <f t="shared" ref="AU2" si="4">+AT2+1</f>
        <v>2033</v>
      </c>
      <c r="AV2" s="24">
        <f t="shared" ref="AV2" si="5">+AU2+1</f>
        <v>2034</v>
      </c>
      <c r="AW2" s="24">
        <f t="shared" ref="AW2" si="6">+AV2+1</f>
        <v>2035</v>
      </c>
      <c r="AX2" s="24">
        <f t="shared" ref="AX2" si="7">+AW2+1</f>
        <v>2036</v>
      </c>
      <c r="AY2" s="24">
        <f t="shared" ref="AY2" si="8">+AX2+1</f>
        <v>2037</v>
      </c>
      <c r="AZ2" s="24">
        <f t="shared" ref="AZ2" si="9">+AY2+1</f>
        <v>2038</v>
      </c>
    </row>
    <row r="3" spans="1:52" s="26" customFormat="1" x14ac:dyDescent="0.2">
      <c r="B3" s="27" t="s">
        <v>178</v>
      </c>
      <c r="C3" s="28"/>
      <c r="Q3" s="26">
        <v>3061</v>
      </c>
      <c r="U3" s="26">
        <v>2042</v>
      </c>
    </row>
    <row r="4" spans="1:52" s="26" customFormat="1" x14ac:dyDescent="0.2">
      <c r="B4" s="27" t="s">
        <v>179</v>
      </c>
      <c r="C4" s="28"/>
      <c r="Q4" s="26">
        <v>2366</v>
      </c>
      <c r="U4" s="26">
        <v>3806</v>
      </c>
    </row>
    <row r="5" spans="1:52" s="26" customFormat="1" x14ac:dyDescent="0.2">
      <c r="B5" s="27" t="s">
        <v>180</v>
      </c>
      <c r="C5" s="28"/>
      <c r="Q5" s="26">
        <v>519</v>
      </c>
      <c r="U5" s="26">
        <v>496</v>
      </c>
    </row>
    <row r="6" spans="1:52" s="26" customFormat="1" x14ac:dyDescent="0.2">
      <c r="B6" s="27" t="s">
        <v>181</v>
      </c>
      <c r="C6" s="28"/>
      <c r="Q6" s="26">
        <v>152</v>
      </c>
      <c r="U6" s="26">
        <v>220</v>
      </c>
    </row>
    <row r="7" spans="1:52" s="26" customFormat="1" x14ac:dyDescent="0.2">
      <c r="B7" s="27" t="s">
        <v>182</v>
      </c>
      <c r="C7" s="28"/>
      <c r="Q7" s="26">
        <v>409</v>
      </c>
      <c r="U7" s="26">
        <v>140</v>
      </c>
    </row>
    <row r="8" spans="1:52" s="24" customFormat="1" x14ac:dyDescent="0.2">
      <c r="C8" s="25"/>
    </row>
    <row r="9" spans="1:52" s="24" customFormat="1" x14ac:dyDescent="0.2">
      <c r="B9" s="29" t="s">
        <v>183</v>
      </c>
      <c r="C9" s="25"/>
      <c r="U9" s="30">
        <f>+U3/Q3-1</f>
        <v>-0.33289774583469456</v>
      </c>
    </row>
    <row r="10" spans="1:52" s="24" customFormat="1" x14ac:dyDescent="0.2">
      <c r="B10" s="29" t="s">
        <v>184</v>
      </c>
      <c r="C10" s="25"/>
      <c r="U10" s="30">
        <f>+U4/Q4-1</f>
        <v>0.60862214708368545</v>
      </c>
    </row>
    <row r="11" spans="1:52" s="24" customFormat="1" x14ac:dyDescent="0.2">
      <c r="C11" s="25"/>
    </row>
    <row r="12" spans="1:52" s="24" customFormat="1" x14ac:dyDescent="0.2">
      <c r="C12" s="25"/>
    </row>
    <row r="13" spans="1:52" s="24" customFormat="1" x14ac:dyDescent="0.2">
      <c r="C13" s="25"/>
    </row>
    <row r="14" spans="1:52" s="24" customFormat="1" x14ac:dyDescent="0.2">
      <c r="C14" s="25"/>
    </row>
    <row r="15" spans="1:52" s="31" customFormat="1" ht="15" x14ac:dyDescent="0.25">
      <c r="B15" s="31" t="s">
        <v>23</v>
      </c>
      <c r="C15" s="31">
        <v>2173</v>
      </c>
      <c r="D15" s="31">
        <v>3207</v>
      </c>
      <c r="E15" s="31">
        <v>3123</v>
      </c>
      <c r="F15" s="31">
        <v>3181</v>
      </c>
      <c r="G15" s="31">
        <v>2911</v>
      </c>
      <c r="H15" s="31">
        <v>2220</v>
      </c>
      <c r="I15" s="31">
        <v>2579</v>
      </c>
      <c r="J15" s="31">
        <v>3014</v>
      </c>
      <c r="K15" s="31">
        <v>3105</v>
      </c>
      <c r="L15" s="31">
        <v>3080</v>
      </c>
      <c r="M15" s="31">
        <v>3866</v>
      </c>
      <c r="N15" s="31">
        <v>4726</v>
      </c>
      <c r="O15" s="31">
        <v>5003</v>
      </c>
      <c r="P15" s="31">
        <v>5661</v>
      </c>
      <c r="Q15" s="31">
        <v>6507</v>
      </c>
      <c r="R15" s="31">
        <v>7103</v>
      </c>
      <c r="S15" s="31">
        <v>7643</v>
      </c>
      <c r="T15" s="31">
        <v>8288</v>
      </c>
      <c r="U15" s="31">
        <v>6704</v>
      </c>
      <c r="V15" s="32">
        <v>6747.3897261209186</v>
      </c>
      <c r="W15" s="32">
        <v>6786.4575156307365</v>
      </c>
      <c r="X15" s="32">
        <f>+W15*1.07</f>
        <v>7261.5095417248885</v>
      </c>
      <c r="Y15" s="32">
        <f t="shared" ref="Y15:AA15" si="10">+X15*1.07</f>
        <v>7769.8152096456315</v>
      </c>
      <c r="Z15" s="32">
        <f t="shared" si="10"/>
        <v>8313.7022743208254</v>
      </c>
      <c r="AA15" s="32">
        <f t="shared" si="10"/>
        <v>8895.6614335232844</v>
      </c>
      <c r="AF15" s="31">
        <f t="shared" ref="AF15:AF25" si="11">+SUM(D15:G15)</f>
        <v>12422</v>
      </c>
      <c r="AG15" s="31">
        <f t="shared" ref="AG15:AG25" si="12">+SUM(H15:K15)</f>
        <v>10918</v>
      </c>
      <c r="AH15" s="31">
        <f t="shared" ref="AH15:AH25" si="13">+SUM(L15:O15)</f>
        <v>16675</v>
      </c>
      <c r="AI15" s="31">
        <f>+SUM(P15:S15)</f>
        <v>26914</v>
      </c>
      <c r="AJ15" s="31">
        <f>+SUM(T15:W15)</f>
        <v>28525.847241751657</v>
      </c>
      <c r="AK15" s="31">
        <f>+SUM(X15:AA15)</f>
        <v>32240.688459214631</v>
      </c>
      <c r="AL15" s="31">
        <f>+AK15*1.13</f>
        <v>36431.977958912532</v>
      </c>
      <c r="AM15" s="31">
        <f>+AL15*1.09</f>
        <v>39710.855975214661</v>
      </c>
      <c r="AN15" s="31">
        <f t="shared" ref="AN15:AQ15" si="14">+AM15*1.09</f>
        <v>43284.833012983981</v>
      </c>
      <c r="AO15" s="31">
        <f t="shared" si="14"/>
        <v>47180.467984152543</v>
      </c>
      <c r="AP15" s="31">
        <f t="shared" si="14"/>
        <v>51426.710102726276</v>
      </c>
      <c r="AQ15" s="31">
        <f t="shared" si="14"/>
        <v>56055.114011971644</v>
      </c>
      <c r="AR15" s="31">
        <f t="shared" ref="AR15" si="15">+AQ15*1.03</f>
        <v>57736.767432330795</v>
      </c>
      <c r="AS15" s="31">
        <f>+AR15*0.94</f>
        <v>54272.561386390946</v>
      </c>
      <c r="AT15" s="31">
        <f t="shared" ref="AT15:AZ15" si="16">+AS15*0.94</f>
        <v>51016.207703207489</v>
      </c>
      <c r="AU15" s="31">
        <f t="shared" si="16"/>
        <v>47955.235241015034</v>
      </c>
      <c r="AV15" s="31">
        <f t="shared" si="16"/>
        <v>45077.921126554131</v>
      </c>
      <c r="AW15" s="31">
        <f t="shared" si="16"/>
        <v>42373.24585896088</v>
      </c>
      <c r="AX15" s="31">
        <f t="shared" si="16"/>
        <v>39830.851107423223</v>
      </c>
      <c r="AY15" s="31">
        <f t="shared" si="16"/>
        <v>37441.000040977829</v>
      </c>
      <c r="AZ15" s="31">
        <f t="shared" si="16"/>
        <v>35194.540038519161</v>
      </c>
    </row>
    <row r="16" spans="1:52" x14ac:dyDescent="0.2">
      <c r="B16" s="22" t="s">
        <v>24</v>
      </c>
      <c r="C16" s="33">
        <v>870</v>
      </c>
      <c r="D16" s="33">
        <v>1139</v>
      </c>
      <c r="E16" s="33">
        <v>1148</v>
      </c>
      <c r="F16" s="33">
        <v>1260</v>
      </c>
      <c r="G16" s="33">
        <v>1110</v>
      </c>
      <c r="H16" s="33">
        <v>924</v>
      </c>
      <c r="I16" s="33">
        <v>1038</v>
      </c>
      <c r="J16" s="33">
        <v>1098</v>
      </c>
      <c r="K16" s="33">
        <v>1090</v>
      </c>
      <c r="L16" s="33">
        <v>1076</v>
      </c>
      <c r="M16" s="33">
        <v>1591</v>
      </c>
      <c r="N16" s="33">
        <v>1766</v>
      </c>
      <c r="O16" s="33">
        <v>1846</v>
      </c>
      <c r="P16" s="33">
        <v>2032</v>
      </c>
      <c r="Q16" s="33">
        <v>2292</v>
      </c>
      <c r="R16" s="33">
        <v>2472</v>
      </c>
      <c r="S16" s="33">
        <v>2644</v>
      </c>
      <c r="T16" s="33">
        <v>2857</v>
      </c>
      <c r="U16" s="33">
        <v>3789</v>
      </c>
      <c r="W16" s="33"/>
      <c r="X16" s="33"/>
      <c r="Y16" s="33"/>
      <c r="Z16" s="33"/>
      <c r="AA16" s="33"/>
      <c r="AB16" s="33"/>
      <c r="AC16" s="33"/>
      <c r="AD16" s="33"/>
      <c r="AE16" s="33"/>
      <c r="AF16" s="33">
        <f t="shared" si="11"/>
        <v>4657</v>
      </c>
      <c r="AG16" s="33">
        <f t="shared" si="12"/>
        <v>4150</v>
      </c>
      <c r="AH16" s="33">
        <f t="shared" si="13"/>
        <v>6279</v>
      </c>
      <c r="AI16" s="34">
        <f t="shared" ref="AI16:AI25" si="17">+SUM(P16:S16)</f>
        <v>9440</v>
      </c>
      <c r="AJ16" s="33"/>
      <c r="AK16" s="33"/>
      <c r="AL16" s="33"/>
      <c r="AM16" s="33"/>
      <c r="AN16" s="33"/>
      <c r="AO16" s="33"/>
      <c r="AP16" s="33"/>
      <c r="AQ16" s="33"/>
      <c r="AR16" s="33"/>
      <c r="AS16" s="33"/>
    </row>
    <row r="17" spans="2:136" s="35" customFormat="1" x14ac:dyDescent="0.2">
      <c r="B17" s="35" t="s">
        <v>25</v>
      </c>
      <c r="C17" s="36">
        <f t="shared" ref="C17:D17" si="18">+C15-C16</f>
        <v>1303</v>
      </c>
      <c r="D17" s="36">
        <f t="shared" si="18"/>
        <v>2068</v>
      </c>
      <c r="E17" s="36">
        <f t="shared" ref="E17" si="19">+E15-E16</f>
        <v>1975</v>
      </c>
      <c r="F17" s="36">
        <f>+F15-F16</f>
        <v>1921</v>
      </c>
      <c r="G17" s="36">
        <f t="shared" ref="G17" si="20">+G15-G16</f>
        <v>1801</v>
      </c>
      <c r="H17" s="36">
        <f t="shared" ref="H17:I17" si="21">+H15-H16</f>
        <v>1296</v>
      </c>
      <c r="I17" s="36">
        <f t="shared" si="21"/>
        <v>1541</v>
      </c>
      <c r="J17" s="36">
        <f t="shared" ref="J17:R17" si="22">+J15-J16</f>
        <v>1916</v>
      </c>
      <c r="K17" s="36">
        <f t="shared" si="22"/>
        <v>2015</v>
      </c>
      <c r="L17" s="36">
        <f t="shared" si="22"/>
        <v>2004</v>
      </c>
      <c r="M17" s="36">
        <f t="shared" si="22"/>
        <v>2275</v>
      </c>
      <c r="N17" s="36">
        <f t="shared" si="22"/>
        <v>2960</v>
      </c>
      <c r="O17" s="36">
        <f t="shared" si="22"/>
        <v>3157</v>
      </c>
      <c r="P17" s="36">
        <f t="shared" si="22"/>
        <v>3629</v>
      </c>
      <c r="Q17" s="36">
        <f t="shared" si="22"/>
        <v>4215</v>
      </c>
      <c r="R17" s="36">
        <f t="shared" si="22"/>
        <v>4631</v>
      </c>
      <c r="S17" s="36">
        <f t="shared" ref="S17:T17" si="23">+S15-S16</f>
        <v>4999</v>
      </c>
      <c r="T17" s="36">
        <f t="shared" si="23"/>
        <v>5431</v>
      </c>
      <c r="U17" s="36">
        <f t="shared" ref="U17" si="24">+U15-U16</f>
        <v>2915</v>
      </c>
      <c r="W17" s="36"/>
      <c r="X17" s="36"/>
      <c r="Y17" s="36"/>
      <c r="Z17" s="36"/>
      <c r="AA17" s="36"/>
      <c r="AB17" s="36"/>
      <c r="AC17" s="36"/>
      <c r="AD17" s="36"/>
      <c r="AE17" s="36"/>
      <c r="AF17" s="36">
        <f t="shared" si="11"/>
        <v>7765</v>
      </c>
      <c r="AG17" s="36">
        <f t="shared" si="12"/>
        <v>6768</v>
      </c>
      <c r="AH17" s="36">
        <f t="shared" si="13"/>
        <v>10396</v>
      </c>
      <c r="AI17" s="34">
        <f t="shared" si="17"/>
        <v>17474</v>
      </c>
      <c r="AJ17" s="36">
        <f>+AJ15*0.65</f>
        <v>18541.800707138576</v>
      </c>
      <c r="AK17" s="36">
        <f>+AK15*0.65</f>
        <v>20956.44749848951</v>
      </c>
      <c r="AL17" s="36">
        <f t="shared" ref="AL17:AZ17" si="25">+AL15*0.65</f>
        <v>23680.785673293147</v>
      </c>
      <c r="AM17" s="36">
        <f t="shared" si="25"/>
        <v>25812.056383889532</v>
      </c>
      <c r="AN17" s="36">
        <f t="shared" si="25"/>
        <v>28135.14145843959</v>
      </c>
      <c r="AO17" s="36">
        <f t="shared" si="25"/>
        <v>30667.304189699153</v>
      </c>
      <c r="AP17" s="36">
        <f t="shared" si="25"/>
        <v>33427.361566772081</v>
      </c>
      <c r="AQ17" s="36">
        <f t="shared" si="25"/>
        <v>36435.824107781569</v>
      </c>
      <c r="AR17" s="36">
        <f t="shared" si="25"/>
        <v>37528.898831015016</v>
      </c>
      <c r="AS17" s="36">
        <f t="shared" si="25"/>
        <v>35277.164901154116</v>
      </c>
      <c r="AT17" s="36">
        <f t="shared" si="25"/>
        <v>33160.535007084865</v>
      </c>
      <c r="AU17" s="36">
        <f t="shared" si="25"/>
        <v>31170.902906659772</v>
      </c>
      <c r="AV17" s="36">
        <f t="shared" si="25"/>
        <v>29300.648732260186</v>
      </c>
      <c r="AW17" s="36">
        <f t="shared" si="25"/>
        <v>27542.609808324574</v>
      </c>
      <c r="AX17" s="36">
        <f t="shared" si="25"/>
        <v>25890.053219825095</v>
      </c>
      <c r="AY17" s="36">
        <f t="shared" si="25"/>
        <v>24336.650026635591</v>
      </c>
      <c r="AZ17" s="36">
        <f t="shared" si="25"/>
        <v>22876.451025037455</v>
      </c>
    </row>
    <row r="18" spans="2:136" x14ac:dyDescent="0.2">
      <c r="B18" s="22" t="s">
        <v>26</v>
      </c>
      <c r="C18" s="33">
        <v>394</v>
      </c>
      <c r="D18" s="33">
        <v>542</v>
      </c>
      <c r="E18" s="33">
        <v>581</v>
      </c>
      <c r="F18" s="33">
        <v>605</v>
      </c>
      <c r="G18" s="33">
        <v>508</v>
      </c>
      <c r="H18" s="33">
        <v>674</v>
      </c>
      <c r="I18" s="33">
        <v>704</v>
      </c>
      <c r="J18" s="33">
        <v>712</v>
      </c>
      <c r="K18" s="33">
        <v>738</v>
      </c>
      <c r="L18" s="33">
        <v>735</v>
      </c>
      <c r="M18" s="33">
        <v>997</v>
      </c>
      <c r="N18" s="33">
        <v>1047</v>
      </c>
      <c r="O18" s="33">
        <v>1147</v>
      </c>
      <c r="P18" s="33">
        <v>1153</v>
      </c>
      <c r="Q18" s="33">
        <v>1245</v>
      </c>
      <c r="R18" s="33">
        <v>1403</v>
      </c>
      <c r="S18" s="33">
        <v>1466</v>
      </c>
      <c r="T18" s="33">
        <v>1618</v>
      </c>
      <c r="U18" s="33">
        <v>1824</v>
      </c>
      <c r="W18" s="33"/>
      <c r="X18" s="33"/>
      <c r="Y18" s="33"/>
      <c r="Z18" s="33"/>
      <c r="AA18" s="33"/>
      <c r="AB18" s="33"/>
      <c r="AC18" s="33"/>
      <c r="AD18" s="33"/>
      <c r="AE18" s="33"/>
      <c r="AF18" s="33">
        <f t="shared" si="11"/>
        <v>2236</v>
      </c>
      <c r="AG18" s="33">
        <f t="shared" si="12"/>
        <v>2828</v>
      </c>
      <c r="AH18" s="33">
        <f t="shared" si="13"/>
        <v>3926</v>
      </c>
      <c r="AI18" s="34">
        <f t="shared" si="17"/>
        <v>5267</v>
      </c>
      <c r="AJ18" s="33"/>
      <c r="AK18" s="33"/>
      <c r="AL18" s="33"/>
      <c r="AM18" s="33"/>
      <c r="AN18" s="33"/>
      <c r="AO18" s="33"/>
      <c r="AP18" s="33"/>
      <c r="AQ18" s="33"/>
      <c r="AR18" s="33"/>
      <c r="AS18" s="33"/>
    </row>
    <row r="19" spans="2:136" x14ac:dyDescent="0.2">
      <c r="B19" s="37" t="s">
        <v>27</v>
      </c>
      <c r="C19" s="33">
        <v>176</v>
      </c>
      <c r="D19" s="33">
        <v>231</v>
      </c>
      <c r="E19" s="33">
        <v>237</v>
      </c>
      <c r="F19" s="33">
        <v>258</v>
      </c>
      <c r="G19" s="33">
        <v>220</v>
      </c>
      <c r="H19" s="33">
        <v>264</v>
      </c>
      <c r="I19" s="33">
        <v>266</v>
      </c>
      <c r="J19" s="33">
        <v>277</v>
      </c>
      <c r="K19" s="33">
        <v>287</v>
      </c>
      <c r="L19" s="33">
        <v>293</v>
      </c>
      <c r="M19" s="33">
        <v>627</v>
      </c>
      <c r="N19" s="33">
        <v>515</v>
      </c>
      <c r="O19" s="33">
        <v>503</v>
      </c>
      <c r="P19" s="33">
        <v>520</v>
      </c>
      <c r="Q19" s="33">
        <v>526</v>
      </c>
      <c r="R19" s="33">
        <v>557</v>
      </c>
      <c r="S19" s="33">
        <v>563</v>
      </c>
      <c r="T19" s="33">
        <v>592</v>
      </c>
      <c r="U19" s="33">
        <v>592</v>
      </c>
      <c r="W19" s="33"/>
      <c r="X19" s="33"/>
      <c r="Y19" s="33"/>
      <c r="Z19" s="33"/>
      <c r="AA19" s="33"/>
      <c r="AB19" s="33"/>
      <c r="AC19" s="33"/>
      <c r="AD19" s="33"/>
      <c r="AE19" s="33"/>
      <c r="AF19" s="33">
        <f t="shared" si="11"/>
        <v>946</v>
      </c>
      <c r="AG19" s="33">
        <f t="shared" si="12"/>
        <v>1094</v>
      </c>
      <c r="AH19" s="33">
        <f t="shared" si="13"/>
        <v>1938</v>
      </c>
      <c r="AI19" s="34">
        <f t="shared" si="17"/>
        <v>2166</v>
      </c>
      <c r="AJ19" s="33"/>
      <c r="AK19" s="33"/>
      <c r="AL19" s="33"/>
      <c r="AM19" s="33"/>
      <c r="AN19" s="33"/>
      <c r="AO19" s="33"/>
      <c r="AP19" s="33"/>
      <c r="AQ19" s="33"/>
      <c r="AR19" s="33"/>
      <c r="AS19" s="33"/>
    </row>
    <row r="20" spans="2:136" x14ac:dyDescent="0.2">
      <c r="B20" s="22" t="s">
        <v>28</v>
      </c>
      <c r="C20" s="33">
        <f t="shared" ref="C20:D20" si="26">+C18+C19</f>
        <v>570</v>
      </c>
      <c r="D20" s="33">
        <f t="shared" si="26"/>
        <v>773</v>
      </c>
      <c r="E20" s="33">
        <f>+E18+E19</f>
        <v>818</v>
      </c>
      <c r="F20" s="33">
        <f>+F18+F19</f>
        <v>863</v>
      </c>
      <c r="G20" s="33">
        <f t="shared" ref="G20" si="27">+G18+G19</f>
        <v>728</v>
      </c>
      <c r="H20" s="33">
        <f t="shared" ref="H20:I20" si="28">+H18+H19</f>
        <v>938</v>
      </c>
      <c r="I20" s="33">
        <f t="shared" si="28"/>
        <v>970</v>
      </c>
      <c r="J20" s="33">
        <f t="shared" ref="J20:R20" si="29">+J18+J19</f>
        <v>989</v>
      </c>
      <c r="K20" s="33">
        <f t="shared" si="29"/>
        <v>1025</v>
      </c>
      <c r="L20" s="33">
        <f t="shared" si="29"/>
        <v>1028</v>
      </c>
      <c r="M20" s="33">
        <f t="shared" si="29"/>
        <v>1624</v>
      </c>
      <c r="N20" s="33">
        <f t="shared" si="29"/>
        <v>1562</v>
      </c>
      <c r="O20" s="33">
        <f t="shared" si="29"/>
        <v>1650</v>
      </c>
      <c r="P20" s="33">
        <f t="shared" si="29"/>
        <v>1673</v>
      </c>
      <c r="Q20" s="33">
        <f t="shared" si="29"/>
        <v>1771</v>
      </c>
      <c r="R20" s="33">
        <f t="shared" si="29"/>
        <v>1960</v>
      </c>
      <c r="S20" s="33">
        <f t="shared" ref="S20:T20" si="30">+S18+S19</f>
        <v>2029</v>
      </c>
      <c r="T20" s="33">
        <f t="shared" si="30"/>
        <v>2210</v>
      </c>
      <c r="U20" s="33">
        <f>+U18+U19</f>
        <v>2416</v>
      </c>
      <c r="W20" s="33"/>
      <c r="X20" s="33"/>
      <c r="Y20" s="33"/>
      <c r="Z20" s="33"/>
      <c r="AA20" s="33"/>
      <c r="AB20" s="33"/>
      <c r="AC20" s="33"/>
      <c r="AD20" s="33"/>
      <c r="AE20" s="33"/>
      <c r="AF20" s="33">
        <f t="shared" si="11"/>
        <v>3182</v>
      </c>
      <c r="AG20" s="33">
        <f t="shared" si="12"/>
        <v>3922</v>
      </c>
      <c r="AH20" s="33">
        <f t="shared" si="13"/>
        <v>5864</v>
      </c>
      <c r="AI20" s="34">
        <f t="shared" si="17"/>
        <v>7433</v>
      </c>
      <c r="AJ20" s="33"/>
      <c r="AK20" s="33"/>
      <c r="AL20" s="33"/>
      <c r="AM20" s="33"/>
      <c r="AN20" s="33"/>
      <c r="AO20" s="33"/>
      <c r="AP20" s="33"/>
      <c r="AQ20" s="33"/>
      <c r="AR20" s="33"/>
      <c r="AS20" s="33"/>
    </row>
    <row r="21" spans="2:136" x14ac:dyDescent="0.2">
      <c r="B21" s="22" t="s">
        <v>29</v>
      </c>
      <c r="C21" s="33">
        <f t="shared" ref="C21:I21" si="31">+C17-C20</f>
        <v>733</v>
      </c>
      <c r="D21" s="33">
        <f t="shared" si="31"/>
        <v>1295</v>
      </c>
      <c r="E21" s="33">
        <f t="shared" si="31"/>
        <v>1157</v>
      </c>
      <c r="F21" s="33">
        <f t="shared" si="31"/>
        <v>1058</v>
      </c>
      <c r="G21" s="33">
        <f t="shared" si="31"/>
        <v>1073</v>
      </c>
      <c r="H21" s="33">
        <f t="shared" si="31"/>
        <v>358</v>
      </c>
      <c r="I21" s="33">
        <f t="shared" si="31"/>
        <v>571</v>
      </c>
      <c r="J21" s="33">
        <f t="shared" ref="J21:R21" si="32">+J17-J20</f>
        <v>927</v>
      </c>
      <c r="K21" s="33">
        <f t="shared" si="32"/>
        <v>990</v>
      </c>
      <c r="L21" s="33">
        <f t="shared" si="32"/>
        <v>976</v>
      </c>
      <c r="M21" s="33">
        <f t="shared" si="32"/>
        <v>651</v>
      </c>
      <c r="N21" s="33">
        <f t="shared" si="32"/>
        <v>1398</v>
      </c>
      <c r="O21" s="33">
        <f t="shared" si="32"/>
        <v>1507</v>
      </c>
      <c r="P21" s="33">
        <f t="shared" si="32"/>
        <v>1956</v>
      </c>
      <c r="Q21" s="33">
        <f t="shared" si="32"/>
        <v>2444</v>
      </c>
      <c r="R21" s="33">
        <f t="shared" si="32"/>
        <v>2671</v>
      </c>
      <c r="S21" s="33">
        <f t="shared" ref="S21:T21" si="33">+S17-S20</f>
        <v>2970</v>
      </c>
      <c r="T21" s="33">
        <f t="shared" si="33"/>
        <v>3221</v>
      </c>
      <c r="U21" s="33">
        <f>+U17-U20</f>
        <v>499</v>
      </c>
      <c r="W21" s="33"/>
      <c r="X21" s="33"/>
      <c r="Y21" s="33"/>
      <c r="Z21" s="33"/>
      <c r="AA21" s="33"/>
      <c r="AB21" s="33"/>
      <c r="AC21" s="33"/>
      <c r="AD21" s="33"/>
      <c r="AE21" s="33"/>
      <c r="AF21" s="33">
        <f t="shared" si="11"/>
        <v>4583</v>
      </c>
      <c r="AG21" s="33">
        <f t="shared" si="12"/>
        <v>2846</v>
      </c>
      <c r="AH21" s="33">
        <f t="shared" si="13"/>
        <v>4532</v>
      </c>
      <c r="AI21" s="34">
        <f t="shared" si="17"/>
        <v>10041</v>
      </c>
      <c r="AJ21" s="33">
        <f>+AJ15*0.38</f>
        <v>10839.82195186563</v>
      </c>
      <c r="AK21" s="33">
        <f>+AK15*0.38</f>
        <v>12251.461614501561</v>
      </c>
      <c r="AL21" s="33">
        <f t="shared" ref="AL21:AZ21" si="34">+AL15*0.38</f>
        <v>13844.151624386763</v>
      </c>
      <c r="AM21" s="33">
        <f t="shared" si="34"/>
        <v>15090.125270581571</v>
      </c>
      <c r="AN21" s="33">
        <f t="shared" si="34"/>
        <v>16448.236544933912</v>
      </c>
      <c r="AO21" s="33">
        <f t="shared" si="34"/>
        <v>17928.577833977968</v>
      </c>
      <c r="AP21" s="33">
        <f t="shared" si="34"/>
        <v>19542.149839035985</v>
      </c>
      <c r="AQ21" s="33">
        <f t="shared" si="34"/>
        <v>21300.943324549226</v>
      </c>
      <c r="AR21" s="33">
        <f t="shared" si="34"/>
        <v>21939.971624285703</v>
      </c>
      <c r="AS21" s="33">
        <f t="shared" si="34"/>
        <v>20623.573326828558</v>
      </c>
      <c r="AT21" s="33">
        <f t="shared" si="34"/>
        <v>19386.158927218847</v>
      </c>
      <c r="AU21" s="33">
        <f t="shared" si="34"/>
        <v>18222.989391585714</v>
      </c>
      <c r="AV21" s="33">
        <f t="shared" si="34"/>
        <v>17129.61002809057</v>
      </c>
      <c r="AW21" s="33">
        <f t="shared" si="34"/>
        <v>16101.833426405134</v>
      </c>
      <c r="AX21" s="33">
        <f t="shared" si="34"/>
        <v>15135.723420820825</v>
      </c>
      <c r="AY21" s="33">
        <f t="shared" si="34"/>
        <v>14227.580015571575</v>
      </c>
      <c r="AZ21" s="33">
        <f t="shared" si="34"/>
        <v>13373.925214637282</v>
      </c>
    </row>
    <row r="22" spans="2:136" x14ac:dyDescent="0.2">
      <c r="B22" s="22" t="s">
        <v>30</v>
      </c>
      <c r="C22" s="33">
        <f>17+-18+-6</f>
        <v>-7</v>
      </c>
      <c r="D22" s="33">
        <f>25+-15+6</f>
        <v>16</v>
      </c>
      <c r="E22" s="33">
        <f>32+-14+5</f>
        <v>23</v>
      </c>
      <c r="F22" s="33">
        <v>23</v>
      </c>
      <c r="G22" s="33">
        <f>20+-15</f>
        <v>5</v>
      </c>
      <c r="H22" s="33">
        <f>44+-13</f>
        <v>31</v>
      </c>
      <c r="I22" s="33">
        <f>47+-13+1</f>
        <v>35</v>
      </c>
      <c r="J22" s="33">
        <v>32</v>
      </c>
      <c r="K22" s="33">
        <v>26</v>
      </c>
      <c r="L22" s="33">
        <f>31+-25+-1</f>
        <v>5</v>
      </c>
      <c r="M22" s="33">
        <f>13+-54+-1</f>
        <v>-42</v>
      </c>
      <c r="N22" s="33">
        <f>7+-53+-4</f>
        <v>-50</v>
      </c>
      <c r="O22" s="33">
        <v>-37</v>
      </c>
      <c r="P22" s="33">
        <f>6+-53+135</f>
        <v>88</v>
      </c>
      <c r="Q22" s="33">
        <f>6+-60+4</f>
        <v>-50</v>
      </c>
      <c r="R22" s="33">
        <f>7+-62+22</f>
        <v>-33</v>
      </c>
      <c r="S22" s="33">
        <f>9+-61+-53</f>
        <v>-105</v>
      </c>
      <c r="T22" s="33">
        <f>18+-68+-13</f>
        <v>-63</v>
      </c>
      <c r="U22" s="33">
        <f>46+-65+-5</f>
        <v>-24</v>
      </c>
      <c r="AD22" s="33"/>
      <c r="AE22" s="33"/>
      <c r="AF22" s="33">
        <f t="shared" si="11"/>
        <v>67</v>
      </c>
      <c r="AG22" s="33">
        <f t="shared" si="12"/>
        <v>124</v>
      </c>
      <c r="AH22" s="33">
        <f t="shared" si="13"/>
        <v>-124</v>
      </c>
      <c r="AI22" s="34">
        <f t="shared" si="17"/>
        <v>-100</v>
      </c>
      <c r="AJ22" s="33">
        <f>+$U$41*$AD$42</f>
        <v>444.92931679464465</v>
      </c>
      <c r="AK22" s="33">
        <f>+AJ22*1.01</f>
        <v>449.3786099625911</v>
      </c>
      <c r="AL22" s="33">
        <f t="shared" ref="AL22:AZ22" si="35">+AK22*1.01</f>
        <v>453.87239606221704</v>
      </c>
      <c r="AM22" s="33">
        <f t="shared" si="35"/>
        <v>458.41112002283921</v>
      </c>
      <c r="AN22" s="33">
        <f t="shared" si="35"/>
        <v>462.99523122306761</v>
      </c>
      <c r="AO22" s="33">
        <f t="shared" si="35"/>
        <v>467.62518353529828</v>
      </c>
      <c r="AP22" s="33">
        <f t="shared" si="35"/>
        <v>472.30143537065129</v>
      </c>
      <c r="AQ22" s="33">
        <f t="shared" si="35"/>
        <v>477.02444972435779</v>
      </c>
      <c r="AR22" s="33">
        <f t="shared" si="35"/>
        <v>481.79469422160139</v>
      </c>
      <c r="AS22" s="33">
        <f t="shared" si="35"/>
        <v>486.61264116381739</v>
      </c>
      <c r="AT22" s="33">
        <f t="shared" si="35"/>
        <v>491.47876757545555</v>
      </c>
      <c r="AU22" s="33">
        <f t="shared" si="35"/>
        <v>496.3935552512101</v>
      </c>
      <c r="AV22" s="33">
        <f t="shared" si="35"/>
        <v>501.35749080372221</v>
      </c>
      <c r="AW22" s="33">
        <f t="shared" si="35"/>
        <v>506.37106571175946</v>
      </c>
      <c r="AX22" s="33">
        <f t="shared" si="35"/>
        <v>511.43477636887707</v>
      </c>
      <c r="AY22" s="33">
        <f t="shared" si="35"/>
        <v>516.54912413256579</v>
      </c>
      <c r="AZ22" s="33">
        <f t="shared" si="35"/>
        <v>521.71461537389143</v>
      </c>
    </row>
    <row r="23" spans="2:136" x14ac:dyDescent="0.2">
      <c r="B23" s="22" t="s">
        <v>31</v>
      </c>
      <c r="C23" s="33">
        <f t="shared" ref="C23:D23" si="36">+C21+C22</f>
        <v>726</v>
      </c>
      <c r="D23" s="33">
        <f t="shared" si="36"/>
        <v>1311</v>
      </c>
      <c r="E23" s="33">
        <f t="shared" ref="E23" si="37">+E21+E22</f>
        <v>1180</v>
      </c>
      <c r="F23" s="33">
        <f>+F21+F22</f>
        <v>1081</v>
      </c>
      <c r="G23" s="33">
        <f t="shared" ref="G23" si="38">+G21+G22</f>
        <v>1078</v>
      </c>
      <c r="H23" s="33">
        <f t="shared" ref="H23:I23" si="39">+H21+H22</f>
        <v>389</v>
      </c>
      <c r="I23" s="33">
        <f t="shared" si="39"/>
        <v>606</v>
      </c>
      <c r="J23" s="33">
        <f t="shared" ref="J23:S23" si="40">+J21+J22</f>
        <v>959</v>
      </c>
      <c r="K23" s="33">
        <f t="shared" si="40"/>
        <v>1016</v>
      </c>
      <c r="L23" s="33">
        <f t="shared" si="40"/>
        <v>981</v>
      </c>
      <c r="M23" s="33">
        <f t="shared" si="40"/>
        <v>609</v>
      </c>
      <c r="N23" s="33">
        <f t="shared" si="40"/>
        <v>1348</v>
      </c>
      <c r="O23" s="33">
        <f t="shared" si="40"/>
        <v>1470</v>
      </c>
      <c r="P23" s="33">
        <f t="shared" si="40"/>
        <v>2044</v>
      </c>
      <c r="Q23" s="33">
        <f t="shared" si="40"/>
        <v>2394</v>
      </c>
      <c r="R23" s="33">
        <f t="shared" si="40"/>
        <v>2638</v>
      </c>
      <c r="S23" s="33">
        <f t="shared" si="40"/>
        <v>2865</v>
      </c>
      <c r="T23" s="33">
        <f t="shared" ref="T23:U23" si="41">+T21+T22</f>
        <v>3158</v>
      </c>
      <c r="U23" s="33">
        <f t="shared" si="41"/>
        <v>475</v>
      </c>
      <c r="W23" s="33"/>
      <c r="X23" s="33"/>
      <c r="Y23" s="33"/>
      <c r="Z23" s="33"/>
      <c r="AA23" s="33"/>
      <c r="AB23" s="33"/>
      <c r="AC23" s="33"/>
      <c r="AD23" s="33"/>
      <c r="AE23" s="33"/>
      <c r="AF23" s="33">
        <f t="shared" si="11"/>
        <v>4650</v>
      </c>
      <c r="AG23" s="33">
        <f t="shared" si="12"/>
        <v>2970</v>
      </c>
      <c r="AH23" s="33">
        <f t="shared" si="13"/>
        <v>4408</v>
      </c>
      <c r="AI23" s="34">
        <f t="shared" si="17"/>
        <v>9941</v>
      </c>
      <c r="AJ23" s="33">
        <f>+AJ21+AJ22</f>
        <v>11284.751268660275</v>
      </c>
      <c r="AK23" s="33">
        <f t="shared" ref="AK23:AZ23" si="42">+AK21+AK22</f>
        <v>12700.840224464151</v>
      </c>
      <c r="AL23" s="33">
        <f t="shared" si="42"/>
        <v>14298.02402044898</v>
      </c>
      <c r="AM23" s="33">
        <f t="shared" si="42"/>
        <v>15548.536390604411</v>
      </c>
      <c r="AN23" s="33">
        <f t="shared" si="42"/>
        <v>16911.231776156979</v>
      </c>
      <c r="AO23" s="33">
        <f t="shared" si="42"/>
        <v>18396.203017513268</v>
      </c>
      <c r="AP23" s="33">
        <f t="shared" si="42"/>
        <v>20014.451274406638</v>
      </c>
      <c r="AQ23" s="33">
        <f t="shared" si="42"/>
        <v>21777.967774273584</v>
      </c>
      <c r="AR23" s="33">
        <f t="shared" si="42"/>
        <v>22421.766318507303</v>
      </c>
      <c r="AS23" s="33">
        <f t="shared" si="42"/>
        <v>21110.185967992376</v>
      </c>
      <c r="AT23" s="33">
        <f t="shared" si="42"/>
        <v>19877.637694794303</v>
      </c>
      <c r="AU23" s="33">
        <f t="shared" si="42"/>
        <v>18719.382946836922</v>
      </c>
      <c r="AV23" s="33">
        <f t="shared" si="42"/>
        <v>17630.967518894293</v>
      </c>
      <c r="AW23" s="33">
        <f t="shared" si="42"/>
        <v>16608.204492116893</v>
      </c>
      <c r="AX23" s="33">
        <f t="shared" si="42"/>
        <v>15647.158197189701</v>
      </c>
      <c r="AY23" s="33">
        <f t="shared" si="42"/>
        <v>14744.12913970414</v>
      </c>
      <c r="AZ23" s="33">
        <f t="shared" si="42"/>
        <v>13895.639830011174</v>
      </c>
    </row>
    <row r="24" spans="2:136" x14ac:dyDescent="0.2">
      <c r="B24" s="22" t="s">
        <v>32</v>
      </c>
      <c r="C24" s="33">
        <v>71</v>
      </c>
      <c r="D24" s="33">
        <v>67</v>
      </c>
      <c r="E24" s="33">
        <v>79</v>
      </c>
      <c r="F24" s="33">
        <v>-149</v>
      </c>
      <c r="G24" s="33">
        <v>-40</v>
      </c>
      <c r="H24" s="33">
        <v>-5</v>
      </c>
      <c r="I24" s="33">
        <v>54</v>
      </c>
      <c r="J24" s="33">
        <v>60</v>
      </c>
      <c r="K24" s="33">
        <v>66</v>
      </c>
      <c r="L24" s="33">
        <v>64</v>
      </c>
      <c r="M24" s="33">
        <v>-13</v>
      </c>
      <c r="N24" s="33">
        <v>12</v>
      </c>
      <c r="O24" s="33">
        <v>13</v>
      </c>
      <c r="P24" s="33">
        <v>132</v>
      </c>
      <c r="Q24" s="33">
        <v>20</v>
      </c>
      <c r="R24" s="33">
        <v>174</v>
      </c>
      <c r="S24" s="33">
        <v>-138</v>
      </c>
      <c r="T24" s="33">
        <v>132</v>
      </c>
      <c r="U24" s="33">
        <v>-181</v>
      </c>
      <c r="W24" s="33"/>
      <c r="X24" s="33"/>
      <c r="Y24" s="33"/>
      <c r="Z24" s="33"/>
      <c r="AA24" s="33"/>
      <c r="AB24" s="33"/>
      <c r="AC24" s="33"/>
      <c r="AD24" s="33"/>
      <c r="AE24" s="33"/>
      <c r="AF24" s="33">
        <f t="shared" si="11"/>
        <v>-43</v>
      </c>
      <c r="AG24" s="33">
        <f t="shared" si="12"/>
        <v>175</v>
      </c>
      <c r="AH24" s="33">
        <f t="shared" si="13"/>
        <v>76</v>
      </c>
      <c r="AI24" s="34">
        <f t="shared" si="17"/>
        <v>188</v>
      </c>
      <c r="AJ24" s="33">
        <f>+AJ23*0.056</f>
        <v>631.94607104497538</v>
      </c>
      <c r="AK24" s="33">
        <f t="shared" ref="AK24:AZ24" si="43">+AK23*0.056</f>
        <v>711.24705256999243</v>
      </c>
      <c r="AL24" s="33">
        <f t="shared" si="43"/>
        <v>800.68934514514285</v>
      </c>
      <c r="AM24" s="33">
        <f t="shared" si="43"/>
        <v>870.71803787384704</v>
      </c>
      <c r="AN24" s="33">
        <f t="shared" si="43"/>
        <v>947.02897946479084</v>
      </c>
      <c r="AO24" s="33">
        <f t="shared" si="43"/>
        <v>1030.187368980743</v>
      </c>
      <c r="AP24" s="33">
        <f t="shared" si="43"/>
        <v>1120.8092713667718</v>
      </c>
      <c r="AQ24" s="33">
        <f t="shared" si="43"/>
        <v>1219.5661953593208</v>
      </c>
      <c r="AR24" s="33">
        <f t="shared" si="43"/>
        <v>1255.6189138364091</v>
      </c>
      <c r="AS24" s="33">
        <f t="shared" si="43"/>
        <v>1182.170414207573</v>
      </c>
      <c r="AT24" s="33">
        <f t="shared" si="43"/>
        <v>1113.147710908481</v>
      </c>
      <c r="AU24" s="33">
        <f t="shared" si="43"/>
        <v>1048.2854450228676</v>
      </c>
      <c r="AV24" s="33">
        <f t="shared" si="43"/>
        <v>987.33418105808039</v>
      </c>
      <c r="AW24" s="33">
        <f t="shared" si="43"/>
        <v>930.05945155854602</v>
      </c>
      <c r="AX24" s="33">
        <f t="shared" si="43"/>
        <v>876.24085904262324</v>
      </c>
      <c r="AY24" s="33">
        <f t="shared" si="43"/>
        <v>825.67123182343187</v>
      </c>
      <c r="AZ24" s="33">
        <f t="shared" si="43"/>
        <v>778.15583048062581</v>
      </c>
    </row>
    <row r="25" spans="2:136" s="32" customFormat="1" ht="15" x14ac:dyDescent="0.25">
      <c r="B25" s="32" t="s">
        <v>33</v>
      </c>
      <c r="C25" s="31">
        <f t="shared" ref="C25:D25" si="44">+C23-C24</f>
        <v>655</v>
      </c>
      <c r="D25" s="31">
        <f t="shared" si="44"/>
        <v>1244</v>
      </c>
      <c r="E25" s="31">
        <f t="shared" ref="E25" si="45">+E23-E24</f>
        <v>1101</v>
      </c>
      <c r="F25" s="31">
        <f>+F23-F24</f>
        <v>1230</v>
      </c>
      <c r="G25" s="31">
        <f t="shared" ref="G25" si="46">+G23-G24</f>
        <v>1118</v>
      </c>
      <c r="H25" s="31">
        <f t="shared" ref="H25:I25" si="47">+H23-H24</f>
        <v>394</v>
      </c>
      <c r="I25" s="31">
        <f t="shared" si="47"/>
        <v>552</v>
      </c>
      <c r="J25" s="31">
        <f t="shared" ref="J25:S25" si="48">+J23-J24</f>
        <v>899</v>
      </c>
      <c r="K25" s="31">
        <f t="shared" si="48"/>
        <v>950</v>
      </c>
      <c r="L25" s="31">
        <f t="shared" si="48"/>
        <v>917</v>
      </c>
      <c r="M25" s="31">
        <f t="shared" si="48"/>
        <v>622</v>
      </c>
      <c r="N25" s="31">
        <f t="shared" si="48"/>
        <v>1336</v>
      </c>
      <c r="O25" s="31">
        <f t="shared" si="48"/>
        <v>1457</v>
      </c>
      <c r="P25" s="31">
        <f t="shared" si="48"/>
        <v>1912</v>
      </c>
      <c r="Q25" s="31">
        <f t="shared" si="48"/>
        <v>2374</v>
      </c>
      <c r="R25" s="31">
        <f t="shared" si="48"/>
        <v>2464</v>
      </c>
      <c r="S25" s="31">
        <f t="shared" si="48"/>
        <v>3003</v>
      </c>
      <c r="T25" s="31">
        <f t="shared" ref="T25:U25" si="49">+T23-T24</f>
        <v>3026</v>
      </c>
      <c r="U25" s="31">
        <f t="shared" si="49"/>
        <v>656</v>
      </c>
      <c r="W25" s="31"/>
      <c r="X25" s="31"/>
      <c r="Y25" s="31"/>
      <c r="Z25" s="31"/>
      <c r="AA25" s="31"/>
      <c r="AB25" s="31"/>
      <c r="AC25" s="31"/>
      <c r="AD25" s="31"/>
      <c r="AE25" s="31"/>
      <c r="AF25" s="31">
        <f t="shared" si="11"/>
        <v>4693</v>
      </c>
      <c r="AG25" s="31">
        <f t="shared" si="12"/>
        <v>2795</v>
      </c>
      <c r="AH25" s="31">
        <f t="shared" si="13"/>
        <v>4332</v>
      </c>
      <c r="AI25" s="31">
        <f t="shared" si="17"/>
        <v>9753</v>
      </c>
      <c r="AJ25" s="31">
        <f>+AJ23-AJ24</f>
        <v>10652.8051976153</v>
      </c>
      <c r="AK25" s="31">
        <f t="shared" ref="AK25:AZ25" si="50">+AK23-AK24</f>
        <v>11989.593171894159</v>
      </c>
      <c r="AL25" s="31">
        <f t="shared" si="50"/>
        <v>13497.334675303837</v>
      </c>
      <c r="AM25" s="31">
        <f t="shared" si="50"/>
        <v>14677.818352730565</v>
      </c>
      <c r="AN25" s="31">
        <f t="shared" si="50"/>
        <v>15964.202796692189</v>
      </c>
      <c r="AO25" s="31">
        <f t="shared" si="50"/>
        <v>17366.015648532524</v>
      </c>
      <c r="AP25" s="31">
        <f t="shared" si="50"/>
        <v>18893.642003039866</v>
      </c>
      <c r="AQ25" s="31">
        <f t="shared" si="50"/>
        <v>20558.401578914265</v>
      </c>
      <c r="AR25" s="31">
        <f t="shared" si="50"/>
        <v>21166.147404670894</v>
      </c>
      <c r="AS25" s="31">
        <f t="shared" si="50"/>
        <v>19928.015553784804</v>
      </c>
      <c r="AT25" s="31">
        <f t="shared" si="50"/>
        <v>18764.489983885822</v>
      </c>
      <c r="AU25" s="31">
        <f t="shared" si="50"/>
        <v>17671.097501814056</v>
      </c>
      <c r="AV25" s="31">
        <f t="shared" si="50"/>
        <v>16643.633337836214</v>
      </c>
      <c r="AW25" s="31">
        <f t="shared" si="50"/>
        <v>15678.145040558347</v>
      </c>
      <c r="AX25" s="31">
        <f t="shared" si="50"/>
        <v>14770.917338147077</v>
      </c>
      <c r="AY25" s="31">
        <f t="shared" si="50"/>
        <v>13918.457907880709</v>
      </c>
      <c r="AZ25" s="31">
        <f t="shared" si="50"/>
        <v>13117.483999530548</v>
      </c>
      <c r="BA25" s="31">
        <f>+AZ25*(1+$AD$44)</f>
        <v>12855.134319539937</v>
      </c>
      <c r="BB25" s="31">
        <f t="shared" ref="BB25:DM25" si="51">+BA25*(1+$AD$44)</f>
        <v>12598.031633149138</v>
      </c>
      <c r="BC25" s="31">
        <f t="shared" si="51"/>
        <v>12346.071000486154</v>
      </c>
      <c r="BD25" s="31">
        <f t="shared" si="51"/>
        <v>12099.149580476431</v>
      </c>
      <c r="BE25" s="31">
        <f t="shared" si="51"/>
        <v>11857.166588866901</v>
      </c>
      <c r="BF25" s="31">
        <f t="shared" si="51"/>
        <v>11620.023257089562</v>
      </c>
      <c r="BG25" s="31">
        <f t="shared" si="51"/>
        <v>11387.622791947771</v>
      </c>
      <c r="BH25" s="31">
        <f t="shared" si="51"/>
        <v>11159.870336108816</v>
      </c>
      <c r="BI25" s="31">
        <f t="shared" si="51"/>
        <v>10936.672929386639</v>
      </c>
      <c r="BJ25" s="31">
        <f t="shared" si="51"/>
        <v>10717.939470798907</v>
      </c>
      <c r="BK25" s="31">
        <f t="shared" si="51"/>
        <v>10503.580681382928</v>
      </c>
      <c r="BL25" s="31">
        <f t="shared" si="51"/>
        <v>10293.509067755269</v>
      </c>
      <c r="BM25" s="31">
        <f t="shared" si="51"/>
        <v>10087.638886400164</v>
      </c>
      <c r="BN25" s="31">
        <f t="shared" si="51"/>
        <v>9885.8861086721608</v>
      </c>
      <c r="BO25" s="31">
        <f t="shared" si="51"/>
        <v>9688.1683864987172</v>
      </c>
      <c r="BP25" s="31">
        <f t="shared" si="51"/>
        <v>9494.4050187687426</v>
      </c>
      <c r="BQ25" s="31">
        <f t="shared" si="51"/>
        <v>9304.5169183933667</v>
      </c>
      <c r="BR25" s="31">
        <f t="shared" si="51"/>
        <v>9118.4265800254998</v>
      </c>
      <c r="BS25" s="31">
        <f t="shared" si="51"/>
        <v>8936.0580484249895</v>
      </c>
      <c r="BT25" s="31">
        <f t="shared" si="51"/>
        <v>8757.3368874564894</v>
      </c>
      <c r="BU25" s="31">
        <f t="shared" si="51"/>
        <v>8582.1901497073595</v>
      </c>
      <c r="BV25" s="31">
        <f t="shared" si="51"/>
        <v>8410.5463467132122</v>
      </c>
      <c r="BW25" s="31">
        <f t="shared" si="51"/>
        <v>8242.3354197789486</v>
      </c>
      <c r="BX25" s="31">
        <f t="shared" si="51"/>
        <v>8077.4887113833693</v>
      </c>
      <c r="BY25" s="31">
        <f t="shared" si="51"/>
        <v>7915.9389371557018</v>
      </c>
      <c r="BZ25" s="31">
        <f t="shared" si="51"/>
        <v>7757.6201584125874</v>
      </c>
      <c r="CA25" s="31">
        <f t="shared" si="51"/>
        <v>7602.4677552443354</v>
      </c>
      <c r="CB25" s="31">
        <f t="shared" si="51"/>
        <v>7450.4184001394487</v>
      </c>
      <c r="CC25" s="31">
        <f t="shared" si="51"/>
        <v>7301.4100321366595</v>
      </c>
      <c r="CD25" s="31">
        <f t="shared" si="51"/>
        <v>7155.3818314939263</v>
      </c>
      <c r="CE25" s="31">
        <f t="shared" si="51"/>
        <v>7012.2741948640478</v>
      </c>
      <c r="CF25" s="31">
        <f t="shared" si="51"/>
        <v>6872.028710966767</v>
      </c>
      <c r="CG25" s="31">
        <f t="shared" si="51"/>
        <v>6734.5881367474312</v>
      </c>
      <c r="CH25" s="31">
        <f t="shared" si="51"/>
        <v>6599.8963740124827</v>
      </c>
      <c r="CI25" s="31">
        <f t="shared" si="51"/>
        <v>6467.8984465322328</v>
      </c>
      <c r="CJ25" s="31">
        <f t="shared" si="51"/>
        <v>6338.5404776015885</v>
      </c>
      <c r="CK25" s="31">
        <f t="shared" si="51"/>
        <v>6211.7696680495565</v>
      </c>
      <c r="CL25" s="31">
        <f t="shared" si="51"/>
        <v>6087.5342746885653</v>
      </c>
      <c r="CM25" s="31">
        <f t="shared" si="51"/>
        <v>5965.7835891947943</v>
      </c>
      <c r="CN25" s="31">
        <f t="shared" si="51"/>
        <v>5846.4679174108987</v>
      </c>
      <c r="CO25" s="31">
        <f t="shared" si="51"/>
        <v>5729.5385590626811</v>
      </c>
      <c r="CP25" s="31">
        <f t="shared" si="51"/>
        <v>5614.9477878814278</v>
      </c>
      <c r="CQ25" s="31">
        <f t="shared" si="51"/>
        <v>5502.6488321237994</v>
      </c>
      <c r="CR25" s="31">
        <f t="shared" si="51"/>
        <v>5392.5958554813233</v>
      </c>
      <c r="CS25" s="31">
        <f t="shared" si="51"/>
        <v>5284.7439383716965</v>
      </c>
      <c r="CT25" s="31">
        <f t="shared" si="51"/>
        <v>5179.0490596042628</v>
      </c>
      <c r="CU25" s="31">
        <f t="shared" si="51"/>
        <v>5075.4680784121774</v>
      </c>
      <c r="CV25" s="31">
        <f t="shared" si="51"/>
        <v>4973.9587168439339</v>
      </c>
      <c r="CW25" s="31">
        <f t="shared" si="51"/>
        <v>4874.4795425070552</v>
      </c>
      <c r="CX25" s="31">
        <f t="shared" si="51"/>
        <v>4776.9899516569139</v>
      </c>
      <c r="CY25" s="31">
        <f t="shared" si="51"/>
        <v>4681.4501526237755</v>
      </c>
      <c r="CZ25" s="31">
        <f t="shared" si="51"/>
        <v>4587.8211495712994</v>
      </c>
      <c r="DA25" s="31">
        <f t="shared" si="51"/>
        <v>4496.0647265798734</v>
      </c>
      <c r="DB25" s="31">
        <f t="shared" si="51"/>
        <v>4406.1434320482758</v>
      </c>
      <c r="DC25" s="31">
        <f t="shared" si="51"/>
        <v>4318.02056340731</v>
      </c>
      <c r="DD25" s="31">
        <f t="shared" si="51"/>
        <v>4231.660152139164</v>
      </c>
      <c r="DE25" s="31">
        <f t="shared" si="51"/>
        <v>4147.026949096381</v>
      </c>
      <c r="DF25" s="31">
        <f t="shared" si="51"/>
        <v>4064.0864101144534</v>
      </c>
      <c r="DG25" s="31">
        <f t="shared" si="51"/>
        <v>3982.8046819121641</v>
      </c>
      <c r="DH25" s="31">
        <f t="shared" si="51"/>
        <v>3903.1485882739207</v>
      </c>
      <c r="DI25" s="31">
        <f t="shared" si="51"/>
        <v>3825.0856165084424</v>
      </c>
      <c r="DJ25" s="31">
        <f t="shared" si="51"/>
        <v>3748.5839041782733</v>
      </c>
      <c r="DK25" s="31">
        <f t="shared" si="51"/>
        <v>3673.6122260947077</v>
      </c>
      <c r="DL25" s="31">
        <f t="shared" si="51"/>
        <v>3600.1399815728137</v>
      </c>
      <c r="DM25" s="31">
        <f t="shared" si="51"/>
        <v>3528.1371819413575</v>
      </c>
      <c r="DN25" s="31">
        <f t="shared" ref="DN25:EF25" si="52">+DM25*(1+$AD$44)</f>
        <v>3457.5744383025303</v>
      </c>
      <c r="DO25" s="31">
        <f t="shared" si="52"/>
        <v>3388.4229495364798</v>
      </c>
      <c r="DP25" s="31">
        <f t="shared" si="52"/>
        <v>3320.6544905457499</v>
      </c>
      <c r="DQ25" s="31">
        <f t="shared" si="52"/>
        <v>3254.2414007348348</v>
      </c>
      <c r="DR25" s="31">
        <f t="shared" si="52"/>
        <v>3189.1565727201382</v>
      </c>
      <c r="DS25" s="31">
        <f t="shared" si="52"/>
        <v>3125.3734412657354</v>
      </c>
      <c r="DT25" s="31">
        <f t="shared" si="52"/>
        <v>3062.8659724404206</v>
      </c>
      <c r="DU25" s="31">
        <f t="shared" si="52"/>
        <v>3001.608652991612</v>
      </c>
      <c r="DV25" s="31">
        <f t="shared" si="52"/>
        <v>2941.5764799317799</v>
      </c>
      <c r="DW25" s="31">
        <f t="shared" si="52"/>
        <v>2882.7449503331441</v>
      </c>
      <c r="DX25" s="31">
        <f t="shared" si="52"/>
        <v>2825.090051326481</v>
      </c>
      <c r="DY25" s="31">
        <f t="shared" si="52"/>
        <v>2768.5882502999511</v>
      </c>
      <c r="DZ25" s="31">
        <f t="shared" si="52"/>
        <v>2713.2164852939522</v>
      </c>
      <c r="EA25" s="31">
        <f t="shared" si="52"/>
        <v>2658.9521555880733</v>
      </c>
      <c r="EB25" s="31">
        <f t="shared" si="52"/>
        <v>2605.7731124763118</v>
      </c>
      <c r="EC25" s="31">
        <f t="shared" si="52"/>
        <v>2553.6576502267853</v>
      </c>
      <c r="ED25" s="31">
        <f t="shared" si="52"/>
        <v>2502.5844972222494</v>
      </c>
      <c r="EE25" s="31">
        <f t="shared" si="52"/>
        <v>2452.5328072778043</v>
      </c>
      <c r="EF25" s="31">
        <f t="shared" si="52"/>
        <v>2403.482151132248</v>
      </c>
    </row>
    <row r="26" spans="2:136" x14ac:dyDescent="0.2">
      <c r="B26" s="22" t="s">
        <v>106</v>
      </c>
      <c r="C26" s="33">
        <v>660</v>
      </c>
      <c r="D26" s="33">
        <v>6273</v>
      </c>
      <c r="E26" s="33">
        <v>626</v>
      </c>
      <c r="F26" s="33">
        <v>625</v>
      </c>
      <c r="G26" s="33">
        <v>628</v>
      </c>
      <c r="H26" s="33">
        <v>616</v>
      </c>
      <c r="I26" s="33">
        <v>616</v>
      </c>
      <c r="J26" s="33">
        <v>618</v>
      </c>
      <c r="K26" s="33">
        <v>622</v>
      </c>
      <c r="L26" s="33">
        <v>622</v>
      </c>
      <c r="M26" s="33">
        <v>626</v>
      </c>
      <c r="N26" s="33">
        <v>2520</v>
      </c>
      <c r="O26" s="33">
        <v>631</v>
      </c>
      <c r="P26" s="33">
        <v>632</v>
      </c>
      <c r="Q26" s="33">
        <v>626</v>
      </c>
      <c r="R26" s="33">
        <v>2538</v>
      </c>
      <c r="S26" s="33">
        <v>2545</v>
      </c>
      <c r="T26" s="33">
        <v>2537</v>
      </c>
      <c r="U26" s="33">
        <v>2516</v>
      </c>
      <c r="W26" s="33"/>
      <c r="X26" s="33"/>
      <c r="Y26" s="33"/>
      <c r="Z26" s="33"/>
      <c r="AA26" s="33"/>
      <c r="AB26" s="33"/>
      <c r="AC26" s="33"/>
      <c r="AF26" s="33">
        <f>+AVERAGE(D26:G26)</f>
        <v>2038</v>
      </c>
      <c r="AG26" s="33">
        <f>+AVERAGE(E26:H26)</f>
        <v>623.75</v>
      </c>
      <c r="AH26" s="33">
        <f>+AVERAGE(F26:I26)</f>
        <v>621.25</v>
      </c>
      <c r="AI26" s="33">
        <f>+AVERAGE(P26:S26)</f>
        <v>1585.25</v>
      </c>
      <c r="AJ26" s="33">
        <f>+AI26</f>
        <v>1585.25</v>
      </c>
      <c r="AK26" s="33">
        <f t="shared" ref="AK26:AZ26" si="53">+AJ26</f>
        <v>1585.25</v>
      </c>
      <c r="AL26" s="33">
        <f t="shared" si="53"/>
        <v>1585.25</v>
      </c>
      <c r="AM26" s="33">
        <f t="shared" si="53"/>
        <v>1585.25</v>
      </c>
      <c r="AN26" s="33">
        <f t="shared" si="53"/>
        <v>1585.25</v>
      </c>
      <c r="AO26" s="33">
        <f t="shared" si="53"/>
        <v>1585.25</v>
      </c>
      <c r="AP26" s="33">
        <f t="shared" si="53"/>
        <v>1585.25</v>
      </c>
      <c r="AQ26" s="33">
        <f t="shared" si="53"/>
        <v>1585.25</v>
      </c>
      <c r="AR26" s="33">
        <f t="shared" si="53"/>
        <v>1585.25</v>
      </c>
      <c r="AS26" s="33">
        <f t="shared" si="53"/>
        <v>1585.25</v>
      </c>
      <c r="AT26" s="33">
        <f t="shared" si="53"/>
        <v>1585.25</v>
      </c>
      <c r="AU26" s="33">
        <f t="shared" si="53"/>
        <v>1585.25</v>
      </c>
      <c r="AV26" s="33">
        <f t="shared" si="53"/>
        <v>1585.25</v>
      </c>
      <c r="AW26" s="33">
        <f t="shared" si="53"/>
        <v>1585.25</v>
      </c>
      <c r="AX26" s="33">
        <f t="shared" si="53"/>
        <v>1585.25</v>
      </c>
      <c r="AY26" s="33">
        <f t="shared" si="53"/>
        <v>1585.25</v>
      </c>
      <c r="AZ26" s="33">
        <f t="shared" si="53"/>
        <v>1585.25</v>
      </c>
    </row>
    <row r="27" spans="2:136" x14ac:dyDescent="0.2">
      <c r="B27" s="22" t="s">
        <v>34</v>
      </c>
      <c r="C27" s="38">
        <f t="shared" ref="C27:D27" si="54">+C25/C26</f>
        <v>0.99242424242424243</v>
      </c>
      <c r="D27" s="38">
        <f t="shared" si="54"/>
        <v>0.19831021839630161</v>
      </c>
      <c r="E27" s="38">
        <f t="shared" ref="E27" si="55">+E25/E26</f>
        <v>1.7587859424920127</v>
      </c>
      <c r="F27" s="38">
        <f>+F25/F26</f>
        <v>1.968</v>
      </c>
      <c r="G27" s="38">
        <f t="shared" ref="G27" si="56">+G25/G26</f>
        <v>1.7802547770700636</v>
      </c>
      <c r="H27" s="38">
        <f t="shared" ref="H27:I27" si="57">+H25/H26</f>
        <v>0.63961038961038963</v>
      </c>
      <c r="I27" s="38">
        <f t="shared" si="57"/>
        <v>0.89610389610389607</v>
      </c>
      <c r="J27" s="38">
        <f t="shared" ref="J27:S27" si="58">+J25/J26</f>
        <v>1.4546925566343043</v>
      </c>
      <c r="K27" s="38">
        <f t="shared" si="58"/>
        <v>1.527331189710611</v>
      </c>
      <c r="L27" s="38">
        <f t="shared" si="58"/>
        <v>1.4742765273311897</v>
      </c>
      <c r="M27" s="38">
        <f t="shared" si="58"/>
        <v>0.99361022364217255</v>
      </c>
      <c r="N27" s="38">
        <f t="shared" si="58"/>
        <v>0.53015873015873016</v>
      </c>
      <c r="O27" s="38">
        <f t="shared" si="58"/>
        <v>2.3090332805071316</v>
      </c>
      <c r="P27" s="38">
        <f t="shared" si="58"/>
        <v>3.0253164556962027</v>
      </c>
      <c r="Q27" s="38">
        <f t="shared" si="58"/>
        <v>3.7923322683706071</v>
      </c>
      <c r="R27" s="38">
        <f t="shared" si="58"/>
        <v>0.97084318360914101</v>
      </c>
      <c r="S27" s="38">
        <f t="shared" si="58"/>
        <v>1.1799607072691551</v>
      </c>
      <c r="T27" s="38">
        <f t="shared" ref="T27:U27" si="59">+T25/T26</f>
        <v>1.1927473393772172</v>
      </c>
      <c r="U27" s="38">
        <f>+U25/U26</f>
        <v>0.26073131955484896</v>
      </c>
      <c r="W27" s="38"/>
      <c r="X27" s="38"/>
      <c r="Y27" s="38"/>
      <c r="Z27" s="38"/>
      <c r="AA27" s="38"/>
      <c r="AB27" s="38"/>
      <c r="AC27" s="38"/>
      <c r="AF27" s="39">
        <f>+AF25/AF26</f>
        <v>2.3027477919528949</v>
      </c>
      <c r="AG27" s="39">
        <f>+AG25/AG26</f>
        <v>4.480961923847695</v>
      </c>
      <c r="AH27" s="39">
        <f>+AH25/AH26</f>
        <v>6.9730382293762574</v>
      </c>
      <c r="AI27" s="39">
        <f>+AI25/AI26</f>
        <v>6.1523419019082164</v>
      </c>
      <c r="AJ27" s="39">
        <f>+AJ25/AJ26</f>
        <v>6.7199528135090993</v>
      </c>
      <c r="AK27" s="39">
        <f t="shared" ref="AK27:AZ27" si="60">+AK25/AK26</f>
        <v>7.5632191590564011</v>
      </c>
      <c r="AL27" s="39">
        <f t="shared" si="60"/>
        <v>8.514325611294014</v>
      </c>
      <c r="AM27" s="39">
        <f t="shared" si="60"/>
        <v>9.258992810427733</v>
      </c>
      <c r="AN27" s="39">
        <f t="shared" si="60"/>
        <v>10.070463836424658</v>
      </c>
      <c r="AO27" s="39">
        <f t="shared" si="60"/>
        <v>10.954748871491894</v>
      </c>
      <c r="AP27" s="39">
        <f t="shared" si="60"/>
        <v>11.918398992613067</v>
      </c>
      <c r="AQ27" s="39">
        <f t="shared" si="60"/>
        <v>12.968554851862018</v>
      </c>
      <c r="AR27" s="39">
        <f t="shared" si="60"/>
        <v>13.351930234771105</v>
      </c>
      <c r="AS27" s="39">
        <f t="shared" si="60"/>
        <v>12.57089768414118</v>
      </c>
      <c r="AT27" s="39">
        <f t="shared" si="60"/>
        <v>11.836927919183612</v>
      </c>
      <c r="AU27" s="39">
        <f t="shared" si="60"/>
        <v>11.147199181084407</v>
      </c>
      <c r="AV27" s="39">
        <f t="shared" si="60"/>
        <v>10.499059036641674</v>
      </c>
      <c r="AW27" s="39">
        <f t="shared" si="60"/>
        <v>9.8900142189297249</v>
      </c>
      <c r="AX27" s="39">
        <f t="shared" si="60"/>
        <v>9.3177210775253609</v>
      </c>
      <c r="AY27" s="39">
        <f t="shared" si="60"/>
        <v>8.7799766017225735</v>
      </c>
      <c r="AZ27" s="39">
        <f t="shared" si="60"/>
        <v>8.2747099823564412</v>
      </c>
    </row>
    <row r="30" spans="2:136" s="54" customFormat="1" x14ac:dyDescent="0.2">
      <c r="B30" s="54" t="s">
        <v>35</v>
      </c>
      <c r="C30" s="55">
        <f t="shared" ref="C30" si="61">+C17/C15</f>
        <v>0.59963184537505754</v>
      </c>
      <c r="D30" s="55">
        <f t="shared" ref="D30:E30" si="62">+D17/D15</f>
        <v>0.6448394137823511</v>
      </c>
      <c r="E30" s="55">
        <f t="shared" si="62"/>
        <v>0.63240473903298111</v>
      </c>
      <c r="F30" s="55">
        <f t="shared" ref="F30:G30" si="63">+F17/F15</f>
        <v>0.60389814523734675</v>
      </c>
      <c r="G30" s="55">
        <f t="shared" si="63"/>
        <v>0.61868773617313633</v>
      </c>
      <c r="H30" s="55">
        <f t="shared" ref="H30" si="64">+H17/H15</f>
        <v>0.58378378378378382</v>
      </c>
      <c r="I30" s="55">
        <f t="shared" ref="I30:J30" si="65">+I17/I15</f>
        <v>0.59751841799146954</v>
      </c>
      <c r="J30" s="55">
        <f t="shared" si="65"/>
        <v>0.63570006635700071</v>
      </c>
      <c r="K30" s="55">
        <f t="shared" ref="K30:L30" si="66">+K17/K15</f>
        <v>0.64895330112721417</v>
      </c>
      <c r="L30" s="55">
        <f t="shared" si="66"/>
        <v>0.6506493506493507</v>
      </c>
      <c r="M30" s="55">
        <f t="shared" ref="M30:S30" si="67">+M17/M15</f>
        <v>0.58846352819451631</v>
      </c>
      <c r="N30" s="55">
        <f t="shared" si="67"/>
        <v>0.62632247143461706</v>
      </c>
      <c r="O30" s="55">
        <f t="shared" si="67"/>
        <v>0.6310213871676994</v>
      </c>
      <c r="P30" s="55">
        <f t="shared" si="67"/>
        <v>0.6410528175234057</v>
      </c>
      <c r="Q30" s="55">
        <f t="shared" si="67"/>
        <v>0.64776394651913327</v>
      </c>
      <c r="R30" s="55">
        <f t="shared" si="67"/>
        <v>0.65197803744896521</v>
      </c>
      <c r="S30" s="55">
        <f t="shared" si="67"/>
        <v>0.65406254088708626</v>
      </c>
      <c r="T30" s="55">
        <f t="shared" ref="T30:U30" si="68">+T17/T15</f>
        <v>0.65528474903474898</v>
      </c>
      <c r="U30" s="55">
        <f t="shared" si="68"/>
        <v>0.43481503579952269</v>
      </c>
      <c r="W30" s="55"/>
      <c r="X30" s="55"/>
      <c r="Y30" s="55"/>
      <c r="Z30" s="55"/>
      <c r="AA30" s="55"/>
      <c r="AB30" s="55"/>
      <c r="AC30" s="55"/>
      <c r="AF30" s="55">
        <f t="shared" ref="AF30:AH30" si="69">+AF17/AF15</f>
        <v>0.62510062791820964</v>
      </c>
      <c r="AG30" s="55">
        <f t="shared" si="69"/>
        <v>0.61989375343469499</v>
      </c>
      <c r="AH30" s="55">
        <f t="shared" si="69"/>
        <v>0.62344827586206897</v>
      </c>
      <c r="AI30" s="55">
        <f t="shared" ref="AI30:AK30" si="70">+AI17/AI15</f>
        <v>0.64925317678531624</v>
      </c>
      <c r="AJ30" s="55">
        <f t="shared" si="70"/>
        <v>0.65</v>
      </c>
      <c r="AK30" s="55">
        <f t="shared" si="70"/>
        <v>0.65</v>
      </c>
      <c r="AL30" s="55">
        <f t="shared" ref="AL30:AZ30" si="71">+AL17/AL15</f>
        <v>0.65</v>
      </c>
      <c r="AM30" s="55">
        <f t="shared" si="71"/>
        <v>0.65</v>
      </c>
      <c r="AN30" s="55">
        <f t="shared" si="71"/>
        <v>0.65</v>
      </c>
      <c r="AO30" s="55">
        <f t="shared" si="71"/>
        <v>0.65</v>
      </c>
      <c r="AP30" s="55">
        <f t="shared" si="71"/>
        <v>0.65</v>
      </c>
      <c r="AQ30" s="55">
        <f t="shared" si="71"/>
        <v>0.65</v>
      </c>
      <c r="AR30" s="55">
        <f t="shared" si="71"/>
        <v>0.65</v>
      </c>
      <c r="AS30" s="55">
        <f t="shared" si="71"/>
        <v>0.65</v>
      </c>
      <c r="AT30" s="55">
        <f t="shared" si="71"/>
        <v>0.64999999999999991</v>
      </c>
      <c r="AU30" s="55">
        <f t="shared" si="71"/>
        <v>0.65</v>
      </c>
      <c r="AV30" s="55">
        <f t="shared" si="71"/>
        <v>0.65</v>
      </c>
      <c r="AW30" s="55">
        <f t="shared" si="71"/>
        <v>0.65</v>
      </c>
      <c r="AX30" s="55">
        <f t="shared" si="71"/>
        <v>0.65</v>
      </c>
      <c r="AY30" s="55">
        <f t="shared" si="71"/>
        <v>0.65</v>
      </c>
      <c r="AZ30" s="55">
        <f t="shared" si="71"/>
        <v>0.65</v>
      </c>
    </row>
    <row r="31" spans="2:136" s="54" customFormat="1" x14ac:dyDescent="0.2">
      <c r="B31" s="54" t="s">
        <v>88</v>
      </c>
      <c r="C31" s="55">
        <f t="shared" ref="C31" si="72">+C21/C15</f>
        <v>0.33732167510354349</v>
      </c>
      <c r="D31" s="55">
        <f t="shared" ref="D31:E31" si="73">+D21/D15</f>
        <v>0.40380417835983784</v>
      </c>
      <c r="E31" s="55">
        <f t="shared" si="73"/>
        <v>0.37047710534742234</v>
      </c>
      <c r="F31" s="55">
        <f t="shared" ref="F31:G31" si="74">+F21/F15</f>
        <v>0.33259981138006917</v>
      </c>
      <c r="G31" s="55">
        <f t="shared" si="74"/>
        <v>0.36860185503263482</v>
      </c>
      <c r="H31" s="55">
        <f t="shared" ref="H31:I31" si="75">+H21/H15</f>
        <v>0.16126126126126125</v>
      </c>
      <c r="I31" s="55">
        <f t="shared" si="75"/>
        <v>0.22140364482357502</v>
      </c>
      <c r="J31" s="55">
        <f t="shared" ref="J31:Q31" si="76">+J21/J15</f>
        <v>0.30756469807564696</v>
      </c>
      <c r="K31" s="55">
        <f t="shared" si="76"/>
        <v>0.3188405797101449</v>
      </c>
      <c r="L31" s="55">
        <f t="shared" si="76"/>
        <v>0.31688311688311688</v>
      </c>
      <c r="M31" s="55">
        <f t="shared" si="76"/>
        <v>0.16839110191412313</v>
      </c>
      <c r="N31" s="55">
        <f t="shared" si="76"/>
        <v>0.29581041049513329</v>
      </c>
      <c r="O31" s="55">
        <f t="shared" si="76"/>
        <v>0.30121926843893665</v>
      </c>
      <c r="P31" s="55">
        <f t="shared" si="76"/>
        <v>0.34552199258081612</v>
      </c>
      <c r="Q31" s="55">
        <f t="shared" si="76"/>
        <v>0.37559551252497309</v>
      </c>
      <c r="R31" s="55">
        <f>+R21/R15</f>
        <v>0.37603829367872732</v>
      </c>
      <c r="S31" s="55">
        <f>+S21/S15</f>
        <v>0.38859086746042132</v>
      </c>
      <c r="T31" s="55">
        <f>+T21/T15</f>
        <v>0.38863416988416988</v>
      </c>
      <c r="U31" s="55">
        <f>+U21/U15</f>
        <v>7.4433174224343673E-2</v>
      </c>
      <c r="W31" s="55"/>
      <c r="X31" s="55"/>
      <c r="Y31" s="55"/>
      <c r="Z31" s="55"/>
      <c r="AA31" s="55"/>
      <c r="AB31" s="55"/>
      <c r="AC31" s="55"/>
      <c r="AF31" s="55">
        <f t="shared" ref="AF31:AH31" si="77">+AF21/AF15</f>
        <v>0.36894219932378036</v>
      </c>
      <c r="AG31" s="55">
        <f t="shared" si="77"/>
        <v>0.2606704524638212</v>
      </c>
      <c r="AH31" s="55">
        <f t="shared" si="77"/>
        <v>0.27178410794602698</v>
      </c>
      <c r="AI31" s="55">
        <f t="shared" ref="AI31:AK31" si="78">+AI21/AI15</f>
        <v>0.37307720888756779</v>
      </c>
      <c r="AJ31" s="55">
        <f t="shared" si="78"/>
        <v>0.38</v>
      </c>
      <c r="AK31" s="55">
        <f t="shared" si="78"/>
        <v>0.38</v>
      </c>
      <c r="AL31" s="55">
        <f t="shared" ref="AL31:AZ31" si="79">+AL21/AL15</f>
        <v>0.38</v>
      </c>
      <c r="AM31" s="55">
        <f t="shared" si="79"/>
        <v>0.38</v>
      </c>
      <c r="AN31" s="55">
        <f t="shared" si="79"/>
        <v>0.38</v>
      </c>
      <c r="AO31" s="55">
        <f t="shared" si="79"/>
        <v>0.38000000000000006</v>
      </c>
      <c r="AP31" s="55">
        <f t="shared" si="79"/>
        <v>0.38</v>
      </c>
      <c r="AQ31" s="55">
        <f t="shared" si="79"/>
        <v>0.38</v>
      </c>
      <c r="AR31" s="55">
        <f t="shared" si="79"/>
        <v>0.38</v>
      </c>
      <c r="AS31" s="55">
        <f t="shared" si="79"/>
        <v>0.38</v>
      </c>
      <c r="AT31" s="55">
        <f t="shared" si="79"/>
        <v>0.38</v>
      </c>
      <c r="AU31" s="55">
        <f t="shared" si="79"/>
        <v>0.38</v>
      </c>
      <c r="AV31" s="55">
        <f t="shared" si="79"/>
        <v>0.38</v>
      </c>
      <c r="AW31" s="55">
        <f t="shared" si="79"/>
        <v>0.38</v>
      </c>
      <c r="AX31" s="55">
        <f t="shared" si="79"/>
        <v>0.38</v>
      </c>
      <c r="AY31" s="55">
        <f t="shared" si="79"/>
        <v>0.38</v>
      </c>
      <c r="AZ31" s="55">
        <f t="shared" si="79"/>
        <v>0.38</v>
      </c>
    </row>
    <row r="32" spans="2:136" s="54" customFormat="1" x14ac:dyDescent="0.2">
      <c r="B32" s="54" t="s">
        <v>52</v>
      </c>
      <c r="C32" s="55">
        <f t="shared" ref="C32" si="80">+C24/C23</f>
        <v>9.7796143250688708E-2</v>
      </c>
      <c r="D32" s="55">
        <f t="shared" ref="D32:E32" si="81">+D24/D23</f>
        <v>5.1106025934401222E-2</v>
      </c>
      <c r="E32" s="55">
        <f t="shared" si="81"/>
        <v>6.6949152542372881E-2</v>
      </c>
      <c r="F32" s="55">
        <f t="shared" ref="F32:G32" si="82">+F24/F23</f>
        <v>-0.13783533765032377</v>
      </c>
      <c r="G32" s="55">
        <f t="shared" si="82"/>
        <v>-3.7105751391465679E-2</v>
      </c>
      <c r="H32" s="55">
        <f t="shared" ref="H32:I32" si="83">+H24/H23</f>
        <v>-1.2853470437017995E-2</v>
      </c>
      <c r="I32" s="55">
        <f t="shared" si="83"/>
        <v>8.9108910891089105E-2</v>
      </c>
      <c r="J32" s="55">
        <f t="shared" ref="J32:R32" si="84">+J24/J23</f>
        <v>6.2565172054223156E-2</v>
      </c>
      <c r="K32" s="55">
        <f t="shared" si="84"/>
        <v>6.4960629921259838E-2</v>
      </c>
      <c r="L32" s="55">
        <f t="shared" si="84"/>
        <v>6.5239551478083593E-2</v>
      </c>
      <c r="M32" s="55">
        <f t="shared" si="84"/>
        <v>-2.1346469622331693E-2</v>
      </c>
      <c r="N32" s="55">
        <f t="shared" si="84"/>
        <v>8.9020771513353119E-3</v>
      </c>
      <c r="O32" s="55">
        <f t="shared" si="84"/>
        <v>8.8435374149659872E-3</v>
      </c>
      <c r="P32" s="55">
        <f t="shared" si="84"/>
        <v>6.4579256360078274E-2</v>
      </c>
      <c r="Q32" s="55">
        <f t="shared" si="84"/>
        <v>8.3542188805346695E-3</v>
      </c>
      <c r="R32" s="55">
        <f t="shared" si="84"/>
        <v>6.5959059893858987E-2</v>
      </c>
      <c r="S32" s="55">
        <f>+S24/S23</f>
        <v>-4.8167539267015703E-2</v>
      </c>
      <c r="T32" s="55">
        <f>+T24/T23</f>
        <v>4.179860671310956E-2</v>
      </c>
      <c r="U32" s="55">
        <f>+U24/U23</f>
        <v>-0.38105263157894737</v>
      </c>
      <c r="W32" s="55"/>
      <c r="X32" s="55"/>
      <c r="Y32" s="55"/>
      <c r="Z32" s="55"/>
      <c r="AA32" s="55"/>
      <c r="AB32" s="55"/>
      <c r="AC32" s="55"/>
      <c r="AF32" s="55">
        <f t="shared" ref="AF32:AH32" si="85">+AF24/AF23</f>
        <v>-9.2473118279569888E-3</v>
      </c>
      <c r="AG32" s="55">
        <f t="shared" si="85"/>
        <v>5.8922558922558925E-2</v>
      </c>
      <c r="AH32" s="55">
        <f t="shared" si="85"/>
        <v>1.7241379310344827E-2</v>
      </c>
      <c r="AI32" s="55">
        <f t="shared" ref="AI32:AK32" si="86">+AI24/AI23</f>
        <v>1.8911578312041041E-2</v>
      </c>
      <c r="AJ32" s="55">
        <f t="shared" si="86"/>
        <v>5.6000000000000001E-2</v>
      </c>
      <c r="AK32" s="55">
        <f t="shared" si="86"/>
        <v>5.6000000000000001E-2</v>
      </c>
      <c r="AL32" s="55">
        <f t="shared" ref="AL32:AZ32" si="87">+AL24/AL23</f>
        <v>5.6000000000000001E-2</v>
      </c>
      <c r="AM32" s="55">
        <f t="shared" si="87"/>
        <v>5.6000000000000001E-2</v>
      </c>
      <c r="AN32" s="55">
        <f t="shared" si="87"/>
        <v>5.6000000000000001E-2</v>
      </c>
      <c r="AO32" s="55">
        <f t="shared" si="87"/>
        <v>5.6000000000000001E-2</v>
      </c>
      <c r="AP32" s="55">
        <f t="shared" si="87"/>
        <v>5.6000000000000001E-2</v>
      </c>
      <c r="AQ32" s="55">
        <f t="shared" si="87"/>
        <v>5.6000000000000001E-2</v>
      </c>
      <c r="AR32" s="55">
        <f t="shared" si="87"/>
        <v>5.6000000000000001E-2</v>
      </c>
      <c r="AS32" s="55">
        <f t="shared" si="87"/>
        <v>5.5999999999999994E-2</v>
      </c>
      <c r="AT32" s="55">
        <f t="shared" si="87"/>
        <v>5.6000000000000001E-2</v>
      </c>
      <c r="AU32" s="55">
        <f t="shared" si="87"/>
        <v>5.6000000000000001E-2</v>
      </c>
      <c r="AV32" s="55">
        <f t="shared" si="87"/>
        <v>5.6000000000000001E-2</v>
      </c>
      <c r="AW32" s="55">
        <f t="shared" si="87"/>
        <v>5.6000000000000001E-2</v>
      </c>
      <c r="AX32" s="55">
        <f t="shared" si="87"/>
        <v>5.6000000000000001E-2</v>
      </c>
      <c r="AY32" s="55">
        <f t="shared" si="87"/>
        <v>5.6000000000000001E-2</v>
      </c>
      <c r="AZ32" s="55">
        <f t="shared" si="87"/>
        <v>5.6000000000000001E-2</v>
      </c>
    </row>
    <row r="33" spans="2:52" s="54" customFormat="1" x14ac:dyDescent="0.2">
      <c r="F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</row>
    <row r="34" spans="2:52" s="54" customFormat="1" ht="12" customHeight="1" x14ac:dyDescent="0.2">
      <c r="B34" s="54" t="s">
        <v>36</v>
      </c>
      <c r="G34" s="55">
        <f>+G15/C15-1</f>
        <v>0.33962264150943389</v>
      </c>
      <c r="H34" s="55">
        <f>+H15/D15-1</f>
        <v>-0.3077642656688494</v>
      </c>
      <c r="I34" s="55">
        <f t="shared" ref="I34:N34" si="88">+I15/E15-1</f>
        <v>-0.17419148254883121</v>
      </c>
      <c r="J34" s="55">
        <f t="shared" si="88"/>
        <v>-5.2499214083621459E-2</v>
      </c>
      <c r="K34" s="55">
        <f t="shared" si="88"/>
        <v>6.6643765029199553E-2</v>
      </c>
      <c r="L34" s="55">
        <f t="shared" si="88"/>
        <v>0.38738738738738743</v>
      </c>
      <c r="M34" s="55">
        <f t="shared" si="88"/>
        <v>0.49903063202791786</v>
      </c>
      <c r="N34" s="55">
        <f t="shared" si="88"/>
        <v>0.56801592568015935</v>
      </c>
      <c r="O34" s="55">
        <f t="shared" ref="O34:U34" si="89">+O15/K15-1</f>
        <v>0.61127214170692423</v>
      </c>
      <c r="P34" s="55">
        <f t="shared" si="89"/>
        <v>0.83798701298701306</v>
      </c>
      <c r="Q34" s="55">
        <f t="shared" si="89"/>
        <v>0.68313502327987585</v>
      </c>
      <c r="R34" s="55">
        <f t="shared" si="89"/>
        <v>0.50296233601354201</v>
      </c>
      <c r="S34" s="55">
        <f t="shared" si="89"/>
        <v>0.52768338996602049</v>
      </c>
      <c r="T34" s="55">
        <f t="shared" si="89"/>
        <v>0.46405228758169925</v>
      </c>
      <c r="U34" s="55">
        <f>+U15/Q15-1</f>
        <v>3.0275088366374714E-2</v>
      </c>
      <c r="W34" s="55"/>
      <c r="X34" s="55"/>
      <c r="Y34" s="55"/>
      <c r="Z34" s="55"/>
      <c r="AA34" s="55"/>
      <c r="AB34" s="55"/>
      <c r="AC34" s="55"/>
      <c r="AF34" s="55"/>
      <c r="AG34" s="55">
        <f t="shared" ref="AG34" si="90">+AG15/AF15-1</f>
        <v>-0.12107551118982451</v>
      </c>
      <c r="AH34" s="55">
        <f>+AH15/AG15-1</f>
        <v>0.52729437625938824</v>
      </c>
      <c r="AI34" s="55">
        <f>+AI15/AH15-1</f>
        <v>0.61403298350824587</v>
      </c>
      <c r="AJ34" s="55">
        <f t="shared" ref="AJ34:AK34" si="91">+AJ15/AI15-1</f>
        <v>5.9888802918616868E-2</v>
      </c>
      <c r="AK34" s="55">
        <f t="shared" si="91"/>
        <v>0.13022720012416578</v>
      </c>
      <c r="AL34" s="55">
        <f t="shared" ref="AL34:AZ34" si="92">+AL15/AK15-1</f>
        <v>0.12999999999999989</v>
      </c>
      <c r="AM34" s="55">
        <f t="shared" si="92"/>
        <v>9.000000000000008E-2</v>
      </c>
      <c r="AN34" s="55">
        <f t="shared" si="92"/>
        <v>9.000000000000008E-2</v>
      </c>
      <c r="AO34" s="55">
        <f t="shared" si="92"/>
        <v>9.000000000000008E-2</v>
      </c>
      <c r="AP34" s="55">
        <f t="shared" si="92"/>
        <v>9.000000000000008E-2</v>
      </c>
      <c r="AQ34" s="55">
        <f t="shared" si="92"/>
        <v>9.000000000000008E-2</v>
      </c>
      <c r="AR34" s="55">
        <f t="shared" si="92"/>
        <v>3.0000000000000027E-2</v>
      </c>
      <c r="AS34" s="55">
        <f t="shared" si="92"/>
        <v>-6.0000000000000053E-2</v>
      </c>
      <c r="AT34" s="55">
        <f t="shared" si="92"/>
        <v>-6.0000000000000053E-2</v>
      </c>
      <c r="AU34" s="55">
        <f t="shared" si="92"/>
        <v>-6.0000000000000053E-2</v>
      </c>
      <c r="AV34" s="55">
        <f t="shared" si="92"/>
        <v>-6.0000000000000053E-2</v>
      </c>
      <c r="AW34" s="55">
        <f t="shared" si="92"/>
        <v>-6.0000000000000053E-2</v>
      </c>
      <c r="AX34" s="55">
        <f t="shared" si="92"/>
        <v>-6.0000000000000053E-2</v>
      </c>
      <c r="AY34" s="55">
        <f t="shared" si="92"/>
        <v>-6.0000000000000053E-2</v>
      </c>
      <c r="AZ34" s="55">
        <f t="shared" si="92"/>
        <v>-5.9999999999999942E-2</v>
      </c>
    </row>
    <row r="35" spans="2:52" s="54" customFormat="1" ht="11.25" customHeight="1" x14ac:dyDescent="0.2"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W35" s="55"/>
      <c r="X35" s="55"/>
      <c r="Y35" s="55"/>
      <c r="Z35" s="55"/>
      <c r="AA35" s="55"/>
      <c r="AB35" s="55"/>
      <c r="AC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</row>
    <row r="36" spans="2:52" s="54" customFormat="1" x14ac:dyDescent="0.2">
      <c r="B36" s="54" t="s">
        <v>53</v>
      </c>
      <c r="H36" s="55">
        <f t="shared" ref="H36:U37" si="93">+H18/D18-1</f>
        <v>0.24354243542435428</v>
      </c>
      <c r="I36" s="55">
        <f t="shared" si="93"/>
        <v>0.2117039586919105</v>
      </c>
      <c r="J36" s="55">
        <f t="shared" si="93"/>
        <v>0.17685950413223139</v>
      </c>
      <c r="K36" s="55">
        <f t="shared" si="93"/>
        <v>0.45275590551181111</v>
      </c>
      <c r="L36" s="55">
        <f t="shared" si="93"/>
        <v>9.0504451038575739E-2</v>
      </c>
      <c r="M36" s="55">
        <f t="shared" si="93"/>
        <v>0.41619318181818188</v>
      </c>
      <c r="N36" s="55">
        <f t="shared" si="93"/>
        <v>0.47050561797752799</v>
      </c>
      <c r="O36" s="55">
        <f t="shared" si="93"/>
        <v>0.55420054200542013</v>
      </c>
      <c r="P36" s="55">
        <f t="shared" si="93"/>
        <v>0.56870748299319729</v>
      </c>
      <c r="Q36" s="55">
        <f t="shared" si="93"/>
        <v>0.24874623871614854</v>
      </c>
      <c r="R36" s="55">
        <f t="shared" si="93"/>
        <v>0.34001910219675269</v>
      </c>
      <c r="S36" s="55">
        <f t="shared" si="93"/>
        <v>0.27811682650392333</v>
      </c>
      <c r="T36" s="55">
        <f t="shared" si="93"/>
        <v>0.40329575021682573</v>
      </c>
      <c r="U36" s="55">
        <f t="shared" si="93"/>
        <v>0.46506024096385534</v>
      </c>
      <c r="W36" s="55"/>
      <c r="X36" s="55"/>
      <c r="Y36" s="55"/>
      <c r="Z36" s="55"/>
      <c r="AA36" s="55"/>
      <c r="AB36" s="55"/>
      <c r="AC36" s="55"/>
      <c r="AG36" s="55">
        <f t="shared" ref="AG36:AI37" si="94">+AG18/AF18-1</f>
        <v>0.26475849731663681</v>
      </c>
      <c r="AH36" s="55">
        <f t="shared" si="94"/>
        <v>0.38826025459688829</v>
      </c>
      <c r="AI36" s="55">
        <f t="shared" si="94"/>
        <v>0.34156902699949065</v>
      </c>
      <c r="AJ36" s="55"/>
      <c r="AK36" s="55"/>
      <c r="AL36" s="55"/>
      <c r="AM36" s="55"/>
      <c r="AN36" s="55"/>
      <c r="AO36" s="55"/>
      <c r="AP36" s="55"/>
      <c r="AQ36" s="55"/>
      <c r="AR36" s="55"/>
      <c r="AS36" s="55"/>
    </row>
    <row r="37" spans="2:52" s="54" customFormat="1" x14ac:dyDescent="0.2">
      <c r="B37" s="54" t="s">
        <v>93</v>
      </c>
      <c r="H37" s="55">
        <f t="shared" si="93"/>
        <v>0.14285714285714279</v>
      </c>
      <c r="I37" s="55">
        <f t="shared" si="93"/>
        <v>0.1223628691983123</v>
      </c>
      <c r="J37" s="55">
        <f t="shared" si="93"/>
        <v>7.3643410852713087E-2</v>
      </c>
      <c r="K37" s="55">
        <f t="shared" si="93"/>
        <v>0.30454545454545445</v>
      </c>
      <c r="L37" s="55">
        <f t="shared" si="93"/>
        <v>0.10984848484848486</v>
      </c>
      <c r="M37" s="55">
        <f t="shared" si="93"/>
        <v>1.3571428571428572</v>
      </c>
      <c r="N37" s="55">
        <f t="shared" si="93"/>
        <v>0.8592057761732852</v>
      </c>
      <c r="O37" s="55">
        <f t="shared" si="93"/>
        <v>0.7526132404181185</v>
      </c>
      <c r="P37" s="55">
        <f t="shared" si="93"/>
        <v>0.77474402730375425</v>
      </c>
      <c r="Q37" s="55">
        <f t="shared" si="93"/>
        <v>-0.16108452950558216</v>
      </c>
      <c r="R37" s="55">
        <f t="shared" si="93"/>
        <v>8.1553398058252347E-2</v>
      </c>
      <c r="S37" s="55">
        <f t="shared" si="93"/>
        <v>0.11928429423459241</v>
      </c>
      <c r="T37" s="55">
        <f t="shared" si="93"/>
        <v>0.13846153846153841</v>
      </c>
      <c r="U37" s="55">
        <f t="shared" si="93"/>
        <v>0.12547528517110274</v>
      </c>
      <c r="W37" s="55"/>
      <c r="X37" s="55"/>
      <c r="Y37" s="55"/>
      <c r="Z37" s="55"/>
      <c r="AA37" s="55"/>
      <c r="AB37" s="55"/>
      <c r="AC37" s="55"/>
      <c r="AG37" s="55">
        <f t="shared" si="94"/>
        <v>0.15644820295983086</v>
      </c>
      <c r="AH37" s="55">
        <f t="shared" si="94"/>
        <v>0.7714808043875685</v>
      </c>
      <c r="AI37" s="55">
        <f t="shared" si="94"/>
        <v>0.11764705882352944</v>
      </c>
      <c r="AJ37" s="55"/>
      <c r="AK37" s="55"/>
      <c r="AL37" s="55"/>
      <c r="AM37" s="55"/>
      <c r="AN37" s="55"/>
      <c r="AO37" s="55"/>
      <c r="AP37" s="55"/>
      <c r="AQ37" s="55"/>
      <c r="AR37" s="55"/>
      <c r="AS37" s="55"/>
    </row>
    <row r="41" spans="2:52" ht="15" x14ac:dyDescent="0.25">
      <c r="B41" s="32" t="s">
        <v>37</v>
      </c>
      <c r="C41" s="32"/>
      <c r="D41" s="32"/>
      <c r="E41" s="32"/>
      <c r="F41" s="32"/>
      <c r="G41" s="32"/>
      <c r="H41" s="32"/>
      <c r="I41" s="32"/>
      <c r="J41" s="31">
        <f t="shared" ref="J41:U41" si="95">+J42-J57</f>
        <v>7779</v>
      </c>
      <c r="K41" s="31">
        <f t="shared" si="95"/>
        <v>8906</v>
      </c>
      <c r="L41" s="31">
        <f t="shared" si="95"/>
        <v>5814</v>
      </c>
      <c r="M41" s="31">
        <f t="shared" si="95"/>
        <v>6486</v>
      </c>
      <c r="N41" s="31">
        <f t="shared" si="95"/>
        <v>7779</v>
      </c>
      <c r="O41" s="31">
        <f t="shared" si="95"/>
        <v>4598</v>
      </c>
      <c r="P41" s="31">
        <f t="shared" si="95"/>
        <v>5704</v>
      </c>
      <c r="Q41" s="31">
        <f t="shared" si="95"/>
        <v>7711</v>
      </c>
      <c r="R41" s="31">
        <f t="shared" si="95"/>
        <v>8354</v>
      </c>
      <c r="S41" s="31">
        <f t="shared" si="95"/>
        <v>10262</v>
      </c>
      <c r="T41" s="31">
        <f t="shared" si="95"/>
        <v>9391</v>
      </c>
      <c r="U41" s="31">
        <f t="shared" si="95"/>
        <v>7337</v>
      </c>
      <c r="W41" s="31"/>
      <c r="X41" s="31"/>
      <c r="Y41" s="31"/>
      <c r="Z41" s="31"/>
      <c r="AA41" s="31"/>
      <c r="AB41" s="31"/>
      <c r="AC41" s="31"/>
      <c r="AJ41" s="33">
        <f>+U41</f>
        <v>7337</v>
      </c>
    </row>
    <row r="42" spans="2:52" x14ac:dyDescent="0.2">
      <c r="B42" s="22" t="s">
        <v>3</v>
      </c>
      <c r="J42" s="33">
        <f>9765+4</f>
        <v>9769</v>
      </c>
      <c r="K42" s="33">
        <v>10897</v>
      </c>
      <c r="L42" s="33">
        <f>2772+5030</f>
        <v>7802</v>
      </c>
      <c r="M42" s="33">
        <f>7105+1370</f>
        <v>8475</v>
      </c>
      <c r="N42" s="33">
        <f>9765+4</f>
        <v>9769</v>
      </c>
      <c r="O42" s="33">
        <f>847+10714</f>
        <v>11561</v>
      </c>
      <c r="P42" s="33">
        <f>978+11689</f>
        <v>12667</v>
      </c>
      <c r="Q42" s="33">
        <f>5628+14026</f>
        <v>19654</v>
      </c>
      <c r="R42" s="33">
        <f>1288+18010</f>
        <v>19298</v>
      </c>
      <c r="S42" s="33">
        <v>21208</v>
      </c>
      <c r="T42" s="33">
        <f>3887+16451</f>
        <v>20338</v>
      </c>
      <c r="U42" s="33">
        <f>3013+14024</f>
        <v>17037</v>
      </c>
      <c r="AC42" s="40" t="s">
        <v>94</v>
      </c>
      <c r="AD42" s="41">
        <f>+R25/R63</f>
        <v>6.0641858633589292E-2</v>
      </c>
    </row>
    <row r="43" spans="2:52" x14ac:dyDescent="0.2">
      <c r="B43" s="22" t="s">
        <v>38</v>
      </c>
      <c r="J43" s="33">
        <v>1455</v>
      </c>
      <c r="K43" s="33">
        <v>1657</v>
      </c>
      <c r="L43" s="33">
        <v>1242</v>
      </c>
      <c r="M43" s="33">
        <v>1561</v>
      </c>
      <c r="N43" s="33">
        <v>1455</v>
      </c>
      <c r="O43" s="33">
        <v>2429</v>
      </c>
      <c r="P43" s="33">
        <v>3024</v>
      </c>
      <c r="Q43" s="33">
        <v>3586</v>
      </c>
      <c r="R43" s="33">
        <v>3954</v>
      </c>
      <c r="S43" s="33">
        <v>4650</v>
      </c>
      <c r="T43" s="33">
        <v>5438</v>
      </c>
      <c r="U43" s="33">
        <v>5317</v>
      </c>
      <c r="AC43" s="42" t="s">
        <v>95</v>
      </c>
      <c r="AD43" s="43">
        <v>0.05</v>
      </c>
    </row>
    <row r="44" spans="2:52" x14ac:dyDescent="0.2">
      <c r="B44" s="22" t="s">
        <v>39</v>
      </c>
      <c r="J44" s="33">
        <v>1047</v>
      </c>
      <c r="K44" s="33">
        <v>979</v>
      </c>
      <c r="L44" s="33">
        <v>1426</v>
      </c>
      <c r="M44" s="33">
        <v>1204</v>
      </c>
      <c r="N44" s="33">
        <v>1047</v>
      </c>
      <c r="O44" s="33">
        <v>1826</v>
      </c>
      <c r="P44" s="33">
        <v>1992</v>
      </c>
      <c r="Q44" s="33">
        <v>2114</v>
      </c>
      <c r="R44" s="33">
        <v>2233</v>
      </c>
      <c r="S44" s="33">
        <v>2605</v>
      </c>
      <c r="T44" s="33">
        <v>3163</v>
      </c>
      <c r="U44" s="33">
        <v>3889</v>
      </c>
      <c r="AC44" s="42" t="s">
        <v>96</v>
      </c>
      <c r="AD44" s="44">
        <v>-0.02</v>
      </c>
    </row>
    <row r="45" spans="2:52" x14ac:dyDescent="0.2">
      <c r="B45" s="22" t="s">
        <v>40</v>
      </c>
      <c r="J45" s="33">
        <v>149</v>
      </c>
      <c r="K45" s="33">
        <v>157</v>
      </c>
      <c r="L45" s="33">
        <v>159</v>
      </c>
      <c r="M45" s="33">
        <v>151</v>
      </c>
      <c r="N45" s="33">
        <v>149</v>
      </c>
      <c r="O45" s="33">
        <v>239</v>
      </c>
      <c r="P45" s="33">
        <v>444</v>
      </c>
      <c r="Q45" s="33">
        <v>452</v>
      </c>
      <c r="R45" s="33">
        <v>321</v>
      </c>
      <c r="S45" s="33">
        <v>366</v>
      </c>
      <c r="T45" s="33">
        <v>636</v>
      </c>
      <c r="U45" s="33">
        <v>1175</v>
      </c>
      <c r="AC45" s="42" t="s">
        <v>97</v>
      </c>
      <c r="AD45" s="45">
        <f>+NPV(AD43,AJ25:EF25)</f>
        <v>260083.07394561905</v>
      </c>
    </row>
    <row r="46" spans="2:52" x14ac:dyDescent="0.2">
      <c r="B46" s="22" t="s">
        <v>41</v>
      </c>
      <c r="J46" s="33">
        <v>1517</v>
      </c>
      <c r="K46" s="33">
        <v>1674</v>
      </c>
      <c r="L46" s="33">
        <v>1473</v>
      </c>
      <c r="M46" s="33">
        <v>1484</v>
      </c>
      <c r="N46" s="33">
        <v>1517</v>
      </c>
      <c r="O46" s="33">
        <v>2149</v>
      </c>
      <c r="P46" s="33">
        <v>2268</v>
      </c>
      <c r="Q46" s="33">
        <v>2364</v>
      </c>
      <c r="R46" s="33">
        <v>2509</v>
      </c>
      <c r="S46" s="33">
        <v>2778</v>
      </c>
      <c r="T46" s="33">
        <v>2916</v>
      </c>
      <c r="U46" s="33">
        <v>3233</v>
      </c>
      <c r="AC46" s="42" t="s">
        <v>98</v>
      </c>
      <c r="AD46" s="45">
        <f>+U41</f>
        <v>7337</v>
      </c>
    </row>
    <row r="47" spans="2:52" ht="15" x14ac:dyDescent="0.25">
      <c r="B47" s="22" t="s">
        <v>42</v>
      </c>
      <c r="J47" s="33">
        <v>527</v>
      </c>
      <c r="K47" s="33">
        <v>618</v>
      </c>
      <c r="L47" s="33">
        <v>536</v>
      </c>
      <c r="M47" s="33">
        <v>535</v>
      </c>
      <c r="N47" s="33">
        <v>527</v>
      </c>
      <c r="O47" s="33">
        <v>707</v>
      </c>
      <c r="P47" s="33">
        <v>727</v>
      </c>
      <c r="Q47" s="33">
        <v>801</v>
      </c>
      <c r="R47" s="33">
        <v>830</v>
      </c>
      <c r="S47" s="33">
        <v>829</v>
      </c>
      <c r="T47" s="33">
        <v>856</v>
      </c>
      <c r="U47" s="33">
        <v>852</v>
      </c>
      <c r="AC47" s="46" t="s">
        <v>99</v>
      </c>
      <c r="AD47" s="47">
        <f>+(AD45+AD46)/Main!M4</f>
        <v>107.39762005848155</v>
      </c>
    </row>
    <row r="48" spans="2:52" x14ac:dyDescent="0.2">
      <c r="B48" s="22" t="s">
        <v>43</v>
      </c>
      <c r="J48" s="33">
        <f>618+43</f>
        <v>661</v>
      </c>
      <c r="K48" s="33">
        <f>618+49</f>
        <v>667</v>
      </c>
      <c r="L48" s="33">
        <f>618+54</f>
        <v>672</v>
      </c>
      <c r="M48" s="33">
        <f>618+49</f>
        <v>667</v>
      </c>
      <c r="N48" s="33">
        <f>618+43</f>
        <v>661</v>
      </c>
      <c r="O48" s="33">
        <f>4193+2737</f>
        <v>6930</v>
      </c>
      <c r="P48" s="33">
        <f>4193+2613</f>
        <v>6806</v>
      </c>
      <c r="Q48" s="33">
        <f>4193+2478</f>
        <v>6671</v>
      </c>
      <c r="R48" s="33">
        <f>4302+2454</f>
        <v>6756</v>
      </c>
      <c r="S48" s="33">
        <f>4349+2339</f>
        <v>6688</v>
      </c>
      <c r="T48" s="33">
        <f>4365+2211</f>
        <v>6576</v>
      </c>
      <c r="U48" s="33">
        <f>4372+2036</f>
        <v>6408</v>
      </c>
      <c r="AC48" s="42" t="s">
        <v>104</v>
      </c>
      <c r="AD48" s="48">
        <f>+Main!M3</f>
        <v>129.03</v>
      </c>
    </row>
    <row r="49" spans="2:30" x14ac:dyDescent="0.2">
      <c r="B49" s="22" t="s">
        <v>44</v>
      </c>
      <c r="J49" s="33">
        <v>569</v>
      </c>
      <c r="K49" s="33">
        <v>548</v>
      </c>
      <c r="L49" s="33">
        <v>601</v>
      </c>
      <c r="M49" s="33">
        <v>588</v>
      </c>
      <c r="N49" s="33">
        <v>569</v>
      </c>
      <c r="O49" s="33">
        <v>806</v>
      </c>
      <c r="P49" s="33">
        <v>778</v>
      </c>
      <c r="Q49" s="33">
        <v>958</v>
      </c>
      <c r="R49" s="33">
        <v>970</v>
      </c>
      <c r="S49" s="33">
        <v>1222</v>
      </c>
      <c r="T49" s="33">
        <v>1784</v>
      </c>
      <c r="U49" s="33">
        <v>2225</v>
      </c>
      <c r="AC49" s="49" t="s">
        <v>105</v>
      </c>
      <c r="AD49" s="50">
        <f>+AD47/AD48-1</f>
        <v>-0.16765387848964153</v>
      </c>
    </row>
    <row r="50" spans="2:30" x14ac:dyDescent="0.2">
      <c r="B50" s="22" t="s">
        <v>45</v>
      </c>
      <c r="J50" s="33">
        <v>116</v>
      </c>
      <c r="K50" s="33">
        <v>118</v>
      </c>
      <c r="L50" s="33">
        <v>110</v>
      </c>
      <c r="M50" s="33">
        <v>110</v>
      </c>
      <c r="N50" s="33">
        <v>116</v>
      </c>
      <c r="O50" s="33">
        <v>2144</v>
      </c>
      <c r="P50" s="33">
        <v>2090</v>
      </c>
      <c r="Q50" s="33">
        <v>2050</v>
      </c>
      <c r="R50" s="33">
        <v>3761</v>
      </c>
      <c r="S50" s="33">
        <v>3841</v>
      </c>
      <c r="T50" s="22">
        <v>3505</v>
      </c>
      <c r="U50" s="22">
        <v>3340</v>
      </c>
    </row>
    <row r="51" spans="2:30" s="32" customFormat="1" ht="15" x14ac:dyDescent="0.25">
      <c r="B51" s="32" t="s">
        <v>167</v>
      </c>
      <c r="J51" s="31">
        <f>+SUM(J42:J45)</f>
        <v>12420</v>
      </c>
      <c r="K51" s="31">
        <f t="shared" ref="K51:T51" si="96">+SUM(K42:K45)</f>
        <v>13690</v>
      </c>
      <c r="L51" s="31">
        <f t="shared" si="96"/>
        <v>10629</v>
      </c>
      <c r="M51" s="31">
        <f t="shared" si="96"/>
        <v>11391</v>
      </c>
      <c r="N51" s="31">
        <f t="shared" si="96"/>
        <v>12420</v>
      </c>
      <c r="O51" s="31">
        <f t="shared" si="96"/>
        <v>16055</v>
      </c>
      <c r="P51" s="31">
        <f t="shared" si="96"/>
        <v>18127</v>
      </c>
      <c r="Q51" s="31">
        <f t="shared" si="96"/>
        <v>25806</v>
      </c>
      <c r="R51" s="31">
        <f t="shared" si="96"/>
        <v>25806</v>
      </c>
      <c r="S51" s="31">
        <f t="shared" si="96"/>
        <v>28829</v>
      </c>
      <c r="T51" s="31">
        <f t="shared" si="96"/>
        <v>29575</v>
      </c>
      <c r="U51" s="31">
        <f t="shared" ref="U51" si="97">+SUM(U42:U45)</f>
        <v>27418</v>
      </c>
    </row>
    <row r="52" spans="2:30" s="32" customFormat="1" ht="15" x14ac:dyDescent="0.25">
      <c r="B52" s="32" t="s">
        <v>46</v>
      </c>
      <c r="J52" s="31">
        <f t="shared" ref="J52:S52" si="98">+SUM(J42:J50)</f>
        <v>15810</v>
      </c>
      <c r="K52" s="31">
        <f t="shared" si="98"/>
        <v>17315</v>
      </c>
      <c r="L52" s="31">
        <f t="shared" si="98"/>
        <v>14021</v>
      </c>
      <c r="M52" s="31">
        <f t="shared" si="98"/>
        <v>14775</v>
      </c>
      <c r="N52" s="31">
        <f t="shared" si="98"/>
        <v>15810</v>
      </c>
      <c r="O52" s="31">
        <f t="shared" si="98"/>
        <v>28791</v>
      </c>
      <c r="P52" s="31">
        <f t="shared" si="98"/>
        <v>30796</v>
      </c>
      <c r="Q52" s="31">
        <f t="shared" si="98"/>
        <v>38650</v>
      </c>
      <c r="R52" s="31">
        <f t="shared" si="98"/>
        <v>40632</v>
      </c>
      <c r="S52" s="31">
        <f t="shared" si="98"/>
        <v>44187</v>
      </c>
      <c r="T52" s="31">
        <f>+SUM(T42:T50)</f>
        <v>45212</v>
      </c>
      <c r="U52" s="31">
        <f>+SUM(U42:U50)</f>
        <v>43476</v>
      </c>
    </row>
    <row r="53" spans="2:30" x14ac:dyDescent="0.2">
      <c r="L53" s="33"/>
      <c r="M53" s="33"/>
      <c r="N53" s="33"/>
      <c r="S53" s="33"/>
      <c r="T53" s="33"/>
      <c r="U53" s="33"/>
    </row>
    <row r="54" spans="2:30" x14ac:dyDescent="0.2">
      <c r="B54" s="51" t="s">
        <v>172</v>
      </c>
      <c r="U54" s="33">
        <v>1249</v>
      </c>
    </row>
    <row r="55" spans="2:30" x14ac:dyDescent="0.2">
      <c r="B55" s="22" t="s">
        <v>47</v>
      </c>
      <c r="J55" s="33">
        <v>591</v>
      </c>
      <c r="K55" s="33">
        <v>687</v>
      </c>
      <c r="L55" s="33">
        <v>368</v>
      </c>
      <c r="M55" s="33">
        <v>437</v>
      </c>
      <c r="N55" s="33">
        <v>591</v>
      </c>
      <c r="O55" s="33">
        <v>1201</v>
      </c>
      <c r="P55" s="33">
        <v>1218</v>
      </c>
      <c r="Q55" s="33">
        <v>1474</v>
      </c>
      <c r="R55" s="33">
        <v>1664</v>
      </c>
      <c r="S55" s="33">
        <v>1783</v>
      </c>
      <c r="T55" s="33">
        <v>1999</v>
      </c>
      <c r="U55" s="33">
        <v>2421</v>
      </c>
    </row>
    <row r="56" spans="2:30" x14ac:dyDescent="0.2">
      <c r="B56" s="22" t="s">
        <v>48</v>
      </c>
      <c r="J56" s="33">
        <v>884</v>
      </c>
      <c r="K56" s="33">
        <v>1097</v>
      </c>
      <c r="L56" s="33">
        <v>815</v>
      </c>
      <c r="M56" s="33">
        <v>880</v>
      </c>
      <c r="N56" s="33">
        <v>884</v>
      </c>
      <c r="O56" s="33">
        <v>1725</v>
      </c>
      <c r="P56" s="33">
        <v>1787</v>
      </c>
      <c r="Q56" s="33">
        <v>1974</v>
      </c>
      <c r="R56" s="33">
        <v>1948</v>
      </c>
      <c r="S56" s="33">
        <v>2552</v>
      </c>
      <c r="T56" s="33">
        <v>3653</v>
      </c>
      <c r="U56" s="33">
        <v>3903</v>
      </c>
    </row>
    <row r="57" spans="2:30" x14ac:dyDescent="0.2">
      <c r="B57" s="51" t="s">
        <v>171</v>
      </c>
      <c r="J57" s="22">
        <v>1990</v>
      </c>
      <c r="K57" s="33">
        <f>0+1991</f>
        <v>1991</v>
      </c>
      <c r="L57" s="33">
        <v>1988</v>
      </c>
      <c r="M57" s="33">
        <v>1989</v>
      </c>
      <c r="N57" s="33">
        <v>1990</v>
      </c>
      <c r="O57" s="33">
        <f>999+5964</f>
        <v>6963</v>
      </c>
      <c r="P57" s="33">
        <f>999+5964</f>
        <v>6963</v>
      </c>
      <c r="Q57" s="33">
        <f>10943+1000</f>
        <v>11943</v>
      </c>
      <c r="R57" s="33">
        <f>0+10944</f>
        <v>10944</v>
      </c>
      <c r="S57" s="33">
        <v>10946</v>
      </c>
      <c r="T57" s="33">
        <v>10947</v>
      </c>
      <c r="U57" s="33">
        <v>9700</v>
      </c>
    </row>
    <row r="58" spans="2:30" x14ac:dyDescent="0.2">
      <c r="B58" s="22" t="s">
        <v>42</v>
      </c>
      <c r="J58" s="22">
        <v>469</v>
      </c>
      <c r="K58" s="33">
        <v>561</v>
      </c>
      <c r="L58" s="33">
        <v>486</v>
      </c>
      <c r="M58" s="33">
        <v>483</v>
      </c>
      <c r="N58" s="33">
        <v>469</v>
      </c>
      <c r="O58" s="33">
        <v>634</v>
      </c>
      <c r="P58" s="33">
        <v>640</v>
      </c>
      <c r="Q58" s="33">
        <v>716</v>
      </c>
      <c r="R58" s="33">
        <v>743</v>
      </c>
      <c r="S58" s="33">
        <v>741</v>
      </c>
      <c r="T58" s="33">
        <v>752</v>
      </c>
      <c r="U58" s="33">
        <v>743</v>
      </c>
    </row>
    <row r="59" spans="2:30" x14ac:dyDescent="0.2">
      <c r="B59" s="22" t="s">
        <v>49</v>
      </c>
      <c r="J59" s="22">
        <v>662</v>
      </c>
      <c r="K59" s="33">
        <v>775</v>
      </c>
      <c r="L59" s="33">
        <v>660</v>
      </c>
      <c r="M59" s="33">
        <v>650</v>
      </c>
      <c r="N59" s="33">
        <v>662</v>
      </c>
      <c r="O59" s="33">
        <v>1375</v>
      </c>
      <c r="P59" s="33">
        <v>1414</v>
      </c>
      <c r="Q59" s="33">
        <v>1396</v>
      </c>
      <c r="R59" s="33">
        <v>1535</v>
      </c>
      <c r="S59" s="33">
        <v>1553</v>
      </c>
      <c r="T59" s="33">
        <v>1631</v>
      </c>
      <c r="U59" s="33">
        <v>1609</v>
      </c>
    </row>
    <row r="60" spans="2:30" s="32" customFormat="1" ht="15" x14ac:dyDescent="0.25">
      <c r="B60" s="32" t="s">
        <v>166</v>
      </c>
      <c r="J60" s="31">
        <f>+SUM(J55:J56)</f>
        <v>1475</v>
      </c>
      <c r="K60" s="31">
        <f t="shared" ref="K60:T60" si="99">+SUM(K55:K56)</f>
        <v>1784</v>
      </c>
      <c r="L60" s="31">
        <f t="shared" si="99"/>
        <v>1183</v>
      </c>
      <c r="M60" s="31">
        <f t="shared" si="99"/>
        <v>1317</v>
      </c>
      <c r="N60" s="31">
        <f t="shared" si="99"/>
        <v>1475</v>
      </c>
      <c r="O60" s="31">
        <f t="shared" si="99"/>
        <v>2926</v>
      </c>
      <c r="P60" s="31">
        <f t="shared" si="99"/>
        <v>3005</v>
      </c>
      <c r="Q60" s="31">
        <f t="shared" si="99"/>
        <v>3448</v>
      </c>
      <c r="R60" s="31">
        <f t="shared" si="99"/>
        <v>3612</v>
      </c>
      <c r="S60" s="31">
        <f t="shared" si="99"/>
        <v>4335</v>
      </c>
      <c r="T60" s="31">
        <f t="shared" si="99"/>
        <v>5652</v>
      </c>
      <c r="U60" s="31">
        <f>+SUM(U54:U56)</f>
        <v>7573</v>
      </c>
    </row>
    <row r="61" spans="2:30" s="32" customFormat="1" ht="15" x14ac:dyDescent="0.25">
      <c r="B61" s="32" t="s">
        <v>50</v>
      </c>
      <c r="J61" s="31">
        <f t="shared" ref="J61:T61" si="100">+SUM(J55:J59)</f>
        <v>4596</v>
      </c>
      <c r="K61" s="31">
        <f t="shared" si="100"/>
        <v>5111</v>
      </c>
      <c r="L61" s="31">
        <f t="shared" si="100"/>
        <v>4317</v>
      </c>
      <c r="M61" s="31">
        <f t="shared" si="100"/>
        <v>4439</v>
      </c>
      <c r="N61" s="31">
        <f t="shared" si="100"/>
        <v>4596</v>
      </c>
      <c r="O61" s="31">
        <f t="shared" si="100"/>
        <v>11898</v>
      </c>
      <c r="P61" s="31">
        <f t="shared" si="100"/>
        <v>12022</v>
      </c>
      <c r="Q61" s="31">
        <f t="shared" si="100"/>
        <v>17503</v>
      </c>
      <c r="R61" s="31">
        <f t="shared" si="100"/>
        <v>16834</v>
      </c>
      <c r="S61" s="31">
        <f t="shared" si="100"/>
        <v>17575</v>
      </c>
      <c r="T61" s="31">
        <f t="shared" si="100"/>
        <v>18982</v>
      </c>
      <c r="U61" s="31">
        <f>+SUM(U54:U59)</f>
        <v>19625</v>
      </c>
    </row>
    <row r="62" spans="2:30" x14ac:dyDescent="0.2">
      <c r="B62" s="52" t="s">
        <v>142</v>
      </c>
      <c r="J62" s="33">
        <f>+J52-J61</f>
        <v>11214</v>
      </c>
      <c r="K62" s="33">
        <f t="shared" ref="K62:R62" si="101">+K52-K61</f>
        <v>12204</v>
      </c>
      <c r="L62" s="33">
        <f t="shared" si="101"/>
        <v>9704</v>
      </c>
      <c r="M62" s="33">
        <f t="shared" si="101"/>
        <v>10336</v>
      </c>
      <c r="N62" s="33">
        <f t="shared" si="101"/>
        <v>11214</v>
      </c>
      <c r="O62" s="33">
        <f t="shared" si="101"/>
        <v>16893</v>
      </c>
      <c r="P62" s="33">
        <f t="shared" si="101"/>
        <v>18774</v>
      </c>
      <c r="Q62" s="33">
        <f t="shared" si="101"/>
        <v>21147</v>
      </c>
      <c r="R62" s="33">
        <f t="shared" si="101"/>
        <v>23798</v>
      </c>
      <c r="S62" s="33">
        <f>+S52-S61</f>
        <v>26612</v>
      </c>
      <c r="T62" s="33">
        <f>+T52-T61</f>
        <v>26230</v>
      </c>
      <c r="U62" s="33">
        <f>+U52-U61</f>
        <v>23851</v>
      </c>
    </row>
    <row r="63" spans="2:30" x14ac:dyDescent="0.2">
      <c r="B63" s="22" t="s">
        <v>51</v>
      </c>
      <c r="J63" s="33">
        <f>+J61+11214</f>
        <v>15810</v>
      </c>
      <c r="K63" s="33">
        <f>+K61+12204</f>
        <v>17315</v>
      </c>
      <c r="L63" s="33">
        <f>+L61+9704</f>
        <v>14021</v>
      </c>
      <c r="M63" s="33">
        <f>+M61+10336</f>
        <v>14775</v>
      </c>
      <c r="N63" s="33">
        <f>+N61+11214</f>
        <v>15810</v>
      </c>
      <c r="O63" s="33">
        <f>+O61+16893</f>
        <v>28791</v>
      </c>
      <c r="P63" s="33">
        <f>+P61+18774</f>
        <v>30796</v>
      </c>
      <c r="Q63" s="33">
        <f>+Q61+21147</f>
        <v>38650</v>
      </c>
      <c r="R63" s="33">
        <f>+R61+23798</f>
        <v>40632</v>
      </c>
      <c r="S63" s="33">
        <f>+SUM(S61:S62)</f>
        <v>44187</v>
      </c>
      <c r="T63" s="33">
        <f>+SUM(T61:T62)</f>
        <v>45212</v>
      </c>
      <c r="U63" s="33">
        <f>+SUM(U61:U62)</f>
        <v>43476</v>
      </c>
    </row>
    <row r="64" spans="2:30" x14ac:dyDescent="0.2">
      <c r="J64" s="33"/>
      <c r="K64" s="33"/>
      <c r="L64" s="33"/>
      <c r="M64" s="33"/>
      <c r="N64" s="33"/>
      <c r="O64" s="33"/>
      <c r="P64" s="33"/>
      <c r="Q64" s="33"/>
      <c r="R64" s="33"/>
      <c r="S64" s="33"/>
    </row>
    <row r="65" spans="2:22" x14ac:dyDescent="0.2">
      <c r="B65" s="53" t="s">
        <v>144</v>
      </c>
      <c r="J65" s="22">
        <f>+J52/J62</f>
        <v>1.4098448368111289</v>
      </c>
      <c r="K65" s="22">
        <f t="shared" ref="K65:R65" si="102">+K52/K62</f>
        <v>1.4187971156997705</v>
      </c>
      <c r="L65" s="22">
        <f t="shared" si="102"/>
        <v>1.4448680956306679</v>
      </c>
      <c r="M65" s="22">
        <f t="shared" si="102"/>
        <v>1.4294698142414861</v>
      </c>
      <c r="N65" s="22">
        <f t="shared" si="102"/>
        <v>1.4098448368111289</v>
      </c>
      <c r="O65" s="22">
        <f t="shared" si="102"/>
        <v>1.7043153969099627</v>
      </c>
      <c r="P65" s="22">
        <f t="shared" si="102"/>
        <v>1.640353680622137</v>
      </c>
      <c r="Q65" s="22">
        <f t="shared" si="102"/>
        <v>1.8276824135811227</v>
      </c>
      <c r="R65" s="22">
        <f t="shared" si="102"/>
        <v>1.7073703672577527</v>
      </c>
      <c r="S65" s="22">
        <f>+S52/S62</f>
        <v>1.6604163535247256</v>
      </c>
      <c r="T65" s="22">
        <f>+T52/T62</f>
        <v>1.7236751810903546</v>
      </c>
      <c r="U65" s="22">
        <f>+U52/U62</f>
        <v>1.8228166533897949</v>
      </c>
    </row>
    <row r="66" spans="2:22" x14ac:dyDescent="0.2">
      <c r="B66" s="53" t="s">
        <v>145</v>
      </c>
      <c r="J66" s="22">
        <f t="shared" ref="J66:U66" si="103">+J57/J62</f>
        <v>0.17745675049045836</v>
      </c>
      <c r="K66" s="22">
        <f t="shared" si="103"/>
        <v>0.16314323172730252</v>
      </c>
      <c r="L66" s="22">
        <f t="shared" si="103"/>
        <v>0.20486397361912614</v>
      </c>
      <c r="M66" s="22">
        <f t="shared" si="103"/>
        <v>0.19243421052631579</v>
      </c>
      <c r="N66" s="22">
        <f t="shared" si="103"/>
        <v>0.17745675049045836</v>
      </c>
      <c r="O66" s="22">
        <f t="shared" si="103"/>
        <v>0.41218256082400995</v>
      </c>
      <c r="P66" s="22">
        <f t="shared" si="103"/>
        <v>0.37088526685842121</v>
      </c>
      <c r="Q66" s="22">
        <f t="shared" si="103"/>
        <v>0.56476095900127676</v>
      </c>
      <c r="R66" s="22">
        <f t="shared" si="103"/>
        <v>0.45987057735944198</v>
      </c>
      <c r="S66" s="22">
        <f t="shared" si="103"/>
        <v>0.41131820231474525</v>
      </c>
      <c r="T66" s="22">
        <f t="shared" si="103"/>
        <v>0.41734654975219215</v>
      </c>
      <c r="U66" s="22">
        <f t="shared" si="103"/>
        <v>0.40669154333151653</v>
      </c>
    </row>
    <row r="67" spans="2:22" x14ac:dyDescent="0.2">
      <c r="B67" s="53" t="s">
        <v>146</v>
      </c>
      <c r="J67" s="39">
        <f t="shared" ref="J67:R67" si="104">+J51/J60</f>
        <v>8.420338983050847</v>
      </c>
      <c r="K67" s="39">
        <f t="shared" si="104"/>
        <v>7.6737668161434973</v>
      </c>
      <c r="L67" s="39">
        <f t="shared" si="104"/>
        <v>8.9847844463229087</v>
      </c>
      <c r="M67" s="39">
        <f t="shared" si="104"/>
        <v>8.6492027334851933</v>
      </c>
      <c r="N67" s="39">
        <f t="shared" si="104"/>
        <v>8.420338983050847</v>
      </c>
      <c r="O67" s="39">
        <f t="shared" si="104"/>
        <v>5.4870129870129869</v>
      </c>
      <c r="P67" s="39">
        <f t="shared" si="104"/>
        <v>6.0322795341098168</v>
      </c>
      <c r="Q67" s="39">
        <f>+Q51/Q60</f>
        <v>7.484338747099768</v>
      </c>
      <c r="R67" s="39">
        <f t="shared" si="104"/>
        <v>7.1445182724252492</v>
      </c>
      <c r="S67" s="39">
        <f>+S51/S60</f>
        <v>6.6502883506343711</v>
      </c>
      <c r="T67" s="39">
        <f>+T51/T60</f>
        <v>5.2326610049539983</v>
      </c>
      <c r="U67" s="39">
        <f>+U51/U60</f>
        <v>3.6204938597649545</v>
      </c>
    </row>
    <row r="68" spans="2:22" x14ac:dyDescent="0.2">
      <c r="V68" s="33"/>
    </row>
    <row r="69" spans="2:22" x14ac:dyDescent="0.2">
      <c r="B69" s="22" t="s">
        <v>107</v>
      </c>
      <c r="S69" s="33">
        <f>+S25</f>
        <v>3003</v>
      </c>
      <c r="T69" s="33">
        <f>+T25</f>
        <v>3026</v>
      </c>
      <c r="U69" s="33">
        <f>+U25</f>
        <v>656</v>
      </c>
      <c r="V69" s="33"/>
    </row>
    <row r="70" spans="2:22" x14ac:dyDescent="0.2">
      <c r="B70" s="22" t="s">
        <v>108</v>
      </c>
      <c r="S70" s="33">
        <v>3003</v>
      </c>
      <c r="T70" s="33">
        <v>1618</v>
      </c>
      <c r="U70" s="33">
        <v>2274</v>
      </c>
      <c r="V70" s="33"/>
    </row>
    <row r="71" spans="2:22" x14ac:dyDescent="0.2">
      <c r="B71" s="51" t="s">
        <v>168</v>
      </c>
      <c r="S71" s="33"/>
      <c r="T71" s="33">
        <v>1353</v>
      </c>
      <c r="U71" s="33">
        <v>1353</v>
      </c>
      <c r="V71" s="33"/>
    </row>
    <row r="72" spans="2:22" x14ac:dyDescent="0.2">
      <c r="B72" s="22" t="s">
        <v>109</v>
      </c>
      <c r="S72" s="33">
        <v>551</v>
      </c>
      <c r="T72" s="33">
        <v>578</v>
      </c>
      <c r="U72" s="33">
        <v>1226</v>
      </c>
    </row>
    <row r="73" spans="2:22" x14ac:dyDescent="0.2">
      <c r="B73" s="22" t="s">
        <v>110</v>
      </c>
      <c r="S73" s="33">
        <v>309</v>
      </c>
      <c r="T73" s="33">
        <v>334</v>
      </c>
      <c r="U73" s="33">
        <v>712</v>
      </c>
    </row>
    <row r="74" spans="2:22" x14ac:dyDescent="0.2">
      <c r="B74" s="22" t="s">
        <v>111</v>
      </c>
      <c r="S74" s="33">
        <v>-225</v>
      </c>
      <c r="T74" s="33">
        <v>17</v>
      </c>
      <c r="U74" s="33">
        <v>24</v>
      </c>
    </row>
    <row r="75" spans="2:22" x14ac:dyDescent="0.2">
      <c r="B75" s="53" t="s">
        <v>147</v>
      </c>
      <c r="S75" s="33">
        <v>53</v>
      </c>
      <c r="T75" s="33">
        <v>-542</v>
      </c>
      <c r="U75" s="33">
        <v>-985</v>
      </c>
    </row>
    <row r="76" spans="2:22" x14ac:dyDescent="0.2">
      <c r="B76" s="53" t="s">
        <v>148</v>
      </c>
      <c r="S76" s="33">
        <v>21</v>
      </c>
      <c r="T76" s="33">
        <v>23</v>
      </c>
      <c r="U76" s="33">
        <v>18</v>
      </c>
    </row>
    <row r="77" spans="2:22" x14ac:dyDescent="0.2">
      <c r="B77" s="53" t="s">
        <v>38</v>
      </c>
      <c r="S77" s="33">
        <v>-692</v>
      </c>
      <c r="T77" s="22">
        <v>-788</v>
      </c>
      <c r="U77" s="22">
        <v>-668</v>
      </c>
    </row>
    <row r="78" spans="2:22" x14ac:dyDescent="0.2">
      <c r="B78" s="53" t="s">
        <v>39</v>
      </c>
      <c r="S78" s="33">
        <v>-374</v>
      </c>
      <c r="T78" s="33">
        <v>-560</v>
      </c>
      <c r="U78" s="33">
        <v>-1285</v>
      </c>
    </row>
    <row r="79" spans="2:22" x14ac:dyDescent="0.2">
      <c r="B79" s="53" t="s">
        <v>40</v>
      </c>
      <c r="S79" s="33">
        <v>-158</v>
      </c>
      <c r="T79" s="33">
        <v>-1261</v>
      </c>
      <c r="U79" s="33">
        <v>-1554</v>
      </c>
    </row>
    <row r="80" spans="2:22" x14ac:dyDescent="0.2">
      <c r="B80" s="53" t="s">
        <v>47</v>
      </c>
      <c r="S80" s="33">
        <v>183</v>
      </c>
      <c r="T80" s="33">
        <v>255</v>
      </c>
      <c r="U80" s="33">
        <v>559</v>
      </c>
    </row>
    <row r="81" spans="2:21" x14ac:dyDescent="0.2">
      <c r="B81" s="53" t="s">
        <v>149</v>
      </c>
      <c r="S81" s="33">
        <v>423</v>
      </c>
      <c r="T81" s="33">
        <v>634</v>
      </c>
      <c r="U81" s="33">
        <v>1267</v>
      </c>
    </row>
    <row r="82" spans="2:21" x14ac:dyDescent="0.2">
      <c r="B82" s="53" t="s">
        <v>49</v>
      </c>
      <c r="S82" s="33">
        <v>-61</v>
      </c>
      <c r="T82" s="33">
        <v>70</v>
      </c>
      <c r="U82" s="33">
        <v>60</v>
      </c>
    </row>
    <row r="83" spans="2:21" s="32" customFormat="1" ht="15" x14ac:dyDescent="0.25">
      <c r="B83" s="32" t="s">
        <v>150</v>
      </c>
      <c r="S83" s="31">
        <f>+SUM(S70:S82)</f>
        <v>3033</v>
      </c>
      <c r="T83" s="31">
        <f>+SUM(T70:T82)</f>
        <v>1731</v>
      </c>
      <c r="U83" s="31">
        <f>+SUM(U70:U82)</f>
        <v>3001</v>
      </c>
    </row>
    <row r="84" spans="2:21" s="32" customFormat="1" ht="15" x14ac:dyDescent="0.25">
      <c r="B84" s="32" t="s">
        <v>170</v>
      </c>
      <c r="S84" s="31">
        <f>+S83-S89</f>
        <v>3306</v>
      </c>
      <c r="T84" s="31">
        <f>+T83-T89</f>
        <v>2092</v>
      </c>
      <c r="U84" s="31">
        <f>+U83-U89</f>
        <v>3795</v>
      </c>
    </row>
    <row r="85" spans="2:21" x14ac:dyDescent="0.2">
      <c r="S85" s="33"/>
      <c r="T85" s="33"/>
      <c r="U85" s="33"/>
    </row>
    <row r="86" spans="2:21" x14ac:dyDescent="0.2">
      <c r="B86" s="53" t="s">
        <v>151</v>
      </c>
      <c r="S86" s="33">
        <v>7417</v>
      </c>
      <c r="T86" s="33">
        <v>5947</v>
      </c>
      <c r="U86" s="33">
        <v>10983</v>
      </c>
    </row>
    <row r="87" spans="2:21" x14ac:dyDescent="0.2">
      <c r="B87" s="53" t="s">
        <v>152</v>
      </c>
      <c r="S87" s="33">
        <v>107</v>
      </c>
      <c r="T87" s="33">
        <v>1029</v>
      </c>
      <c r="U87" s="33">
        <v>1731</v>
      </c>
    </row>
    <row r="88" spans="2:21" x14ac:dyDescent="0.2">
      <c r="B88" s="53" t="s">
        <v>153</v>
      </c>
      <c r="S88" s="33">
        <v>-8767</v>
      </c>
      <c r="T88" s="33">
        <v>-3932</v>
      </c>
      <c r="U88" s="33">
        <v>-7576</v>
      </c>
    </row>
    <row r="89" spans="2:21" x14ac:dyDescent="0.2">
      <c r="B89" s="53" t="s">
        <v>154</v>
      </c>
      <c r="S89" s="33">
        <v>-273</v>
      </c>
      <c r="T89" s="33">
        <v>-361</v>
      </c>
      <c r="U89" s="33">
        <v>-794</v>
      </c>
    </row>
    <row r="90" spans="2:21" x14ac:dyDescent="0.2">
      <c r="B90" s="53" t="s">
        <v>155</v>
      </c>
      <c r="S90" s="33">
        <v>-60</v>
      </c>
      <c r="T90" s="33">
        <v>-36</v>
      </c>
      <c r="U90" s="33">
        <v>-49</v>
      </c>
    </row>
    <row r="91" spans="2:21" x14ac:dyDescent="0.2">
      <c r="B91" s="53" t="s">
        <v>156</v>
      </c>
      <c r="S91" s="33">
        <v>-11</v>
      </c>
      <c r="T91" s="33">
        <v>-35</v>
      </c>
      <c r="U91" s="33">
        <v>-65</v>
      </c>
    </row>
    <row r="92" spans="2:21" s="32" customFormat="1" ht="15" x14ac:dyDescent="0.25">
      <c r="B92" s="32" t="s">
        <v>157</v>
      </c>
      <c r="S92" s="31">
        <f>+SUM(S86:S91)</f>
        <v>-1587</v>
      </c>
      <c r="T92" s="31">
        <f>+SUM(T86:T91)</f>
        <v>2612</v>
      </c>
      <c r="U92" s="31">
        <f>+SUM(U86:U91)</f>
        <v>4230</v>
      </c>
    </row>
    <row r="93" spans="2:21" x14ac:dyDescent="0.2">
      <c r="S93" s="33"/>
      <c r="T93" s="33"/>
      <c r="U93" s="33"/>
    </row>
    <row r="94" spans="2:21" x14ac:dyDescent="0.2">
      <c r="B94" s="53" t="s">
        <v>158</v>
      </c>
      <c r="S94" s="33">
        <v>4</v>
      </c>
      <c r="T94" s="33">
        <v>204</v>
      </c>
      <c r="U94" s="33">
        <v>205</v>
      </c>
    </row>
    <row r="95" spans="2:21" x14ac:dyDescent="0.2">
      <c r="B95" s="51" t="s">
        <v>169</v>
      </c>
      <c r="S95" s="33"/>
      <c r="T95" s="33">
        <v>-1996</v>
      </c>
      <c r="U95" s="33">
        <v>-5341</v>
      </c>
    </row>
    <row r="96" spans="2:21" x14ac:dyDescent="0.2">
      <c r="B96" s="53" t="s">
        <v>159</v>
      </c>
      <c r="S96" s="33">
        <v>-622</v>
      </c>
      <c r="T96" s="33">
        <v>-532</v>
      </c>
      <c r="U96" s="33">
        <v>-837</v>
      </c>
    </row>
    <row r="97" spans="2:21" x14ac:dyDescent="0.2">
      <c r="B97" s="53" t="s">
        <v>160</v>
      </c>
      <c r="S97" s="33">
        <v>-100</v>
      </c>
      <c r="T97" s="33">
        <v>-100</v>
      </c>
      <c r="U97" s="33">
        <v>-200</v>
      </c>
    </row>
    <row r="98" spans="2:21" x14ac:dyDescent="0.2">
      <c r="B98" s="53" t="s">
        <v>161</v>
      </c>
      <c r="S98" s="33">
        <v>-21</v>
      </c>
      <c r="T98" s="33">
        <v>-22</v>
      </c>
      <c r="U98" s="33">
        <v>-36</v>
      </c>
    </row>
    <row r="99" spans="2:21" x14ac:dyDescent="0.2">
      <c r="B99" s="53" t="s">
        <v>148</v>
      </c>
      <c r="S99" s="33">
        <v>-5</v>
      </c>
      <c r="U99" s="22">
        <v>1</v>
      </c>
    </row>
    <row r="100" spans="2:21" x14ac:dyDescent="0.2">
      <c r="B100" s="53" t="s">
        <v>162</v>
      </c>
      <c r="S100" s="33"/>
      <c r="T100" s="33"/>
      <c r="U100" s="33"/>
    </row>
    <row r="101" spans="2:21" x14ac:dyDescent="0.2">
      <c r="B101" s="53" t="s">
        <v>163</v>
      </c>
      <c r="S101" s="33"/>
      <c r="T101" s="33"/>
      <c r="U101" s="33"/>
    </row>
    <row r="102" spans="2:21" s="32" customFormat="1" ht="15" x14ac:dyDescent="0.25">
      <c r="B102" s="32" t="s">
        <v>164</v>
      </c>
      <c r="S102" s="31">
        <f>+SUM(S94:S101)</f>
        <v>-744</v>
      </c>
      <c r="T102" s="31">
        <f>+SUM(T94:T101)</f>
        <v>-2446</v>
      </c>
      <c r="U102" s="31">
        <f>+SUM(U94:U101)</f>
        <v>-6208</v>
      </c>
    </row>
    <row r="103" spans="2:21" s="32" customFormat="1" ht="15" x14ac:dyDescent="0.25">
      <c r="B103" s="32" t="s">
        <v>165</v>
      </c>
      <c r="S103" s="31">
        <f>+S102+S92+S83</f>
        <v>702</v>
      </c>
      <c r="T103" s="31">
        <f>+T102+T92+T83</f>
        <v>1897</v>
      </c>
      <c r="U103" s="31">
        <f>+U102+U92+U83</f>
        <v>1023</v>
      </c>
    </row>
  </sheetData>
  <hyperlinks>
    <hyperlink ref="A1" location="Main!A1" display="Main!A1" xr:uid="{2B29D7A6-05CA-4EAB-B643-D0DC5F34C49C}"/>
  </hyperlink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4D3E-408B-4EF2-B48B-62ECD986D338}">
  <dimension ref="A1:I35"/>
  <sheetViews>
    <sheetView topLeftCell="A4" workbookViewId="0">
      <selection activeCell="C26" sqref="C26"/>
    </sheetView>
  </sheetViews>
  <sheetFormatPr defaultRowHeight="15" x14ac:dyDescent="0.25"/>
  <cols>
    <col min="1" max="1" width="11" customWidth="1"/>
    <col min="2" max="2" width="9.28515625" bestFit="1" customWidth="1"/>
    <col min="3" max="3" width="10.5703125" customWidth="1"/>
    <col min="4" max="4" width="25.28515625" customWidth="1"/>
    <col min="5" max="5" width="25.42578125" customWidth="1"/>
  </cols>
  <sheetData>
    <row r="1" spans="1:5" x14ac:dyDescent="0.25">
      <c r="A1" t="s">
        <v>173</v>
      </c>
      <c r="B1" t="s">
        <v>174</v>
      </c>
      <c r="C1" t="s">
        <v>175</v>
      </c>
      <c r="D1" t="s">
        <v>176</v>
      </c>
      <c r="E1" t="s">
        <v>177</v>
      </c>
    </row>
    <row r="2" spans="1:5" x14ac:dyDescent="0.25">
      <c r="A2" s="19">
        <v>43171</v>
      </c>
      <c r="B2" s="20">
        <v>2173</v>
      </c>
    </row>
    <row r="3" spans="1:5" x14ac:dyDescent="0.25">
      <c r="A3" s="19">
        <v>43261</v>
      </c>
      <c r="B3" s="20">
        <v>3207</v>
      </c>
    </row>
    <row r="4" spans="1:5" x14ac:dyDescent="0.25">
      <c r="A4" s="19">
        <v>43351</v>
      </c>
      <c r="B4" s="20">
        <v>3123</v>
      </c>
    </row>
    <row r="5" spans="1:5" x14ac:dyDescent="0.25">
      <c r="A5" s="19">
        <v>43441</v>
      </c>
      <c r="B5" s="20">
        <v>3181</v>
      </c>
    </row>
    <row r="6" spans="1:5" x14ac:dyDescent="0.25">
      <c r="A6" s="19">
        <v>43531</v>
      </c>
      <c r="B6" s="20">
        <v>2911</v>
      </c>
    </row>
    <row r="7" spans="1:5" x14ac:dyDescent="0.25">
      <c r="A7" s="19">
        <v>43621</v>
      </c>
      <c r="B7" s="20">
        <v>2220</v>
      </c>
    </row>
    <row r="8" spans="1:5" x14ac:dyDescent="0.25">
      <c r="A8" s="19">
        <v>43711</v>
      </c>
      <c r="B8" s="20">
        <v>2579</v>
      </c>
    </row>
    <row r="9" spans="1:5" x14ac:dyDescent="0.25">
      <c r="A9" s="19">
        <v>43801</v>
      </c>
      <c r="B9" s="20">
        <v>3014</v>
      </c>
    </row>
    <row r="10" spans="1:5" x14ac:dyDescent="0.25">
      <c r="A10" s="19">
        <v>43891</v>
      </c>
      <c r="B10" s="20">
        <v>3105</v>
      </c>
    </row>
    <row r="11" spans="1:5" x14ac:dyDescent="0.25">
      <c r="A11" s="19">
        <v>43981</v>
      </c>
      <c r="B11" s="20">
        <v>3080</v>
      </c>
    </row>
    <row r="12" spans="1:5" x14ac:dyDescent="0.25">
      <c r="A12" s="19">
        <v>44071</v>
      </c>
      <c r="B12" s="20">
        <v>3866</v>
      </c>
    </row>
    <row r="13" spans="1:5" x14ac:dyDescent="0.25">
      <c r="A13" s="19">
        <v>44161</v>
      </c>
      <c r="B13" s="20">
        <v>4726</v>
      </c>
    </row>
    <row r="14" spans="1:5" x14ac:dyDescent="0.25">
      <c r="A14" s="19">
        <v>44251</v>
      </c>
      <c r="B14" s="20">
        <v>5003</v>
      </c>
    </row>
    <row r="15" spans="1:5" x14ac:dyDescent="0.25">
      <c r="A15" s="19">
        <v>44341</v>
      </c>
      <c r="B15" s="20">
        <v>5661</v>
      </c>
    </row>
    <row r="16" spans="1:5" x14ac:dyDescent="0.25">
      <c r="A16" s="19">
        <v>44431</v>
      </c>
      <c r="B16" s="20">
        <v>6507</v>
      </c>
    </row>
    <row r="17" spans="1:9" x14ac:dyDescent="0.25">
      <c r="A17" s="19">
        <v>44521</v>
      </c>
      <c r="B17" s="20">
        <v>7103</v>
      </c>
    </row>
    <row r="18" spans="1:9" x14ac:dyDescent="0.25">
      <c r="A18" s="19">
        <v>44611</v>
      </c>
      <c r="B18" s="20">
        <v>7643</v>
      </c>
    </row>
    <row r="19" spans="1:9" x14ac:dyDescent="0.25">
      <c r="A19" s="19">
        <v>44701</v>
      </c>
      <c r="B19" s="20">
        <v>8288</v>
      </c>
    </row>
    <row r="20" spans="1:9" x14ac:dyDescent="0.25">
      <c r="A20" s="19">
        <v>44791</v>
      </c>
      <c r="B20" s="20">
        <v>6704</v>
      </c>
      <c r="C20" s="20">
        <v>6704</v>
      </c>
      <c r="D20" s="20">
        <v>6704</v>
      </c>
      <c r="E20" s="20">
        <v>6704</v>
      </c>
    </row>
    <row r="21" spans="1:9" x14ac:dyDescent="0.25">
      <c r="A21" s="19">
        <v>44881</v>
      </c>
      <c r="C21" s="20">
        <f t="shared" ref="C21:C31" si="0">_xlfn.FORECAST.ETS(A21,$B$2:$B$20,$A$2:$A$20,1,1)</f>
        <v>6747.3897261209186</v>
      </c>
      <c r="D21" s="20">
        <f t="shared" ref="D21:D31" si="1">C21-_xlfn.FORECAST.ETS.CONFINT(A21,$B$2:$B$20,$A$2:$A$20,0.95,1,1)</f>
        <v>5469.8441558272007</v>
      </c>
      <c r="E21" s="20">
        <f t="shared" ref="E21:E31" si="2">C21+_xlfn.FORECAST.ETS.CONFINT(A21,$B$2:$B$20,$A$2:$A$20,0.95,1,1)</f>
        <v>8024.9352964146365</v>
      </c>
    </row>
    <row r="22" spans="1:9" x14ac:dyDescent="0.25">
      <c r="A22" s="19">
        <v>44971</v>
      </c>
      <c r="C22" s="20">
        <f t="shared" si="0"/>
        <v>6786.4575156307365</v>
      </c>
      <c r="D22" s="20">
        <f t="shared" si="1"/>
        <v>4744.3781471495186</v>
      </c>
      <c r="E22" s="20">
        <f t="shared" si="2"/>
        <v>8828.5368841119544</v>
      </c>
    </row>
    <row r="23" spans="1:9" x14ac:dyDescent="0.25">
      <c r="A23" s="19">
        <v>45061</v>
      </c>
      <c r="C23" s="20">
        <f t="shared" si="0"/>
        <v>6825.5253051405552</v>
      </c>
      <c r="D23" s="20">
        <f t="shared" si="1"/>
        <v>4028.5975569983279</v>
      </c>
      <c r="E23" s="20">
        <f t="shared" si="2"/>
        <v>9622.453053282783</v>
      </c>
    </row>
    <row r="24" spans="1:9" x14ac:dyDescent="0.25">
      <c r="A24" s="19">
        <v>45151</v>
      </c>
      <c r="C24" s="20">
        <f t="shared" si="0"/>
        <v>6864.593094650374</v>
      </c>
      <c r="D24" s="20">
        <f t="shared" si="1"/>
        <v>3287.9103851115024</v>
      </c>
      <c r="E24" s="20">
        <f t="shared" si="2"/>
        <v>10441.275804189245</v>
      </c>
    </row>
    <row r="25" spans="1:9" x14ac:dyDescent="0.25">
      <c r="A25" s="19">
        <v>45241</v>
      </c>
      <c r="C25" s="20">
        <f t="shared" si="0"/>
        <v>6903.6608841601928</v>
      </c>
      <c r="D25" s="20">
        <f t="shared" si="1"/>
        <v>2512.5291674590062</v>
      </c>
      <c r="E25" s="20">
        <f t="shared" si="2"/>
        <v>11294.792600861379</v>
      </c>
    </row>
    <row r="26" spans="1:9" x14ac:dyDescent="0.25">
      <c r="A26" s="19">
        <v>45331</v>
      </c>
      <c r="C26" s="20">
        <f t="shared" si="0"/>
        <v>6942.7286736700116</v>
      </c>
      <c r="D26" s="20">
        <f t="shared" si="1"/>
        <v>1699.320721629123</v>
      </c>
      <c r="E26" s="20">
        <f t="shared" si="2"/>
        <v>12186.1366257109</v>
      </c>
    </row>
    <row r="27" spans="1:9" x14ac:dyDescent="0.25">
      <c r="A27" s="19">
        <v>45421</v>
      </c>
      <c r="C27" s="20">
        <f t="shared" si="0"/>
        <v>6981.7964631798295</v>
      </c>
      <c r="D27" s="20">
        <f t="shared" si="1"/>
        <v>847.55541182578145</v>
      </c>
      <c r="E27" s="20">
        <f t="shared" si="2"/>
        <v>13116.037514533877</v>
      </c>
    </row>
    <row r="28" spans="1:9" x14ac:dyDescent="0.25">
      <c r="A28" s="19">
        <v>45511</v>
      </c>
      <c r="C28" s="20">
        <f t="shared" si="0"/>
        <v>7020.8642526896483</v>
      </c>
      <c r="D28" s="20">
        <f t="shared" si="1"/>
        <v>-42.504858738493567</v>
      </c>
      <c r="E28" s="20">
        <f t="shared" si="2"/>
        <v>14084.23336411779</v>
      </c>
    </row>
    <row r="29" spans="1:9" x14ac:dyDescent="0.25">
      <c r="A29" s="19">
        <v>45601</v>
      </c>
      <c r="C29" s="20">
        <f t="shared" si="0"/>
        <v>7059.9320421994671</v>
      </c>
      <c r="D29" s="20">
        <f t="shared" si="1"/>
        <v>-970.1690289632661</v>
      </c>
      <c r="E29" s="20">
        <f t="shared" si="2"/>
        <v>15090.0331133622</v>
      </c>
    </row>
    <row r="30" spans="1:9" x14ac:dyDescent="0.25">
      <c r="A30" s="19">
        <v>45691</v>
      </c>
      <c r="C30" s="20">
        <f t="shared" si="0"/>
        <v>7098.999831709285</v>
      </c>
      <c r="D30" s="20">
        <f t="shared" si="1"/>
        <v>-1934.5664507527872</v>
      </c>
      <c r="E30" s="20">
        <f t="shared" si="2"/>
        <v>16132.566114171357</v>
      </c>
      <c r="I30">
        <v>6704</v>
      </c>
    </row>
    <row r="31" spans="1:9" x14ac:dyDescent="0.25">
      <c r="A31" s="19">
        <v>45728</v>
      </c>
      <c r="C31" s="20">
        <f t="shared" si="0"/>
        <v>7115.061034063322</v>
      </c>
      <c r="D31" s="20">
        <f t="shared" si="1"/>
        <v>-2359.5685074589082</v>
      </c>
      <c r="E31" s="20">
        <f t="shared" si="2"/>
        <v>16589.690575585551</v>
      </c>
      <c r="I31">
        <v>6747.3897261209186</v>
      </c>
    </row>
    <row r="32" spans="1:9" x14ac:dyDescent="0.25">
      <c r="I32">
        <v>6786.4575156307365</v>
      </c>
    </row>
    <row r="33" spans="9:9" x14ac:dyDescent="0.25">
      <c r="I33">
        <v>6825.5253051405552</v>
      </c>
    </row>
    <row r="34" spans="9:9" x14ac:dyDescent="0.25">
      <c r="I34">
        <v>6864.593094650374</v>
      </c>
    </row>
    <row r="35" spans="9:9" x14ac:dyDescent="0.25">
      <c r="I35">
        <v>6903.6608841601928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DC36-EA07-43CC-97C7-F81978744DD9}">
  <dimension ref="A1"/>
  <sheetViews>
    <sheetView workbookViewId="0">
      <selection activeCell="G40" sqref="G40"/>
    </sheetView>
  </sheetViews>
  <sheetFormatPr defaultRowHeight="14.25" x14ac:dyDescent="0.2"/>
  <cols>
    <col min="1" max="16384" width="9.140625" style="6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A50B-F086-4AF8-BD36-39AAE87364C2}">
  <dimension ref="B3:K61"/>
  <sheetViews>
    <sheetView topLeftCell="A25" zoomScale="85" zoomScaleNormal="85" workbookViewId="0">
      <selection activeCell="L36" sqref="L36"/>
    </sheetView>
  </sheetViews>
  <sheetFormatPr defaultRowHeight="14.25" x14ac:dyDescent="0.2"/>
  <cols>
    <col min="1" max="16384" width="9.140625" style="2"/>
  </cols>
  <sheetData>
    <row r="3" spans="2:11" x14ac:dyDescent="0.2">
      <c r="C3" s="2" t="s">
        <v>141</v>
      </c>
      <c r="D3" s="2" t="s">
        <v>140</v>
      </c>
      <c r="F3" s="2" t="s">
        <v>139</v>
      </c>
      <c r="H3" s="2" t="s">
        <v>26</v>
      </c>
      <c r="I3" s="2" t="s">
        <v>25</v>
      </c>
      <c r="K3" s="2" t="s">
        <v>33</v>
      </c>
    </row>
    <row r="5" spans="2:11" x14ac:dyDescent="0.2">
      <c r="B5" s="2" t="s">
        <v>138</v>
      </c>
      <c r="D5" s="3"/>
      <c r="E5" s="3"/>
      <c r="F5" s="3"/>
      <c r="G5" s="3"/>
      <c r="H5" s="5">
        <v>394</v>
      </c>
      <c r="I5" s="2">
        <v>1303</v>
      </c>
      <c r="K5" s="2">
        <v>655</v>
      </c>
    </row>
    <row r="6" spans="2:11" x14ac:dyDescent="0.2">
      <c r="C6" s="3"/>
      <c r="D6" s="3"/>
      <c r="E6" s="3"/>
      <c r="F6" s="3"/>
      <c r="G6" s="3"/>
      <c r="H6" s="5">
        <v>542</v>
      </c>
      <c r="I6" s="2">
        <v>2068</v>
      </c>
      <c r="K6" s="2">
        <v>1244</v>
      </c>
    </row>
    <row r="7" spans="2:11" x14ac:dyDescent="0.2">
      <c r="C7" s="3"/>
      <c r="D7" s="3"/>
      <c r="E7" s="3"/>
      <c r="F7" s="3"/>
      <c r="G7" s="3"/>
      <c r="H7" s="5">
        <v>581</v>
      </c>
      <c r="I7" s="2">
        <v>1975</v>
      </c>
      <c r="K7" s="2">
        <v>1101</v>
      </c>
    </row>
    <row r="8" spans="2:11" x14ac:dyDescent="0.2">
      <c r="C8" s="3"/>
      <c r="D8" s="3"/>
      <c r="E8" s="3"/>
      <c r="F8" s="3"/>
      <c r="G8" s="3"/>
      <c r="H8" s="5">
        <v>605</v>
      </c>
      <c r="I8" s="2">
        <v>1921</v>
      </c>
      <c r="K8" s="2">
        <v>1230</v>
      </c>
    </row>
    <row r="9" spans="2:11" x14ac:dyDescent="0.2">
      <c r="C9" s="3">
        <f t="shared" ref="C9:C20" si="0">+K9/K5-1</f>
        <v>0.70687022900763363</v>
      </c>
      <c r="D9" s="3">
        <f t="shared" ref="D9:D20" si="1">+H9/I9</f>
        <v>0.28206551915602446</v>
      </c>
      <c r="E9" s="3"/>
      <c r="F9" s="3">
        <f t="shared" ref="F9:F20" si="2">+$C$41+$C$40*D9</f>
        <v>1.3708112274821938</v>
      </c>
      <c r="G9" s="3"/>
      <c r="H9" s="5">
        <v>508</v>
      </c>
      <c r="I9" s="2">
        <v>1801</v>
      </c>
      <c r="K9" s="2">
        <v>1118</v>
      </c>
    </row>
    <row r="10" spans="2:11" x14ac:dyDescent="0.2">
      <c r="C10" s="3">
        <f t="shared" si="0"/>
        <v>-0.68327974276527326</v>
      </c>
      <c r="D10" s="3">
        <f t="shared" si="1"/>
        <v>0.52006172839506171</v>
      </c>
      <c r="E10" s="3"/>
      <c r="F10" s="3">
        <f t="shared" si="2"/>
        <v>-0.92362866657774489</v>
      </c>
      <c r="G10" s="3"/>
      <c r="H10" s="5">
        <v>674</v>
      </c>
      <c r="I10" s="2">
        <v>1296</v>
      </c>
      <c r="K10" s="2">
        <v>394</v>
      </c>
    </row>
    <row r="11" spans="2:11" x14ac:dyDescent="0.2">
      <c r="C11" s="3">
        <f t="shared" si="0"/>
        <v>-0.49863760217983655</v>
      </c>
      <c r="D11" s="3">
        <f t="shared" si="1"/>
        <v>0.45684620376378976</v>
      </c>
      <c r="E11" s="3"/>
      <c r="F11" s="3">
        <f t="shared" si="2"/>
        <v>-0.3141894570135273</v>
      </c>
      <c r="G11" s="3"/>
      <c r="H11" s="5">
        <v>704</v>
      </c>
      <c r="I11" s="2">
        <v>1541</v>
      </c>
      <c r="K11" s="2">
        <v>552</v>
      </c>
    </row>
    <row r="12" spans="2:11" x14ac:dyDescent="0.2">
      <c r="C12" s="3">
        <f t="shared" si="0"/>
        <v>-0.26910569105691062</v>
      </c>
      <c r="D12" s="3">
        <f t="shared" si="1"/>
        <v>0.37160751565762007</v>
      </c>
      <c r="E12" s="3"/>
      <c r="F12" s="3">
        <f t="shared" si="2"/>
        <v>0.50756752446720554</v>
      </c>
      <c r="G12" s="3"/>
      <c r="H12" s="5">
        <v>712</v>
      </c>
      <c r="I12" s="2">
        <v>1916</v>
      </c>
      <c r="K12" s="2">
        <v>899</v>
      </c>
    </row>
    <row r="13" spans="2:11" x14ac:dyDescent="0.2">
      <c r="C13" s="3">
        <f t="shared" si="0"/>
        <v>-0.15026833631484793</v>
      </c>
      <c r="D13" s="3">
        <f t="shared" si="1"/>
        <v>0.36625310173697273</v>
      </c>
      <c r="E13" s="3"/>
      <c r="F13" s="3">
        <f t="shared" si="2"/>
        <v>0.55918759416547559</v>
      </c>
      <c r="G13" s="3"/>
      <c r="H13" s="5">
        <v>738</v>
      </c>
      <c r="I13" s="2">
        <v>2015</v>
      </c>
      <c r="K13" s="2">
        <v>950</v>
      </c>
    </row>
    <row r="14" spans="2:11" x14ac:dyDescent="0.2">
      <c r="C14" s="3">
        <f t="shared" si="0"/>
        <v>1.3274111675126905</v>
      </c>
      <c r="D14" s="3">
        <f t="shared" si="1"/>
        <v>0.36676646706586824</v>
      </c>
      <c r="E14" s="3"/>
      <c r="F14" s="3">
        <f t="shared" si="2"/>
        <v>0.55423841495538984</v>
      </c>
      <c r="G14" s="3"/>
      <c r="H14" s="5">
        <v>735</v>
      </c>
      <c r="I14" s="2">
        <v>2004</v>
      </c>
      <c r="K14" s="2">
        <v>917</v>
      </c>
    </row>
    <row r="15" spans="2:11" x14ac:dyDescent="0.2">
      <c r="C15" s="3">
        <f t="shared" si="0"/>
        <v>0.12681159420289845</v>
      </c>
      <c r="D15" s="3">
        <f t="shared" si="1"/>
        <v>0.43824175824175826</v>
      </c>
      <c r="E15" s="3"/>
      <c r="F15" s="3">
        <f t="shared" si="2"/>
        <v>-0.13483037331593639</v>
      </c>
      <c r="G15" s="3"/>
      <c r="H15" s="5">
        <v>997</v>
      </c>
      <c r="I15" s="2">
        <v>2275</v>
      </c>
      <c r="K15" s="2">
        <v>622</v>
      </c>
    </row>
    <row r="16" spans="2:11" x14ac:dyDescent="0.2">
      <c r="C16" s="3">
        <f t="shared" si="0"/>
        <v>0.486095661846496</v>
      </c>
      <c r="D16" s="3">
        <f t="shared" si="1"/>
        <v>0.35371621621621624</v>
      </c>
      <c r="E16" s="3"/>
      <c r="F16" s="3">
        <f t="shared" si="2"/>
        <v>0.6800514111903726</v>
      </c>
      <c r="G16" s="3"/>
      <c r="H16" s="5">
        <v>1047</v>
      </c>
      <c r="I16" s="2">
        <v>2960</v>
      </c>
      <c r="K16" s="2">
        <v>1336</v>
      </c>
    </row>
    <row r="17" spans="2:11" x14ac:dyDescent="0.2">
      <c r="C17" s="3">
        <f t="shared" si="0"/>
        <v>0.53368421052631576</v>
      </c>
      <c r="D17" s="3">
        <f t="shared" si="1"/>
        <v>0.36331960722204626</v>
      </c>
      <c r="E17" s="3"/>
      <c r="F17" s="3">
        <f t="shared" si="2"/>
        <v>0.58746840950103874</v>
      </c>
      <c r="G17" s="3"/>
      <c r="H17" s="5">
        <v>1147</v>
      </c>
      <c r="I17" s="2">
        <v>3157</v>
      </c>
      <c r="K17" s="2">
        <v>1457</v>
      </c>
    </row>
    <row r="18" spans="2:11" x14ac:dyDescent="0.2">
      <c r="C18" s="3">
        <f t="shared" si="0"/>
        <v>1.085059978189749</v>
      </c>
      <c r="D18" s="3">
        <f t="shared" si="1"/>
        <v>0.31771837971893085</v>
      </c>
      <c r="E18" s="3"/>
      <c r="F18" s="3">
        <f t="shared" si="2"/>
        <v>1.0270942167178436</v>
      </c>
      <c r="G18" s="3"/>
      <c r="H18" s="5">
        <v>1153</v>
      </c>
      <c r="I18" s="2">
        <v>3629</v>
      </c>
      <c r="K18" s="2">
        <v>1912</v>
      </c>
    </row>
    <row r="19" spans="2:11" x14ac:dyDescent="0.2">
      <c r="C19" s="3">
        <f t="shared" si="0"/>
        <v>2.8167202572347265</v>
      </c>
      <c r="D19" s="3">
        <f t="shared" si="1"/>
        <v>0.29537366548042704</v>
      </c>
      <c r="E19" s="3"/>
      <c r="F19" s="3">
        <f t="shared" si="2"/>
        <v>1.2425119493536578</v>
      </c>
      <c r="G19" s="3"/>
      <c r="H19" s="5">
        <v>1245</v>
      </c>
      <c r="I19" s="2">
        <v>4215</v>
      </c>
      <c r="K19" s="2">
        <v>2374</v>
      </c>
    </row>
    <row r="20" spans="2:11" x14ac:dyDescent="0.2">
      <c r="B20" s="2" t="s">
        <v>137</v>
      </c>
      <c r="C20" s="3">
        <f t="shared" si="0"/>
        <v>0.84431137724550909</v>
      </c>
      <c r="D20" s="3">
        <f t="shared" si="1"/>
        <v>0.30295832433599656</v>
      </c>
      <c r="E20" s="3"/>
      <c r="F20" s="3">
        <f t="shared" si="2"/>
        <v>1.1693908525231826</v>
      </c>
      <c r="G20" s="3"/>
      <c r="H20" s="5">
        <v>1403</v>
      </c>
      <c r="I20" s="2">
        <v>4631</v>
      </c>
      <c r="K20" s="2">
        <v>2464</v>
      </c>
    </row>
    <row r="22" spans="2:11" x14ac:dyDescent="0.2">
      <c r="B22" s="2" t="s">
        <v>136</v>
      </c>
      <c r="C22" s="2">
        <f>+COUNT(C9:C20)</f>
        <v>12</v>
      </c>
    </row>
    <row r="24" spans="2:11" x14ac:dyDescent="0.2">
      <c r="B24" s="2" t="s">
        <v>135</v>
      </c>
      <c r="C24" s="3">
        <f>+AVERAGE(C5:C20)</f>
        <v>0.52713942528742919</v>
      </c>
      <c r="D24" s="3">
        <f>+AVERAGE(D9:D20)</f>
        <v>0.36957737391589268</v>
      </c>
      <c r="E24" s="3"/>
      <c r="F24" s="3"/>
      <c r="G24" s="3"/>
    </row>
    <row r="25" spans="2:11" x14ac:dyDescent="0.2">
      <c r="B25" s="2" t="s">
        <v>134</v>
      </c>
      <c r="C25" s="3">
        <f>+_xlfn.STDEV.S(C5:C20)^2</f>
        <v>0.91809111181933001</v>
      </c>
      <c r="D25" s="3">
        <f>+_xlfn.STDEV.S(D9:D20)^2</f>
        <v>5.0529058929018392E-3</v>
      </c>
      <c r="E25" s="3"/>
      <c r="F25" s="3"/>
      <c r="G25" s="3"/>
    </row>
    <row r="26" spans="2:11" x14ac:dyDescent="0.2">
      <c r="B26" s="2" t="s">
        <v>133</v>
      </c>
      <c r="C26" s="3">
        <f>+SQRT(C25)</f>
        <v>0.95817071120929698</v>
      </c>
      <c r="D26" s="3">
        <f>+SQRT(D25)</f>
        <v>7.1083794868463793E-2</v>
      </c>
      <c r="E26" s="3"/>
      <c r="F26" s="3"/>
      <c r="G26" s="3"/>
    </row>
    <row r="27" spans="2:11" x14ac:dyDescent="0.2">
      <c r="F27" s="3"/>
      <c r="G27" s="7"/>
    </row>
    <row r="28" spans="2:11" x14ac:dyDescent="0.2">
      <c r="B28" s="2" t="s">
        <v>132</v>
      </c>
      <c r="C28" s="2">
        <f>+_xlfn.COVARIANCE.S(C9:C20,D9:D20)</f>
        <v>-4.8713334126932392E-2</v>
      </c>
      <c r="F28" s="3"/>
      <c r="G28" s="3"/>
    </row>
    <row r="29" spans="2:11" x14ac:dyDescent="0.2">
      <c r="B29" s="2" t="s">
        <v>131</v>
      </c>
      <c r="C29" s="2">
        <f>+C28/PRODUCT(C26:D26)</f>
        <v>-0.71521128596059669</v>
      </c>
      <c r="D29" s="2">
        <f>+C29^2</f>
        <v>0.51152718356541038</v>
      </c>
      <c r="E29" s="2" t="b">
        <v>1</v>
      </c>
      <c r="F29" s="3"/>
      <c r="G29" s="3"/>
      <c r="H29" s="3"/>
    </row>
    <row r="30" spans="2:11" x14ac:dyDescent="0.2">
      <c r="B30" s="2" t="s">
        <v>130</v>
      </c>
      <c r="C30" s="2">
        <f>+C35/C37</f>
        <v>0.51152718356540638</v>
      </c>
      <c r="F30" s="3"/>
      <c r="G30" s="3"/>
      <c r="H30" s="3"/>
    </row>
    <row r="31" spans="2:11" x14ac:dyDescent="0.2">
      <c r="B31" s="2" t="s">
        <v>129</v>
      </c>
      <c r="C31" s="2">
        <f>+SQRT(C38)</f>
        <v>0.70235945657999288</v>
      </c>
      <c r="F31" s="3"/>
      <c r="G31" s="3"/>
      <c r="H31" s="3"/>
    </row>
    <row r="32" spans="2:11" x14ac:dyDescent="0.2">
      <c r="B32" s="2" t="s">
        <v>128</v>
      </c>
      <c r="C32" s="2">
        <f>+C31/0.235758276253284</f>
        <v>2.9791507969180335</v>
      </c>
      <c r="F32" s="3"/>
      <c r="G32" s="3"/>
      <c r="H32" s="3"/>
    </row>
    <row r="33" spans="2:8" x14ac:dyDescent="0.2">
      <c r="F33" s="3"/>
      <c r="G33" s="3"/>
      <c r="H33" s="3"/>
    </row>
    <row r="34" spans="2:8" x14ac:dyDescent="0.2">
      <c r="F34" s="3"/>
      <c r="G34" s="3"/>
      <c r="H34" s="3"/>
    </row>
    <row r="35" spans="2:8" x14ac:dyDescent="0.2">
      <c r="B35" s="2" t="s">
        <v>127</v>
      </c>
      <c r="C35" s="2">
        <v>5.1659141675391194</v>
      </c>
      <c r="F35" s="3"/>
      <c r="G35" s="3"/>
      <c r="H35" s="3"/>
    </row>
    <row r="36" spans="2:8" x14ac:dyDescent="0.2">
      <c r="B36" s="2" t="s">
        <v>126</v>
      </c>
      <c r="C36" s="2">
        <v>4.9330880624734297</v>
      </c>
      <c r="F36" s="3"/>
      <c r="G36" s="3"/>
      <c r="H36" s="3"/>
    </row>
    <row r="37" spans="2:8" x14ac:dyDescent="0.2">
      <c r="B37" s="2" t="s">
        <v>125</v>
      </c>
      <c r="C37" s="2">
        <v>10.09900223001263</v>
      </c>
      <c r="F37" s="3"/>
      <c r="G37" s="3"/>
      <c r="H37" s="3"/>
    </row>
    <row r="38" spans="2:8" x14ac:dyDescent="0.2">
      <c r="B38" s="2" t="s">
        <v>124</v>
      </c>
      <c r="C38" s="3">
        <f>+C36/10</f>
        <v>0.49330880624734297</v>
      </c>
      <c r="F38" s="3"/>
      <c r="G38" s="3"/>
      <c r="H38" s="3"/>
    </row>
    <row r="39" spans="2:8" x14ac:dyDescent="0.2">
      <c r="F39" s="3"/>
      <c r="G39" s="3"/>
      <c r="H39" s="3"/>
    </row>
    <row r="40" spans="2:8" x14ac:dyDescent="0.2">
      <c r="B40" s="2" t="s">
        <v>123</v>
      </c>
      <c r="C40" s="2">
        <f>+C28/D25</f>
        <v>-9.6406573087702512</v>
      </c>
      <c r="F40" s="3"/>
      <c r="G40" s="3"/>
      <c r="H40" s="3"/>
    </row>
    <row r="41" spans="2:8" x14ac:dyDescent="0.2">
      <c r="B41" s="2" t="s">
        <v>122</v>
      </c>
      <c r="C41" s="2">
        <f>+C24-C40*D24</f>
        <v>4.0901082362857961</v>
      </c>
      <c r="F41" s="3"/>
      <c r="G41" s="3"/>
      <c r="H41" s="3"/>
    </row>
    <row r="42" spans="2:8" x14ac:dyDescent="0.2">
      <c r="F42" s="3"/>
      <c r="G42" s="3"/>
      <c r="H42" s="3"/>
    </row>
    <row r="43" spans="2:8" x14ac:dyDescent="0.2">
      <c r="B43" s="2" t="s">
        <v>121</v>
      </c>
      <c r="C43" s="3">
        <f>+_xlfn.F.INV(0.95,1,10)</f>
        <v>4.9646027437307128</v>
      </c>
      <c r="F43" s="3"/>
      <c r="G43" s="3"/>
      <c r="H43" s="3"/>
    </row>
    <row r="44" spans="2:8" x14ac:dyDescent="0.2">
      <c r="B44" s="2" t="s">
        <v>120</v>
      </c>
      <c r="C44" s="3">
        <f>+C35/C38</f>
        <v>10.471968272443432</v>
      </c>
      <c r="D44" s="4" t="s">
        <v>117</v>
      </c>
      <c r="F44" s="3"/>
      <c r="G44" s="3"/>
      <c r="H44" s="3"/>
    </row>
    <row r="45" spans="2:8" x14ac:dyDescent="0.2">
      <c r="C45" s="3"/>
      <c r="D45" s="4"/>
      <c r="F45" s="3"/>
      <c r="G45" s="3"/>
      <c r="H45" s="3"/>
    </row>
    <row r="46" spans="2:8" x14ac:dyDescent="0.2">
      <c r="B46" s="2" t="s">
        <v>119</v>
      </c>
      <c r="C46" s="3">
        <f>+_xlfn.T.INV(0.05/2,10)</f>
        <v>-2.2281388519862744</v>
      </c>
      <c r="D46" s="4"/>
      <c r="F46" s="3"/>
      <c r="G46" s="3"/>
      <c r="H46" s="3"/>
    </row>
    <row r="47" spans="2:8" x14ac:dyDescent="0.2">
      <c r="B47" s="2" t="s">
        <v>118</v>
      </c>
      <c r="C47" s="3">
        <f>+C40/C32</f>
        <v>-3.2360420690163196</v>
      </c>
      <c r="D47" s="4" t="s">
        <v>117</v>
      </c>
      <c r="F47" s="3"/>
      <c r="G47" s="3"/>
      <c r="H47" s="3"/>
    </row>
    <row r="48" spans="2:8" x14ac:dyDescent="0.2">
      <c r="F48" s="3"/>
      <c r="G48" s="3"/>
    </row>
    <row r="49" spans="2:3" x14ac:dyDescent="0.2">
      <c r="B49" s="2" t="s">
        <v>116</v>
      </c>
      <c r="C49" s="2" t="s">
        <v>115</v>
      </c>
    </row>
    <row r="50" spans="2:3" x14ac:dyDescent="0.2">
      <c r="B50" s="2">
        <v>1</v>
      </c>
      <c r="C50" s="2">
        <f t="shared" ref="C50:C61" si="3">+$C$40*B50+$C$41</f>
        <v>-5.5505490724844551</v>
      </c>
    </row>
    <row r="51" spans="2:3" x14ac:dyDescent="0.2">
      <c r="B51" s="2">
        <f t="shared" ref="B51:B61" si="4">+B50+1</f>
        <v>2</v>
      </c>
      <c r="C51" s="2">
        <f t="shared" si="3"/>
        <v>-15.191206381254705</v>
      </c>
    </row>
    <row r="52" spans="2:3" x14ac:dyDescent="0.2">
      <c r="B52" s="2">
        <f t="shared" si="4"/>
        <v>3</v>
      </c>
      <c r="C52" s="2">
        <f t="shared" si="3"/>
        <v>-24.831863690024957</v>
      </c>
    </row>
    <row r="53" spans="2:3" x14ac:dyDescent="0.2">
      <c r="B53" s="2">
        <f t="shared" si="4"/>
        <v>4</v>
      </c>
      <c r="C53" s="2">
        <f t="shared" si="3"/>
        <v>-34.472520998795211</v>
      </c>
    </row>
    <row r="54" spans="2:3" x14ac:dyDescent="0.2">
      <c r="B54" s="2">
        <f t="shared" si="4"/>
        <v>5</v>
      </c>
      <c r="C54" s="2">
        <f t="shared" si="3"/>
        <v>-44.113178307565462</v>
      </c>
    </row>
    <row r="55" spans="2:3" x14ac:dyDescent="0.2">
      <c r="B55" s="2">
        <f t="shared" si="4"/>
        <v>6</v>
      </c>
      <c r="C55" s="2">
        <f t="shared" si="3"/>
        <v>-53.753835616335714</v>
      </c>
    </row>
    <row r="56" spans="2:3" x14ac:dyDescent="0.2">
      <c r="B56" s="2">
        <f t="shared" si="4"/>
        <v>7</v>
      </c>
      <c r="C56" s="2">
        <f t="shared" si="3"/>
        <v>-63.394492925105972</v>
      </c>
    </row>
    <row r="57" spans="2:3" x14ac:dyDescent="0.2">
      <c r="B57" s="2">
        <f t="shared" si="4"/>
        <v>8</v>
      </c>
      <c r="C57" s="2">
        <f t="shared" si="3"/>
        <v>-73.035150233876209</v>
      </c>
    </row>
    <row r="58" spans="2:3" x14ac:dyDescent="0.2">
      <c r="B58" s="2">
        <f t="shared" si="4"/>
        <v>9</v>
      </c>
      <c r="C58" s="2">
        <f t="shared" si="3"/>
        <v>-82.675807542646453</v>
      </c>
    </row>
    <row r="59" spans="2:3" x14ac:dyDescent="0.2">
      <c r="B59" s="2">
        <f t="shared" si="4"/>
        <v>10</v>
      </c>
      <c r="C59" s="2">
        <f t="shared" si="3"/>
        <v>-92.316464851416711</v>
      </c>
    </row>
    <row r="60" spans="2:3" x14ac:dyDescent="0.2">
      <c r="B60" s="2">
        <f t="shared" si="4"/>
        <v>11</v>
      </c>
      <c r="C60" s="2">
        <f t="shared" si="3"/>
        <v>-101.95712216018697</v>
      </c>
    </row>
    <row r="61" spans="2:3" x14ac:dyDescent="0.2">
      <c r="B61" s="2">
        <f t="shared" si="4"/>
        <v>12</v>
      </c>
      <c r="C61" s="2">
        <f t="shared" si="3"/>
        <v>-111.59777946895721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Sheet1</vt:lpstr>
      <vt:lpstr>PP&amp;E grwoth vs R&amp;D Margin</vt:lpstr>
      <vt:lpstr>ROA vs R&amp;D Margin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2021-12-11T18:11:23Z</dcterms:created>
  <dcterms:modified xsi:type="dcterms:W3CDTF">2022-10-27T16:19:25Z</dcterms:modified>
</cp:coreProperties>
</file>