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FF16B873-7355-4274-8ABD-35BFEAB5F717}" xr6:coauthVersionLast="47" xr6:coauthVersionMax="47" xr10:uidLastSave="{00000000-0000-0000-0000-000000000000}"/>
  <bookViews>
    <workbookView xWindow="-120" yWindow="-120" windowWidth="29040" windowHeight="16440" activeTab="1" xr2:uid="{CC6F4040-DEAA-429B-939A-086E3090DAD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2" l="1"/>
  <c r="N31" i="2" s="1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T33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T32" i="2"/>
  <c r="S31" i="2"/>
  <c r="R31" i="2"/>
  <c r="Q31" i="2"/>
  <c r="P31" i="2"/>
  <c r="O31" i="2"/>
  <c r="M31" i="2"/>
  <c r="L31" i="2"/>
  <c r="K31" i="2"/>
  <c r="J31" i="2"/>
  <c r="I31" i="2"/>
  <c r="H31" i="2"/>
  <c r="G31" i="2"/>
  <c r="T31" i="2"/>
  <c r="T40" i="2"/>
  <c r="S40" i="2"/>
  <c r="Q40" i="2"/>
  <c r="P40" i="2"/>
  <c r="O40" i="2"/>
  <c r="AC21" i="2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A53" i="2"/>
  <c r="AA61" i="2" s="1"/>
  <c r="AA48" i="2"/>
  <c r="AA44" i="2"/>
  <c r="AB53" i="2"/>
  <c r="AB61" i="2" s="1"/>
  <c r="AB48" i="2"/>
  <c r="AB44" i="2"/>
  <c r="AC20" i="2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S53" i="2"/>
  <c r="S61" i="2" s="1"/>
  <c r="S48" i="2"/>
  <c r="S44" i="2"/>
  <c r="R20" i="2"/>
  <c r="J18" i="2"/>
  <c r="J11" i="2"/>
  <c r="J7" i="2"/>
  <c r="N11" i="2"/>
  <c r="N7" i="2"/>
  <c r="N15" i="2"/>
  <c r="G18" i="2"/>
  <c r="G11" i="2"/>
  <c r="G7" i="2"/>
  <c r="K18" i="2"/>
  <c r="K11" i="2"/>
  <c r="K7" i="2"/>
  <c r="H18" i="2"/>
  <c r="H11" i="2"/>
  <c r="H7" i="2"/>
  <c r="L18" i="2"/>
  <c r="L11" i="2"/>
  <c r="L7" i="2"/>
  <c r="R40" i="2" l="1"/>
  <c r="L38" i="2"/>
  <c r="S43" i="2"/>
  <c r="AA43" i="2"/>
  <c r="N18" i="2"/>
  <c r="K38" i="2"/>
  <c r="N12" i="2"/>
  <c r="N28" i="2" s="1"/>
  <c r="AB43" i="2"/>
  <c r="AB51" i="2"/>
  <c r="N38" i="2"/>
  <c r="S51" i="2"/>
  <c r="AA51" i="2"/>
  <c r="H12" i="2"/>
  <c r="H28" i="2" s="1"/>
  <c r="J12" i="2"/>
  <c r="G12" i="2"/>
  <c r="K12" i="2"/>
  <c r="L12" i="2"/>
  <c r="I11" i="2"/>
  <c r="I18" i="2"/>
  <c r="I7" i="2"/>
  <c r="R21" i="2"/>
  <c r="R13" i="2"/>
  <c r="R18" i="2" s="1"/>
  <c r="R10" i="2"/>
  <c r="R9" i="2"/>
  <c r="R8" i="2"/>
  <c r="R6" i="2"/>
  <c r="R3" i="2"/>
  <c r="M18" i="2"/>
  <c r="M11" i="2"/>
  <c r="M7" i="2"/>
  <c r="Q18" i="2"/>
  <c r="Q11" i="2"/>
  <c r="Q7" i="2"/>
  <c r="O18" i="2"/>
  <c r="P11" i="2"/>
  <c r="O11" i="2"/>
  <c r="O7" i="2"/>
  <c r="S18" i="2"/>
  <c r="S11" i="2"/>
  <c r="S7" i="2"/>
  <c r="T53" i="2"/>
  <c r="T61" i="2" s="1"/>
  <c r="T48" i="2"/>
  <c r="T44" i="2"/>
  <c r="P18" i="2"/>
  <c r="P7" i="2"/>
  <c r="T18" i="2"/>
  <c r="T11" i="2"/>
  <c r="T7" i="2"/>
  <c r="Z18" i="2"/>
  <c r="Z11" i="2"/>
  <c r="Z7" i="2"/>
  <c r="AA18" i="2"/>
  <c r="AA11" i="2"/>
  <c r="AA7" i="2"/>
  <c r="AB18" i="2"/>
  <c r="AB11" i="2"/>
  <c r="AB7" i="2"/>
  <c r="AC7" i="2" s="1"/>
  <c r="AC38" i="2" s="1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L7" i="1"/>
  <c r="L6" i="1"/>
  <c r="L5" i="1"/>
  <c r="L8" i="1" l="1"/>
  <c r="N19" i="2"/>
  <c r="T43" i="2"/>
  <c r="AJ52" i="2" s="1"/>
  <c r="R7" i="2"/>
  <c r="R38" i="2" s="1"/>
  <c r="M38" i="2"/>
  <c r="P12" i="2"/>
  <c r="P28" i="2" s="1"/>
  <c r="P38" i="2"/>
  <c r="O12" i="2"/>
  <c r="O28" i="2" s="1"/>
  <c r="O38" i="2"/>
  <c r="Q38" i="2"/>
  <c r="R11" i="2"/>
  <c r="AC19" i="2"/>
  <c r="AC12" i="2"/>
  <c r="AC28" i="2" s="1"/>
  <c r="AD7" i="2"/>
  <c r="AD38" i="2" s="1"/>
  <c r="S38" i="2"/>
  <c r="H19" i="2"/>
  <c r="H22" i="2" s="1"/>
  <c r="L28" i="2"/>
  <c r="L19" i="2"/>
  <c r="L29" i="2" s="1"/>
  <c r="K19" i="2"/>
  <c r="K28" i="2"/>
  <c r="G19" i="2"/>
  <c r="G28" i="2"/>
  <c r="J19" i="2"/>
  <c r="J28" i="2"/>
  <c r="T38" i="2"/>
  <c r="N29" i="2"/>
  <c r="N22" i="2"/>
  <c r="I12" i="2"/>
  <c r="M12" i="2"/>
  <c r="Q12" i="2"/>
  <c r="T51" i="2"/>
  <c r="S12" i="2"/>
  <c r="T12" i="2"/>
  <c r="AA38" i="2"/>
  <c r="AB38" i="2"/>
  <c r="AB12" i="2"/>
  <c r="Z12" i="2"/>
  <c r="AA12" i="2"/>
  <c r="O19" i="2" l="1"/>
  <c r="H29" i="2"/>
  <c r="R12" i="2"/>
  <c r="R19" i="2" s="1"/>
  <c r="AC29" i="2"/>
  <c r="AC22" i="2"/>
  <c r="AC23" i="2" s="1"/>
  <c r="AE7" i="2"/>
  <c r="AE38" i="2" s="1"/>
  <c r="AD12" i="2"/>
  <c r="AD28" i="2" s="1"/>
  <c r="AD19" i="2"/>
  <c r="J22" i="2"/>
  <c r="J29" i="2"/>
  <c r="S19" i="2"/>
  <c r="S28" i="2"/>
  <c r="K22" i="2"/>
  <c r="K29" i="2"/>
  <c r="G22" i="2"/>
  <c r="G29" i="2"/>
  <c r="O22" i="2"/>
  <c r="O29" i="2"/>
  <c r="Q19" i="2"/>
  <c r="Q28" i="2"/>
  <c r="I19" i="2"/>
  <c r="I28" i="2"/>
  <c r="H24" i="2"/>
  <c r="H26" i="2" s="1"/>
  <c r="H30" i="2"/>
  <c r="N30" i="2"/>
  <c r="N24" i="2"/>
  <c r="M19" i="2"/>
  <c r="M28" i="2"/>
  <c r="L22" i="2"/>
  <c r="P19" i="2"/>
  <c r="T19" i="2"/>
  <c r="T29" i="2" s="1"/>
  <c r="T28" i="2"/>
  <c r="AA28" i="2"/>
  <c r="AA19" i="2"/>
  <c r="Z19" i="2"/>
  <c r="Z29" i="2" s="1"/>
  <c r="Z28" i="2"/>
  <c r="AB19" i="2"/>
  <c r="AB29" i="2" s="1"/>
  <c r="AB28" i="2"/>
  <c r="R28" i="2" l="1"/>
  <c r="AF7" i="2"/>
  <c r="AF38" i="2" s="1"/>
  <c r="AE19" i="2"/>
  <c r="AE12" i="2"/>
  <c r="AE28" i="2" s="1"/>
  <c r="AA22" i="2"/>
  <c r="AA29" i="2"/>
  <c r="AC24" i="2"/>
  <c r="AC30" i="2"/>
  <c r="AD29" i="2"/>
  <c r="AD22" i="2"/>
  <c r="AD23" i="2" s="1"/>
  <c r="N26" i="2"/>
  <c r="AB22" i="2"/>
  <c r="AB30" i="2" s="1"/>
  <c r="R29" i="2"/>
  <c r="K24" i="2"/>
  <c r="K30" i="2"/>
  <c r="S22" i="2"/>
  <c r="S29" i="2"/>
  <c r="L24" i="2"/>
  <c r="L30" i="2"/>
  <c r="M22" i="2"/>
  <c r="M29" i="2"/>
  <c r="P22" i="2"/>
  <c r="P30" i="2" s="1"/>
  <c r="P29" i="2"/>
  <c r="I22" i="2"/>
  <c r="I29" i="2"/>
  <c r="O30" i="2"/>
  <c r="O24" i="2"/>
  <c r="J24" i="2"/>
  <c r="J26" i="2" s="1"/>
  <c r="J30" i="2"/>
  <c r="G24" i="2"/>
  <c r="G26" i="2" s="1"/>
  <c r="G30" i="2"/>
  <c r="Q22" i="2"/>
  <c r="Q29" i="2"/>
  <c r="T22" i="2"/>
  <c r="Z22" i="2"/>
  <c r="AC43" i="2" l="1"/>
  <c r="K26" i="2"/>
  <c r="K39" i="2"/>
  <c r="O39" i="2"/>
  <c r="AA24" i="2"/>
  <c r="AA26" i="2" s="1"/>
  <c r="AA30" i="2"/>
  <c r="N39" i="2"/>
  <c r="L26" i="2"/>
  <c r="L39" i="2"/>
  <c r="AE29" i="2"/>
  <c r="AE22" i="2"/>
  <c r="Z24" i="2"/>
  <c r="Z30" i="2"/>
  <c r="P24" i="2"/>
  <c r="O26" i="2"/>
  <c r="AD24" i="2"/>
  <c r="AD30" i="2"/>
  <c r="AG7" i="2"/>
  <c r="AG38" i="2" s="1"/>
  <c r="AF19" i="2"/>
  <c r="AF12" i="2"/>
  <c r="AF28" i="2" s="1"/>
  <c r="Q24" i="2"/>
  <c r="Q30" i="2"/>
  <c r="S24" i="2"/>
  <c r="S39" i="2" s="1"/>
  <c r="S30" i="2"/>
  <c r="I24" i="2"/>
  <c r="I26" i="2" s="1"/>
  <c r="I30" i="2"/>
  <c r="T24" i="2"/>
  <c r="T30" i="2"/>
  <c r="M24" i="2"/>
  <c r="M30" i="2"/>
  <c r="AB24" i="2"/>
  <c r="R22" i="2"/>
  <c r="AC39" i="2" l="1"/>
  <c r="Z26" i="2"/>
  <c r="AD43" i="2"/>
  <c r="AD39" i="2"/>
  <c r="P26" i="2"/>
  <c r="P39" i="2"/>
  <c r="Q39" i="2"/>
  <c r="Q26" i="2"/>
  <c r="AF29" i="2"/>
  <c r="AF22" i="2"/>
  <c r="M26" i="2"/>
  <c r="M39" i="2"/>
  <c r="T39" i="2"/>
  <c r="AE23" i="2"/>
  <c r="AE30" i="2" s="1"/>
  <c r="AA39" i="2"/>
  <c r="AH7" i="2"/>
  <c r="AH38" i="2" s="1"/>
  <c r="AG12" i="2"/>
  <c r="AG28" i="2" s="1"/>
  <c r="AG19" i="2"/>
  <c r="R30" i="2"/>
  <c r="R24" i="2"/>
  <c r="T26" i="2"/>
  <c r="AB26" i="2"/>
  <c r="AB39" i="2"/>
  <c r="S26" i="2"/>
  <c r="AI7" i="2" l="1"/>
  <c r="AI38" i="2" s="1"/>
  <c r="AH19" i="2"/>
  <c r="AH12" i="2"/>
  <c r="AH28" i="2" s="1"/>
  <c r="AE24" i="2"/>
  <c r="AF23" i="2"/>
  <c r="AF30" i="2" s="1"/>
  <c r="AG29" i="2"/>
  <c r="AG22" i="2"/>
  <c r="AG23" i="2" s="1"/>
  <c r="R39" i="2"/>
  <c r="R26" i="2"/>
  <c r="AF24" i="2" l="1"/>
  <c r="AF39" i="2" s="1"/>
  <c r="AE39" i="2"/>
  <c r="AE43" i="2"/>
  <c r="AF43" i="2" s="1"/>
  <c r="AH29" i="2"/>
  <c r="AH22" i="2"/>
  <c r="AH23" i="2" s="1"/>
  <c r="AG24" i="2"/>
  <c r="AG39" i="2" s="1"/>
  <c r="AG30" i="2"/>
  <c r="AJ7" i="2"/>
  <c r="AJ38" i="2" s="1"/>
  <c r="AI19" i="2"/>
  <c r="AI12" i="2"/>
  <c r="AI28" i="2" s="1"/>
  <c r="AI29" i="2" l="1"/>
  <c r="AI22" i="2"/>
  <c r="AI23" i="2" s="1"/>
  <c r="AH24" i="2"/>
  <c r="AH39" i="2" s="1"/>
  <c r="AH30" i="2"/>
  <c r="AG43" i="2"/>
  <c r="AH43" i="2" s="1"/>
  <c r="AK7" i="2"/>
  <c r="AK38" i="2" s="1"/>
  <c r="AJ12" i="2"/>
  <c r="AJ28" i="2" s="1"/>
  <c r="AJ19" i="2"/>
  <c r="AL7" i="2" l="1"/>
  <c r="AL38" i="2" s="1"/>
  <c r="AK12" i="2"/>
  <c r="AK28" i="2" s="1"/>
  <c r="AK19" i="2"/>
  <c r="AJ29" i="2"/>
  <c r="AJ22" i="2"/>
  <c r="AJ23" i="2" s="1"/>
  <c r="AI24" i="2"/>
  <c r="AI30" i="2"/>
  <c r="AI43" i="2" l="1"/>
  <c r="AI39" i="2"/>
  <c r="AJ24" i="2"/>
  <c r="AJ30" i="2"/>
  <c r="AK29" i="2"/>
  <c r="AK22" i="2"/>
  <c r="AM7" i="2"/>
  <c r="AM38" i="2" s="1"/>
  <c r="AL12" i="2"/>
  <c r="AL28" i="2" s="1"/>
  <c r="AL19" i="2"/>
  <c r="AJ43" i="2" l="1"/>
  <c r="AJ39" i="2"/>
  <c r="AN7" i="2"/>
  <c r="AN38" i="2" s="1"/>
  <c r="AM12" i="2"/>
  <c r="AM28" i="2" s="1"/>
  <c r="AM19" i="2"/>
  <c r="AL29" i="2"/>
  <c r="AL22" i="2"/>
  <c r="AK23" i="2"/>
  <c r="AK30" i="2" s="1"/>
  <c r="AK24" i="2" l="1"/>
  <c r="AL23" i="2"/>
  <c r="AL30" i="2" s="1"/>
  <c r="AM29" i="2"/>
  <c r="AM22" i="2"/>
  <c r="AN19" i="2"/>
  <c r="AN12" i="2"/>
  <c r="AN28" i="2" s="1"/>
  <c r="AL24" i="2" l="1"/>
  <c r="AL39" i="2" s="1"/>
  <c r="AK43" i="2"/>
  <c r="AK39" i="2"/>
  <c r="AM23" i="2"/>
  <c r="AM30" i="2" s="1"/>
  <c r="AN29" i="2"/>
  <c r="AN22" i="2"/>
  <c r="AN23" i="2" s="1"/>
  <c r="AL43" i="2" l="1"/>
  <c r="AM24" i="2"/>
  <c r="AM39" i="2" s="1"/>
  <c r="AN24" i="2"/>
  <c r="AN39" i="2" s="1"/>
  <c r="AN30" i="2"/>
  <c r="AM43" i="2" l="1"/>
  <c r="AO24" i="2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AJ51" i="2" s="1"/>
  <c r="AN43" i="2"/>
  <c r="AJ53" i="2" l="1"/>
  <c r="AJ54" i="2" s="1"/>
  <c r="AJ5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Case</author>
  </authors>
  <commentList>
    <comment ref="T16" authorId="0" shapeId="0" xr:uid="{EE54F444-CF7B-4055-84D4-1739F6884D67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???? Says to be dispute toward former CEO : 824 Million. What is this?
</t>
        </r>
      </text>
    </comment>
    <comment ref="B17" authorId="0" shapeId="0" xr:uid="{3754858E-FDEB-48BC-9BBE-A7F638ADD646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What is this?
</t>
        </r>
      </text>
    </comment>
    <comment ref="B54" authorId="0" shapeId="0" xr:uid="{9F1A0FF7-B70E-48D2-9162-B5118236881D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Accounts payable
</t>
        </r>
      </text>
    </comment>
    <comment ref="B55" authorId="0" shapeId="0" xr:uid="{F86498C8-703C-464A-8F9E-810092E400BC}">
      <text>
        <r>
          <rPr>
            <b/>
            <sz val="9"/>
            <color indexed="81"/>
            <rFont val="Tahoma"/>
            <family val="2"/>
          </rPr>
          <t xml:space="preserve">Josh Case: </t>
        </r>
        <r>
          <rPr>
            <sz val="9"/>
            <color indexed="81"/>
            <rFont val="Tahoma"/>
            <family val="2"/>
          </rPr>
          <t xml:space="preserve">Accured Compensation </t>
        </r>
      </text>
    </comment>
    <comment ref="B56" authorId="0" shapeId="0" xr:uid="{FC1497DB-F238-4762-8AEF-9DE3C5244F59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Deferred Revenue</t>
        </r>
      </text>
    </comment>
  </commentList>
</comments>
</file>

<file path=xl/sharedStrings.xml><?xml version="1.0" encoding="utf-8"?>
<sst xmlns="http://schemas.openxmlformats.org/spreadsheetml/2006/main" count="89" uniqueCount="84">
  <si>
    <t>Price</t>
  </si>
  <si>
    <t>S/O</t>
  </si>
  <si>
    <t>EV</t>
  </si>
  <si>
    <t>Cash</t>
  </si>
  <si>
    <t>Debt</t>
  </si>
  <si>
    <t>MC</t>
  </si>
  <si>
    <t>Q222</t>
  </si>
  <si>
    <t>Cloud Services</t>
  </si>
  <si>
    <t>Licensing</t>
  </si>
  <si>
    <t>Hardware</t>
  </si>
  <si>
    <t>Services</t>
  </si>
  <si>
    <t>Revenue</t>
  </si>
  <si>
    <t>Cost of Cloud Services</t>
  </si>
  <si>
    <t>Cost of Hardware</t>
  </si>
  <si>
    <t>Cost of Services</t>
  </si>
  <si>
    <t>COGS</t>
  </si>
  <si>
    <t>Gross Profit</t>
  </si>
  <si>
    <t>S&amp;M</t>
  </si>
  <si>
    <t>R&amp;D</t>
  </si>
  <si>
    <t>G&amp;A</t>
  </si>
  <si>
    <t>Acquistions</t>
  </si>
  <si>
    <t>Restructuring</t>
  </si>
  <si>
    <t>Operating Costs</t>
  </si>
  <si>
    <t>Operating Income</t>
  </si>
  <si>
    <t>Other Income</t>
  </si>
  <si>
    <t>Pretax Income</t>
  </si>
  <si>
    <t>Taxes</t>
  </si>
  <si>
    <t>Net Income</t>
  </si>
  <si>
    <t>Shares</t>
  </si>
  <si>
    <t>EPS</t>
  </si>
  <si>
    <t>Interest Expense</t>
  </si>
  <si>
    <t>Gross Margins %</t>
  </si>
  <si>
    <t>Revenue Growth Y/Y</t>
  </si>
  <si>
    <t>Income Growth Y/Y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</si>
  <si>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</si>
  <si>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</si>
  <si>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</si>
  <si>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</si>
  <si>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</si>
  <si>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</si>
  <si>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</si>
  <si>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</si>
  <si>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</si>
  <si>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</si>
  <si>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</si>
  <si>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</si>
  <si>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</si>
  <si>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</si>
  <si>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</si>
  <si>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</si>
  <si>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</si>
  <si>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Net Cash</t>
  </si>
  <si>
    <t>A/R</t>
  </si>
  <si>
    <t>Prepaid Expense</t>
  </si>
  <si>
    <t>PP&amp;E</t>
  </si>
  <si>
    <t>Intangibles</t>
  </si>
  <si>
    <t>D/T</t>
  </si>
  <si>
    <t>OL</t>
  </si>
  <si>
    <t>OA</t>
  </si>
  <si>
    <t>Total Assets</t>
  </si>
  <si>
    <t>A/P</t>
  </si>
  <si>
    <t>A/C</t>
  </si>
  <si>
    <t>D/R</t>
  </si>
  <si>
    <t>Tax Payable</t>
  </si>
  <si>
    <t>D/T L</t>
  </si>
  <si>
    <t>OLTL</t>
  </si>
  <si>
    <t>Total Liabilties</t>
  </si>
  <si>
    <t>Tax Rate %</t>
  </si>
  <si>
    <t>Operational Margin %</t>
  </si>
  <si>
    <t>Non-GAAP Operating Margin</t>
  </si>
  <si>
    <t>discount</t>
  </si>
  <si>
    <t>maturity</t>
  </si>
  <si>
    <t>ROIC</t>
  </si>
  <si>
    <t>npv</t>
  </si>
  <si>
    <t>net cash</t>
  </si>
  <si>
    <t>net</t>
  </si>
  <si>
    <t>pre share</t>
  </si>
  <si>
    <t>current share</t>
  </si>
  <si>
    <t>yield</t>
  </si>
  <si>
    <t>CURRENT STOCK MODEL</t>
  </si>
  <si>
    <t>R&amp;D Y/Y</t>
  </si>
  <si>
    <t>R&amp;D Margins</t>
  </si>
  <si>
    <t>S&amp;M Margins</t>
  </si>
  <si>
    <t>G&amp;A Margins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</si>
</sst>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0" applyFont="1"/>
    <xf numFmtId="14" fontId="2" fillId="0" borderId="0" xfId="0" applyNumberFormat="1" applyFont="1"/>
    <xf numFmtId="3" fontId="2" fillId="0" borderId="0" xfId="0" applyNumberFormat="1" applyFont="1"/>
    <xf numFmtId="0" fontId="5" fillId="0" borderId="0" xfId="0" applyFont="1"/>
    <xf numFmtId="3" fontId="5" fillId="0" borderId="0" xfId="0" applyNumberFormat="1" applyFont="1"/>
    <xf numFmtId="4" fontId="2" fillId="0" borderId="0" xfId="0" applyNumberFormat="1" applyFont="1"/>
    <xf numFmtId="9" fontId="2" fillId="0" borderId="0" xfId="0" applyNumberFormat="1" applyFont="1"/>
    <xf numFmtId="38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38100</xdr:colOff>
      <xdr:row>0</xdr:row>
      <xdr:rowOff>28575</xdr:rowOff>
    </xdr:from>
    <xdr:to>
      <xdr:col>28</xdr:col>
      <xdr:colOff>38100</xdr:colOff>
      <xdr:row>48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FC00D93-0382-4E62-AB61-E53CA44BBBF5}"/>
            </a:ext>
          </a:extLst>
        </xdr:cNvPr>
        <xdr:cNvCxnSpPr/>
      </xdr:nvCxnSpPr>
      <xdr:spPr>
        <a:xfrm>
          <a:off x="18021300" y="28575"/>
          <a:ext cx="0" cy="8086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71B1-8586-42CA-9DF0-53B1B7546961}">
  <dimension ref="K3:M8"/>
  <sheetViews>
    <sheetView workbookViewId="0">
      <selection activeCell="U9" sqref="U9"/>
    </sheetView>
  </sheetViews>
  <sheetFormatPr defaultRowHeight="15" x14ac:dyDescent="0.25"/>
  <sheetData>
    <row r="3" spans="11:13" x14ac:dyDescent="0.25">
      <c r="K3" t="s">
        <v>0</v>
      </c>
      <c r="L3">
        <v>102.47</v>
      </c>
    </row>
    <row r="4" spans="11:13" x14ac:dyDescent="0.25">
      <c r="K4" t="s">
        <v>1</v>
      </c>
      <c r="L4" s="2">
        <v>2607.4470000000001</v>
      </c>
      <c r="M4" s="1" t="s">
        <v>6</v>
      </c>
    </row>
    <row r="5" spans="11:13" x14ac:dyDescent="0.25">
      <c r="K5" t="s">
        <v>5</v>
      </c>
      <c r="L5" s="2">
        <f>+L4*L3</f>
        <v>267185.09409000003</v>
      </c>
      <c r="M5" s="1"/>
    </row>
    <row r="6" spans="11:13" x14ac:dyDescent="0.25">
      <c r="K6" t="s">
        <v>3</v>
      </c>
      <c r="L6" s="2">
        <f>17938+4900</f>
        <v>22838</v>
      </c>
      <c r="M6" s="1" t="s">
        <v>6</v>
      </c>
    </row>
    <row r="7" spans="11:13" x14ac:dyDescent="0.25">
      <c r="K7" t="s">
        <v>4</v>
      </c>
      <c r="L7" s="2">
        <f>4998+73433</f>
        <v>78431</v>
      </c>
      <c r="M7" s="1" t="s">
        <v>6</v>
      </c>
    </row>
    <row r="8" spans="11:13" x14ac:dyDescent="0.25">
      <c r="K8" t="s">
        <v>2</v>
      </c>
      <c r="L8" s="2">
        <f>+L5-L6+L7</f>
        <v>322778.09409000003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56C4-613C-44E0-9EF0-F8BDF325CCE4}">
  <dimension ref="B1:CV61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11" sqref="Q11"/>
    </sheetView>
  </sheetViews>
  <sheetFormatPr defaultRowHeight="14.25" x14ac:dyDescent="0.2"/>
  <cols>
    <col min="1" max="1" width="9.140625" style="3"/>
    <col min="2" max="2" width="20.7109375" style="3" bestFit="1" customWidth="1"/>
    <col min="3" max="6" width="9.140625" style="3"/>
    <col min="7" max="18" width="9.28515625" style="3" bestFit="1" customWidth="1"/>
    <col min="19" max="19" width="10.140625" style="3" bestFit="1" customWidth="1"/>
    <col min="20" max="20" width="11.28515625" style="3" bestFit="1" customWidth="1"/>
    <col min="21" max="24" width="9.140625" style="3"/>
    <col min="25" max="35" width="9.28515625" style="3" bestFit="1" customWidth="1"/>
    <col min="36" max="36" width="9.28515625" style="3" customWidth="1"/>
    <col min="37" max="100" width="9.28515625" style="3" bestFit="1" customWidth="1"/>
    <col min="101" max="16384" width="9.140625" style="3"/>
  </cols>
  <sheetData>
    <row r="1" spans="2:40" x14ac:dyDescent="0.2">
      <c r="S1" s="4">
        <v>44452</v>
      </c>
      <c r="T1" s="4">
        <v>44540</v>
      </c>
    </row>
    <row r="2" spans="2:40" x14ac:dyDescent="0.2">
      <c r="C2" s="3" t="s">
        <v>34</v>
      </c>
      <c r="D2" s="3" t="s">
        <v>35</v>
      </c>
      <c r="E2" s="3" t="s">
        <v>36</v>
      </c>
      <c r="F2" s="3" t="s">
        <v>37</v>
      </c>
      <c r="G2" s="3" t="s">
        <v>38</v>
      </c>
      <c r="H2" s="3" t="s">
        <v>39</v>
      </c>
      <c r="I2" s="3" t="s">
        <v>40</v>
      </c>
      <c r="J2" s="3" t="s">
        <v>41</v>
      </c>
      <c r="K2" s="3" t="s">
        <v>42</v>
      </c>
      <c r="L2" s="3" t="s">
        <v>43</v>
      </c>
      <c r="M2" s="3" t="s">
        <v>44</v>
      </c>
      <c r="N2" s="3" t="s">
        <v>45</v>
      </c>
      <c r="O2" s="3" t="s">
        <v>46</v>
      </c>
      <c r="P2" s="3" t="s">
        <v>47</v>
      </c>
      <c r="Q2" s="3" t="s">
        <v>48</v>
      </c>
      <c r="R2" s="3" t="s">
        <v>49</v>
      </c>
      <c r="S2" s="3" t="s">
        <v>50</v>
      </c>
      <c r="T2" s="3" t="s">
        <v>6</v>
      </c>
      <c r="Y2" s="3">
        <v>2018</v>
      </c>
      <c r="Z2" s="3">
        <v>2019</v>
      </c>
      <c r="AA2" s="3">
        <f>+Z2+1</f>
        <v>2020</v>
      </c>
      <c r="AB2" s="3">
        <f>+AA2+1</f>
        <v>2021</v>
      </c>
      <c r="AC2" s="3">
        <f>+AB2+1</f>
        <v>2022</v>
      </c>
      <c r="AD2" s="3">
        <f>+AC2+1</f>
        <v>2023</v>
      </c>
      <c r="AE2" s="3">
        <f t="shared" ref="AE2:AN2" si="0">+AD2+1</f>
        <v>2024</v>
      </c>
      <c r="AF2" s="3">
        <f t="shared" si="0"/>
        <v>2025</v>
      </c>
      <c r="AG2" s="3">
        <f t="shared" si="0"/>
        <v>2026</v>
      </c>
      <c r="AH2" s="3">
        <f t="shared" si="0"/>
        <v>2027</v>
      </c>
      <c r="AI2" s="3">
        <f t="shared" si="0"/>
        <v>2028</v>
      </c>
      <c r="AJ2" s="3">
        <f t="shared" si="0"/>
        <v>2029</v>
      </c>
      <c r="AK2" s="3">
        <f t="shared" si="0"/>
        <v>2030</v>
      </c>
      <c r="AL2" s="3">
        <f t="shared" si="0"/>
        <v>2031</v>
      </c>
      <c r="AM2" s="3">
        <f t="shared" si="0"/>
        <v>2032</v>
      </c>
      <c r="AN2" s="3">
        <f t="shared" si="0"/>
        <v>2033</v>
      </c>
    </row>
    <row r="3" spans="2:40" x14ac:dyDescent="0.2">
      <c r="B3" s="3" t="s">
        <v>7</v>
      </c>
      <c r="G3" s="5">
        <v>6609</v>
      </c>
      <c r="H3" s="5">
        <v>6637</v>
      </c>
      <c r="I3" s="5">
        <v>6662</v>
      </c>
      <c r="J3" s="5">
        <v>6799</v>
      </c>
      <c r="K3" s="5">
        <v>6805</v>
      </c>
      <c r="L3" s="5">
        <v>6811</v>
      </c>
      <c r="M3" s="5">
        <v>6930</v>
      </c>
      <c r="N3" s="5">
        <v>6845</v>
      </c>
      <c r="O3" s="5">
        <v>6947</v>
      </c>
      <c r="P3" s="5">
        <v>7112</v>
      </c>
      <c r="Q3" s="5">
        <v>7252</v>
      </c>
      <c r="R3" s="5">
        <f>+AB3-SUM(O3:Q3)</f>
        <v>7389</v>
      </c>
      <c r="S3" s="5">
        <v>7371</v>
      </c>
      <c r="T3" s="5">
        <v>7554</v>
      </c>
      <c r="Z3" s="5">
        <v>26707</v>
      </c>
      <c r="AA3" s="5">
        <v>27392</v>
      </c>
      <c r="AB3" s="5">
        <v>28700</v>
      </c>
    </row>
    <row r="4" spans="2:40" ht="13.5" customHeight="1" x14ac:dyDescent="0.2">
      <c r="B4" s="3" t="s">
        <v>8</v>
      </c>
      <c r="G4" s="5">
        <v>867</v>
      </c>
      <c r="H4" s="5">
        <v>1217</v>
      </c>
      <c r="I4" s="5">
        <v>1251</v>
      </c>
      <c r="J4" s="5">
        <v>2520</v>
      </c>
      <c r="K4" s="5">
        <v>812</v>
      </c>
      <c r="L4" s="5">
        <v>1126</v>
      </c>
      <c r="M4" s="5">
        <v>1231</v>
      </c>
      <c r="N4" s="5">
        <v>1959</v>
      </c>
      <c r="O4" s="5">
        <v>886</v>
      </c>
      <c r="P4" s="5">
        <v>1092</v>
      </c>
      <c r="Q4" s="5">
        <v>1276</v>
      </c>
      <c r="R4" s="5">
        <v>2144</v>
      </c>
      <c r="S4" s="5">
        <v>813</v>
      </c>
      <c r="T4" s="5">
        <v>1237</v>
      </c>
      <c r="Z4" s="5">
        <v>5855</v>
      </c>
      <c r="AA4" s="5">
        <v>5127</v>
      </c>
      <c r="AB4" s="5">
        <v>5399</v>
      </c>
    </row>
    <row r="5" spans="2:40" x14ac:dyDescent="0.2">
      <c r="B5" s="3" t="s">
        <v>9</v>
      </c>
      <c r="G5" s="5">
        <v>904</v>
      </c>
      <c r="H5" s="5">
        <v>891</v>
      </c>
      <c r="I5" s="5">
        <v>915</v>
      </c>
      <c r="J5" s="5">
        <v>994</v>
      </c>
      <c r="K5" s="5">
        <v>815</v>
      </c>
      <c r="L5" s="5">
        <v>871</v>
      </c>
      <c r="M5" s="5">
        <v>857</v>
      </c>
      <c r="N5" s="5">
        <v>901</v>
      </c>
      <c r="O5" s="5">
        <v>814</v>
      </c>
      <c r="P5" s="5">
        <v>844</v>
      </c>
      <c r="Q5" s="5">
        <v>820</v>
      </c>
      <c r="R5" s="5">
        <v>882</v>
      </c>
      <c r="S5" s="5">
        <v>763</v>
      </c>
      <c r="T5" s="5">
        <v>767</v>
      </c>
      <c r="Z5" s="5">
        <v>3704</v>
      </c>
      <c r="AA5" s="5">
        <v>3443</v>
      </c>
      <c r="AB5" s="5">
        <v>3359</v>
      </c>
    </row>
    <row r="6" spans="2:40" x14ac:dyDescent="0.2">
      <c r="B6" s="3" t="s">
        <v>10</v>
      </c>
      <c r="G6" s="5">
        <v>813</v>
      </c>
      <c r="H6" s="5">
        <v>817</v>
      </c>
      <c r="I6" s="5">
        <v>786</v>
      </c>
      <c r="J6" s="5">
        <v>823</v>
      </c>
      <c r="K6" s="5">
        <v>786</v>
      </c>
      <c r="L6" s="5">
        <v>806</v>
      </c>
      <c r="M6" s="5">
        <v>778</v>
      </c>
      <c r="N6" s="5">
        <v>735</v>
      </c>
      <c r="O6" s="5">
        <v>720</v>
      </c>
      <c r="P6" s="5">
        <v>752</v>
      </c>
      <c r="Q6" s="5">
        <v>737</v>
      </c>
      <c r="R6" s="5">
        <f t="shared" ref="R6:R22" si="1">+AB6-SUM(O6:Q6)</f>
        <v>812</v>
      </c>
      <c r="S6" s="5">
        <v>781</v>
      </c>
      <c r="T6" s="5">
        <v>802</v>
      </c>
      <c r="Z6" s="5">
        <v>3240</v>
      </c>
      <c r="AA6" s="5">
        <v>3106</v>
      </c>
      <c r="AB6" s="5">
        <v>3021</v>
      </c>
    </row>
    <row r="7" spans="2:40" s="6" customFormat="1" ht="15" x14ac:dyDescent="0.25">
      <c r="B7" s="6" t="s">
        <v>11</v>
      </c>
      <c r="G7" s="7">
        <f t="shared" ref="G7:T7" si="2">+SUM(G3:G6)</f>
        <v>9193</v>
      </c>
      <c r="H7" s="7">
        <f t="shared" si="2"/>
        <v>9562</v>
      </c>
      <c r="I7" s="7">
        <f t="shared" si="2"/>
        <v>9614</v>
      </c>
      <c r="J7" s="7">
        <f t="shared" si="2"/>
        <v>11136</v>
      </c>
      <c r="K7" s="7">
        <f t="shared" si="2"/>
        <v>9218</v>
      </c>
      <c r="L7" s="7">
        <f t="shared" si="2"/>
        <v>9614</v>
      </c>
      <c r="M7" s="7">
        <f t="shared" si="2"/>
        <v>9796</v>
      </c>
      <c r="N7" s="7">
        <f t="shared" si="2"/>
        <v>10440</v>
      </c>
      <c r="O7" s="7">
        <f t="shared" si="2"/>
        <v>9367</v>
      </c>
      <c r="P7" s="7">
        <f t="shared" si="2"/>
        <v>9800</v>
      </c>
      <c r="Q7" s="7">
        <f t="shared" si="2"/>
        <v>10085</v>
      </c>
      <c r="R7" s="7">
        <f t="shared" si="2"/>
        <v>11227</v>
      </c>
      <c r="S7" s="7">
        <f t="shared" si="2"/>
        <v>9728</v>
      </c>
      <c r="T7" s="7">
        <f t="shared" si="2"/>
        <v>10360</v>
      </c>
      <c r="Z7" s="7">
        <f>+SUM(Z3:Z6)</f>
        <v>39506</v>
      </c>
      <c r="AA7" s="7">
        <f>+SUM(AA3:AA6)</f>
        <v>39068</v>
      </c>
      <c r="AB7" s="7">
        <f>+SUM(AB3:AB6)</f>
        <v>40479</v>
      </c>
      <c r="AC7" s="7">
        <f>+AB7*1.02</f>
        <v>41288.58</v>
      </c>
      <c r="AD7" s="7">
        <f t="shared" ref="AD7:AN7" si="3">+AC7*1.02</f>
        <v>42114.351600000002</v>
      </c>
      <c r="AE7" s="7">
        <f t="shared" si="3"/>
        <v>42956.638632000002</v>
      </c>
      <c r="AF7" s="7">
        <f t="shared" si="3"/>
        <v>43815.77140464</v>
      </c>
      <c r="AG7" s="7">
        <f t="shared" si="3"/>
        <v>44692.086832732799</v>
      </c>
      <c r="AH7" s="7">
        <f t="shared" si="3"/>
        <v>45585.928569387455</v>
      </c>
      <c r="AI7" s="7">
        <f t="shared" si="3"/>
        <v>46497.647140775203</v>
      </c>
      <c r="AJ7" s="7">
        <f t="shared" si="3"/>
        <v>47427.600083590711</v>
      </c>
      <c r="AK7" s="7">
        <f t="shared" si="3"/>
        <v>48376.152085262525</v>
      </c>
      <c r="AL7" s="7">
        <f t="shared" si="3"/>
        <v>49343.675126967777</v>
      </c>
      <c r="AM7" s="7">
        <f t="shared" si="3"/>
        <v>50330.548629507131</v>
      </c>
      <c r="AN7" s="7">
        <f t="shared" si="3"/>
        <v>51337.159602097272</v>
      </c>
    </row>
    <row r="8" spans="2:40" x14ac:dyDescent="0.2">
      <c r="B8" s="3" t="s">
        <v>12</v>
      </c>
      <c r="G8" s="5">
        <v>913</v>
      </c>
      <c r="H8" s="5">
        <v>956</v>
      </c>
      <c r="I8" s="5">
        <v>937</v>
      </c>
      <c r="J8" s="5">
        <v>975</v>
      </c>
      <c r="K8" s="5">
        <v>982</v>
      </c>
      <c r="L8" s="5">
        <v>1022</v>
      </c>
      <c r="M8" s="5">
        <v>991</v>
      </c>
      <c r="N8" s="5">
        <v>1012</v>
      </c>
      <c r="O8" s="5">
        <v>1011</v>
      </c>
      <c r="P8" s="5">
        <v>1064</v>
      </c>
      <c r="Q8" s="5">
        <v>1064</v>
      </c>
      <c r="R8" s="5">
        <f t="shared" si="1"/>
        <v>1214</v>
      </c>
      <c r="S8" s="5">
        <v>1214</v>
      </c>
      <c r="T8" s="5">
        <v>1259</v>
      </c>
      <c r="Z8" s="5">
        <v>3782</v>
      </c>
      <c r="AA8" s="5">
        <v>4006</v>
      </c>
      <c r="AB8" s="5">
        <v>4353</v>
      </c>
    </row>
    <row r="9" spans="2:40" x14ac:dyDescent="0.2">
      <c r="B9" s="3" t="s">
        <v>13</v>
      </c>
      <c r="G9" s="5">
        <v>326</v>
      </c>
      <c r="H9" s="5">
        <v>332</v>
      </c>
      <c r="I9" s="5">
        <v>339</v>
      </c>
      <c r="J9" s="5">
        <v>362</v>
      </c>
      <c r="K9" s="5">
        <v>272</v>
      </c>
      <c r="L9" s="5">
        <v>285</v>
      </c>
      <c r="M9" s="5">
        <v>271</v>
      </c>
      <c r="N9" s="5">
        <v>288</v>
      </c>
      <c r="O9" s="5">
        <v>246</v>
      </c>
      <c r="P9" s="5">
        <v>244</v>
      </c>
      <c r="Q9" s="5">
        <v>230</v>
      </c>
      <c r="R9" s="5">
        <f t="shared" si="1"/>
        <v>252</v>
      </c>
      <c r="S9" s="5">
        <v>245</v>
      </c>
      <c r="T9" s="5">
        <v>229</v>
      </c>
      <c r="Z9" s="5">
        <v>1360</v>
      </c>
      <c r="AA9" s="5">
        <v>1116</v>
      </c>
      <c r="AB9" s="5">
        <v>972</v>
      </c>
    </row>
    <row r="10" spans="2:40" x14ac:dyDescent="0.2">
      <c r="B10" s="3" t="s">
        <v>14</v>
      </c>
      <c r="G10" s="5">
        <v>714</v>
      </c>
      <c r="H10" s="5">
        <v>713</v>
      </c>
      <c r="I10" s="5">
        <v>700</v>
      </c>
      <c r="J10" s="5">
        <v>726</v>
      </c>
      <c r="K10" s="5">
        <v>703</v>
      </c>
      <c r="L10" s="5">
        <v>741</v>
      </c>
      <c r="M10" s="5">
        <v>702</v>
      </c>
      <c r="N10" s="5">
        <v>669</v>
      </c>
      <c r="O10" s="5">
        <v>623</v>
      </c>
      <c r="P10" s="5">
        <v>631</v>
      </c>
      <c r="Q10" s="5">
        <v>621</v>
      </c>
      <c r="R10" s="5">
        <f t="shared" si="1"/>
        <v>655</v>
      </c>
      <c r="S10" s="5">
        <v>644</v>
      </c>
      <c r="T10" s="5">
        <v>671</v>
      </c>
      <c r="Z10" s="5">
        <v>2853</v>
      </c>
      <c r="AA10" s="5">
        <v>2816</v>
      </c>
      <c r="AB10" s="5">
        <v>2530</v>
      </c>
    </row>
    <row r="11" spans="2:40" x14ac:dyDescent="0.2">
      <c r="B11" s="3" t="s">
        <v>15</v>
      </c>
      <c r="G11" s="5">
        <f t="shared" ref="G11:T11" si="4">+SUM(G8:G10)</f>
        <v>1953</v>
      </c>
      <c r="H11" s="5">
        <f t="shared" si="4"/>
        <v>2001</v>
      </c>
      <c r="I11" s="5">
        <f t="shared" si="4"/>
        <v>1976</v>
      </c>
      <c r="J11" s="5">
        <f t="shared" si="4"/>
        <v>2063</v>
      </c>
      <c r="K11" s="5">
        <f t="shared" si="4"/>
        <v>1957</v>
      </c>
      <c r="L11" s="5">
        <f t="shared" si="4"/>
        <v>2048</v>
      </c>
      <c r="M11" s="5">
        <f t="shared" si="4"/>
        <v>1964</v>
      </c>
      <c r="N11" s="5">
        <f t="shared" si="4"/>
        <v>1969</v>
      </c>
      <c r="O11" s="5">
        <f t="shared" si="4"/>
        <v>1880</v>
      </c>
      <c r="P11" s="5">
        <f t="shared" si="4"/>
        <v>1939</v>
      </c>
      <c r="Q11" s="5">
        <f t="shared" si="4"/>
        <v>1915</v>
      </c>
      <c r="R11" s="5">
        <f t="shared" si="4"/>
        <v>2121</v>
      </c>
      <c r="S11" s="5">
        <f t="shared" si="4"/>
        <v>2103</v>
      </c>
      <c r="T11" s="5">
        <f t="shared" si="4"/>
        <v>2159</v>
      </c>
      <c r="Z11" s="5">
        <f>+SUM(Z8:Z10)</f>
        <v>7995</v>
      </c>
      <c r="AA11" s="5">
        <f>+SUM(AA8:AA10)</f>
        <v>7938</v>
      </c>
      <c r="AB11" s="5">
        <f>+SUM(AB8:AB10)</f>
        <v>7855</v>
      </c>
    </row>
    <row r="12" spans="2:40" s="6" customFormat="1" ht="15" x14ac:dyDescent="0.25">
      <c r="B12" s="6" t="s">
        <v>16</v>
      </c>
      <c r="G12" s="7">
        <f t="shared" ref="G12:T12" si="5">+G7-G11</f>
        <v>7240</v>
      </c>
      <c r="H12" s="7">
        <f t="shared" si="5"/>
        <v>7561</v>
      </c>
      <c r="I12" s="7">
        <f t="shared" si="5"/>
        <v>7638</v>
      </c>
      <c r="J12" s="7">
        <f t="shared" si="5"/>
        <v>9073</v>
      </c>
      <c r="K12" s="7">
        <f t="shared" si="5"/>
        <v>7261</v>
      </c>
      <c r="L12" s="7">
        <f t="shared" si="5"/>
        <v>7566</v>
      </c>
      <c r="M12" s="7">
        <f t="shared" si="5"/>
        <v>7832</v>
      </c>
      <c r="N12" s="7">
        <f t="shared" si="5"/>
        <v>8471</v>
      </c>
      <c r="O12" s="7">
        <f t="shared" si="5"/>
        <v>7487</v>
      </c>
      <c r="P12" s="7">
        <f t="shared" si="5"/>
        <v>7861</v>
      </c>
      <c r="Q12" s="7">
        <f t="shared" si="5"/>
        <v>8170</v>
      </c>
      <c r="R12" s="7">
        <f t="shared" si="5"/>
        <v>9106</v>
      </c>
      <c r="S12" s="7">
        <f t="shared" si="5"/>
        <v>7625</v>
      </c>
      <c r="T12" s="7">
        <f t="shared" si="5"/>
        <v>8201</v>
      </c>
      <c r="Z12" s="7">
        <f>+Z7-Z11</f>
        <v>31511</v>
      </c>
      <c r="AA12" s="7">
        <f>+AA7-AA11</f>
        <v>31130</v>
      </c>
      <c r="AB12" s="7">
        <f>+AB7-AB11</f>
        <v>32624</v>
      </c>
      <c r="AC12" s="7">
        <f>+AC7*0.8</f>
        <v>33030.864000000001</v>
      </c>
      <c r="AD12" s="7">
        <f t="shared" ref="AD12:AN12" si="6">+AD7*0.8</f>
        <v>33691.48128</v>
      </c>
      <c r="AE12" s="7">
        <f t="shared" si="6"/>
        <v>34365.310905600003</v>
      </c>
      <c r="AF12" s="7">
        <f t="shared" si="6"/>
        <v>35052.617123712</v>
      </c>
      <c r="AG12" s="7">
        <f t="shared" si="6"/>
        <v>35753.669466186242</v>
      </c>
      <c r="AH12" s="7">
        <f t="shared" si="6"/>
        <v>36468.742855509969</v>
      </c>
      <c r="AI12" s="7">
        <f t="shared" si="6"/>
        <v>37198.117712620166</v>
      </c>
      <c r="AJ12" s="7">
        <f t="shared" si="6"/>
        <v>37942.080066872571</v>
      </c>
      <c r="AK12" s="7">
        <f t="shared" si="6"/>
        <v>38700.921668210023</v>
      </c>
      <c r="AL12" s="7">
        <f t="shared" si="6"/>
        <v>39474.940101574226</v>
      </c>
      <c r="AM12" s="7">
        <f t="shared" si="6"/>
        <v>40264.438903605711</v>
      </c>
      <c r="AN12" s="7">
        <f t="shared" si="6"/>
        <v>41069.727681677818</v>
      </c>
    </row>
    <row r="13" spans="2:40" x14ac:dyDescent="0.2">
      <c r="B13" s="3" t="s">
        <v>17</v>
      </c>
      <c r="G13" s="5">
        <v>2039</v>
      </c>
      <c r="H13" s="5">
        <v>2101</v>
      </c>
      <c r="I13" s="5">
        <v>2051</v>
      </c>
      <c r="J13" s="5">
        <v>2318</v>
      </c>
      <c r="K13" s="5">
        <v>2018</v>
      </c>
      <c r="L13" s="5">
        <v>2068</v>
      </c>
      <c r="M13" s="5">
        <v>2049</v>
      </c>
      <c r="N13" s="5">
        <v>1959</v>
      </c>
      <c r="O13" s="5">
        <v>1854</v>
      </c>
      <c r="P13" s="5">
        <v>1836</v>
      </c>
      <c r="Q13" s="5">
        <v>1915</v>
      </c>
      <c r="R13" s="5">
        <f t="shared" si="1"/>
        <v>2077</v>
      </c>
      <c r="S13" s="5">
        <v>1854</v>
      </c>
      <c r="T13" s="5">
        <v>1954</v>
      </c>
      <c r="Z13" s="5">
        <v>8509</v>
      </c>
      <c r="AA13" s="5">
        <v>8094</v>
      </c>
      <c r="AB13" s="5">
        <v>7682</v>
      </c>
    </row>
    <row r="14" spans="2:40" x14ac:dyDescent="0.2">
      <c r="B14" s="3" t="s">
        <v>18</v>
      </c>
      <c r="G14" s="5">
        <v>1564</v>
      </c>
      <c r="H14" s="5">
        <v>1475</v>
      </c>
      <c r="I14" s="5">
        <v>1426</v>
      </c>
      <c r="J14" s="5">
        <v>1562</v>
      </c>
      <c r="K14" s="5">
        <v>1557</v>
      </c>
      <c r="L14" s="5">
        <v>1531</v>
      </c>
      <c r="M14" s="5">
        <v>1500</v>
      </c>
      <c r="N14" s="5">
        <f>+AA14-SUM(K14:M14)</f>
        <v>1479</v>
      </c>
      <c r="O14" s="5">
        <v>1589</v>
      </c>
      <c r="P14" s="5">
        <v>1601</v>
      </c>
      <c r="Q14" s="5">
        <v>1621</v>
      </c>
      <c r="R14" s="5">
        <v>1715</v>
      </c>
      <c r="S14" s="5">
        <v>1684</v>
      </c>
      <c r="T14" s="5">
        <v>1754</v>
      </c>
      <c r="Z14" s="5">
        <v>6026</v>
      </c>
      <c r="AA14" s="5">
        <v>6067</v>
      </c>
      <c r="AB14" s="5">
        <v>6527</v>
      </c>
    </row>
    <row r="15" spans="2:40" x14ac:dyDescent="0.2">
      <c r="B15" s="3" t="s">
        <v>19</v>
      </c>
      <c r="G15" s="5">
        <v>321</v>
      </c>
      <c r="H15" s="5">
        <v>299</v>
      </c>
      <c r="I15" s="5">
        <v>316</v>
      </c>
      <c r="J15" s="5">
        <v>329</v>
      </c>
      <c r="K15" s="5">
        <v>292</v>
      </c>
      <c r="L15" s="5">
        <v>323</v>
      </c>
      <c r="M15" s="5">
        <v>288</v>
      </c>
      <c r="N15" s="5">
        <f t="shared" ref="N14:N15" si="7">+AA15-SUM(K15:M15)</f>
        <v>278</v>
      </c>
      <c r="O15" s="5">
        <v>295</v>
      </c>
      <c r="P15" s="5">
        <v>324</v>
      </c>
      <c r="Q15" s="5">
        <v>330</v>
      </c>
      <c r="R15" s="5">
        <v>306</v>
      </c>
      <c r="S15" s="5">
        <v>298</v>
      </c>
      <c r="T15" s="5">
        <v>319</v>
      </c>
      <c r="Z15" s="5">
        <v>1265</v>
      </c>
      <c r="AA15" s="5">
        <v>1181</v>
      </c>
      <c r="AB15" s="5">
        <v>1254</v>
      </c>
    </row>
    <row r="16" spans="2:40" x14ac:dyDescent="0.2">
      <c r="B16" s="3" t="s">
        <v>20</v>
      </c>
      <c r="G16" s="5">
        <v>14</v>
      </c>
      <c r="H16" s="5">
        <v>18</v>
      </c>
      <c r="I16" s="5">
        <v>-4</v>
      </c>
      <c r="J16" s="5">
        <v>15</v>
      </c>
      <c r="K16" s="5">
        <v>25</v>
      </c>
      <c r="L16" s="5">
        <v>12</v>
      </c>
      <c r="M16" s="5">
        <v>7</v>
      </c>
      <c r="N16" s="5">
        <v>11</v>
      </c>
      <c r="O16" s="5">
        <v>19</v>
      </c>
      <c r="P16" s="5">
        <v>76</v>
      </c>
      <c r="Q16" s="5">
        <v>13</v>
      </c>
      <c r="R16" s="5">
        <v>30</v>
      </c>
      <c r="S16" s="5">
        <v>21</v>
      </c>
      <c r="T16" s="5">
        <v>4667</v>
      </c>
      <c r="V16" s="5"/>
      <c r="X16" s="5"/>
      <c r="Z16" s="5">
        <v>44</v>
      </c>
      <c r="AA16" s="5">
        <v>56</v>
      </c>
      <c r="AB16" s="5">
        <v>138</v>
      </c>
    </row>
    <row r="17" spans="2:100" x14ac:dyDescent="0.2">
      <c r="B17" s="3" t="s">
        <v>21</v>
      </c>
      <c r="G17" s="5">
        <v>90</v>
      </c>
      <c r="H17" s="5">
        <v>143</v>
      </c>
      <c r="I17" s="5">
        <v>43</v>
      </c>
      <c r="J17" s="5">
        <v>168</v>
      </c>
      <c r="K17" s="5">
        <v>78</v>
      </c>
      <c r="L17" s="5">
        <v>42</v>
      </c>
      <c r="M17" s="5">
        <v>60</v>
      </c>
      <c r="N17" s="5">
        <v>69</v>
      </c>
      <c r="O17" s="5">
        <v>174</v>
      </c>
      <c r="P17" s="5">
        <v>96</v>
      </c>
      <c r="Q17" s="5">
        <v>66</v>
      </c>
      <c r="R17" s="5">
        <v>94</v>
      </c>
      <c r="S17" s="5">
        <v>38</v>
      </c>
      <c r="T17" s="5">
        <v>32</v>
      </c>
      <c r="Z17" s="5">
        <v>443</v>
      </c>
      <c r="AA17" s="5">
        <v>250</v>
      </c>
      <c r="AB17" s="5">
        <v>431</v>
      </c>
    </row>
    <row r="18" spans="2:100" x14ac:dyDescent="0.2">
      <c r="B18" s="3" t="s">
        <v>22</v>
      </c>
      <c r="G18" s="5">
        <f t="shared" ref="G18:T18" si="8">+SUM(G13:G17)</f>
        <v>4028</v>
      </c>
      <c r="H18" s="5">
        <f t="shared" si="8"/>
        <v>4036</v>
      </c>
      <c r="I18" s="5">
        <f t="shared" si="8"/>
        <v>3832</v>
      </c>
      <c r="J18" s="5">
        <f t="shared" si="8"/>
        <v>4392</v>
      </c>
      <c r="K18" s="5">
        <f t="shared" si="8"/>
        <v>3970</v>
      </c>
      <c r="L18" s="5">
        <f t="shared" si="8"/>
        <v>3976</v>
      </c>
      <c r="M18" s="5">
        <f t="shared" si="8"/>
        <v>3904</v>
      </c>
      <c r="N18" s="5">
        <f t="shared" si="8"/>
        <v>3796</v>
      </c>
      <c r="O18" s="5">
        <f t="shared" si="8"/>
        <v>3931</v>
      </c>
      <c r="P18" s="5">
        <f t="shared" si="8"/>
        <v>3933</v>
      </c>
      <c r="Q18" s="5">
        <f t="shared" si="8"/>
        <v>3945</v>
      </c>
      <c r="R18" s="5">
        <f t="shared" si="8"/>
        <v>4222</v>
      </c>
      <c r="S18" s="5">
        <f t="shared" si="8"/>
        <v>3895</v>
      </c>
      <c r="T18" s="5">
        <f t="shared" si="8"/>
        <v>8726</v>
      </c>
      <c r="Z18" s="5">
        <f>+SUM(Z13:Z17)</f>
        <v>16287</v>
      </c>
      <c r="AA18" s="5">
        <f>+SUM(AA13:AA17)</f>
        <v>15648</v>
      </c>
      <c r="AB18" s="5">
        <f>+SUM(AB13:AB17)</f>
        <v>16032</v>
      </c>
    </row>
    <row r="19" spans="2:100" s="6" customFormat="1" ht="15" x14ac:dyDescent="0.25">
      <c r="B19" s="6" t="s">
        <v>23</v>
      </c>
      <c r="G19" s="7">
        <f t="shared" ref="G19:T19" si="9">+G12-G18</f>
        <v>3212</v>
      </c>
      <c r="H19" s="7">
        <f t="shared" si="9"/>
        <v>3525</v>
      </c>
      <c r="I19" s="7">
        <f t="shared" si="9"/>
        <v>3806</v>
      </c>
      <c r="J19" s="7">
        <f t="shared" si="9"/>
        <v>4681</v>
      </c>
      <c r="K19" s="7">
        <f t="shared" si="9"/>
        <v>3291</v>
      </c>
      <c r="L19" s="7">
        <f t="shared" si="9"/>
        <v>3590</v>
      </c>
      <c r="M19" s="7">
        <f t="shared" si="9"/>
        <v>3928</v>
      </c>
      <c r="N19" s="7">
        <f t="shared" si="9"/>
        <v>4675</v>
      </c>
      <c r="O19" s="7">
        <f t="shared" si="9"/>
        <v>3556</v>
      </c>
      <c r="P19" s="7">
        <f t="shared" si="9"/>
        <v>3928</v>
      </c>
      <c r="Q19" s="7">
        <f t="shared" si="9"/>
        <v>4225</v>
      </c>
      <c r="R19" s="7">
        <f t="shared" si="9"/>
        <v>4884</v>
      </c>
      <c r="S19" s="7">
        <f t="shared" si="9"/>
        <v>3730</v>
      </c>
      <c r="T19" s="7">
        <f t="shared" si="9"/>
        <v>-525</v>
      </c>
      <c r="Z19" s="7">
        <f>+Z12-Z18</f>
        <v>15224</v>
      </c>
      <c r="AA19" s="7">
        <f>+AA12-AA18</f>
        <v>15482</v>
      </c>
      <c r="AB19" s="7">
        <f>+AB12-AB18</f>
        <v>16592</v>
      </c>
      <c r="AC19" s="7">
        <f>+AC7*0.4</f>
        <v>16515.432000000001</v>
      </c>
      <c r="AD19" s="7">
        <f t="shared" ref="AD19:AN19" si="10">+AD7*0.4</f>
        <v>16845.74064</v>
      </c>
      <c r="AE19" s="7">
        <f t="shared" si="10"/>
        <v>17182.655452800002</v>
      </c>
      <c r="AF19" s="7">
        <f t="shared" si="10"/>
        <v>17526.308561856</v>
      </c>
      <c r="AG19" s="7">
        <f t="shared" si="10"/>
        <v>17876.834733093121</v>
      </c>
      <c r="AH19" s="7">
        <f t="shared" si="10"/>
        <v>18234.371427754984</v>
      </c>
      <c r="AI19" s="7">
        <f t="shared" si="10"/>
        <v>18599.058856310083</v>
      </c>
      <c r="AJ19" s="7">
        <f t="shared" si="10"/>
        <v>18971.040033436286</v>
      </c>
      <c r="AK19" s="7">
        <f t="shared" si="10"/>
        <v>19350.460834105012</v>
      </c>
      <c r="AL19" s="7">
        <f t="shared" si="10"/>
        <v>19737.470050787113</v>
      </c>
      <c r="AM19" s="7">
        <f t="shared" si="10"/>
        <v>20132.219451802855</v>
      </c>
      <c r="AN19" s="7">
        <f t="shared" si="10"/>
        <v>20534.863840838909</v>
      </c>
    </row>
    <row r="20" spans="2:100" x14ac:dyDescent="0.2">
      <c r="B20" s="3" t="s">
        <v>30</v>
      </c>
      <c r="G20" s="5">
        <v>-529</v>
      </c>
      <c r="H20" s="5">
        <v>-509</v>
      </c>
      <c r="I20" s="5">
        <v>-509</v>
      </c>
      <c r="J20" s="5">
        <v>-525</v>
      </c>
      <c r="K20" s="5">
        <v>-494</v>
      </c>
      <c r="L20" s="5">
        <v>-465</v>
      </c>
      <c r="M20" s="5">
        <v>-456</v>
      </c>
      <c r="N20" s="5">
        <v>-580</v>
      </c>
      <c r="O20" s="5">
        <v>-614</v>
      </c>
      <c r="P20" s="5">
        <v>-600</v>
      </c>
      <c r="Q20" s="5">
        <v>-585</v>
      </c>
      <c r="R20" s="5">
        <f t="shared" si="1"/>
        <v>-697</v>
      </c>
      <c r="S20" s="5">
        <v>-705</v>
      </c>
      <c r="T20" s="5">
        <v>-679</v>
      </c>
      <c r="Z20" s="5">
        <v>-2082</v>
      </c>
      <c r="AA20" s="5">
        <v>-1995</v>
      </c>
      <c r="AB20" s="5">
        <v>-2496</v>
      </c>
      <c r="AC20" s="5">
        <f>+AB20*1.02</f>
        <v>-2545.92</v>
      </c>
      <c r="AD20" s="5">
        <f t="shared" ref="AD20:AN20" si="11">+AC20*1.02</f>
        <v>-2596.8384000000001</v>
      </c>
      <c r="AE20" s="5">
        <f t="shared" si="11"/>
        <v>-2648.7751680000001</v>
      </c>
      <c r="AF20" s="5">
        <f t="shared" si="11"/>
        <v>-2701.7506713600001</v>
      </c>
      <c r="AG20" s="5">
        <f t="shared" si="11"/>
        <v>-2755.7856847871999</v>
      </c>
      <c r="AH20" s="5">
        <f t="shared" si="11"/>
        <v>-2810.9013984829439</v>
      </c>
      <c r="AI20" s="5">
        <f t="shared" si="11"/>
        <v>-2867.119426452603</v>
      </c>
      <c r="AJ20" s="5">
        <f t="shared" si="11"/>
        <v>-2924.4618149816552</v>
      </c>
      <c r="AK20" s="5">
        <f t="shared" si="11"/>
        <v>-2982.9510512812885</v>
      </c>
      <c r="AL20" s="5">
        <f t="shared" si="11"/>
        <v>-3042.6100723069144</v>
      </c>
      <c r="AM20" s="5">
        <f t="shared" si="11"/>
        <v>-3103.4622737530526</v>
      </c>
      <c r="AN20" s="5">
        <f t="shared" si="11"/>
        <v>-3165.5315192281137</v>
      </c>
    </row>
    <row r="21" spans="2:100" x14ac:dyDescent="0.2">
      <c r="B21" s="3" t="s">
        <v>24</v>
      </c>
      <c r="G21" s="5">
        <v>291</v>
      </c>
      <c r="H21" s="5">
        <v>198</v>
      </c>
      <c r="I21" s="5">
        <v>198</v>
      </c>
      <c r="J21" s="5">
        <v>134</v>
      </c>
      <c r="K21" s="5">
        <v>99</v>
      </c>
      <c r="L21" s="5">
        <v>92</v>
      </c>
      <c r="M21" s="5">
        <v>4</v>
      </c>
      <c r="N21" s="5">
        <v>-33</v>
      </c>
      <c r="O21" s="5">
        <v>-2</v>
      </c>
      <c r="P21" s="5">
        <v>-11</v>
      </c>
      <c r="Q21" s="5">
        <v>-17</v>
      </c>
      <c r="R21" s="5">
        <f t="shared" si="1"/>
        <v>312</v>
      </c>
      <c r="S21" s="5">
        <v>-41</v>
      </c>
      <c r="T21" s="5">
        <v>7</v>
      </c>
      <c r="Z21" s="5">
        <v>815</v>
      </c>
      <c r="AA21" s="3">
        <v>162</v>
      </c>
      <c r="AB21" s="3">
        <v>282</v>
      </c>
      <c r="AC21" s="5">
        <f>+AB21+(1+AJ48)</f>
        <v>283.01499999999999</v>
      </c>
      <c r="AD21" s="5">
        <f t="shared" ref="AD21:AN21" si="12">+AC21+(1+AK48)</f>
        <v>284.01499999999999</v>
      </c>
      <c r="AE21" s="5">
        <f t="shared" si="12"/>
        <v>285.01499999999999</v>
      </c>
      <c r="AF21" s="5">
        <f t="shared" si="12"/>
        <v>286.01499999999999</v>
      </c>
      <c r="AG21" s="5">
        <f t="shared" si="12"/>
        <v>287.01499999999999</v>
      </c>
      <c r="AH21" s="5">
        <f t="shared" si="12"/>
        <v>288.01499999999999</v>
      </c>
      <c r="AI21" s="5">
        <f t="shared" si="12"/>
        <v>289.01499999999999</v>
      </c>
      <c r="AJ21" s="5">
        <f t="shared" si="12"/>
        <v>290.01499999999999</v>
      </c>
      <c r="AK21" s="5">
        <f t="shared" si="12"/>
        <v>291.01499999999999</v>
      </c>
      <c r="AL21" s="5">
        <f t="shared" si="12"/>
        <v>292.01499999999999</v>
      </c>
      <c r="AM21" s="5">
        <f t="shared" si="12"/>
        <v>293.01499999999999</v>
      </c>
      <c r="AN21" s="5">
        <f t="shared" si="12"/>
        <v>294.01499999999999</v>
      </c>
    </row>
    <row r="22" spans="2:100" x14ac:dyDescent="0.2">
      <c r="B22" s="3" t="s">
        <v>25</v>
      </c>
      <c r="G22" s="5">
        <f t="shared" ref="G22:Q22" si="13">+G19+G20+G21</f>
        <v>2974</v>
      </c>
      <c r="H22" s="5">
        <f t="shared" si="13"/>
        <v>3214</v>
      </c>
      <c r="I22" s="5">
        <f t="shared" si="13"/>
        <v>3495</v>
      </c>
      <c r="J22" s="5">
        <f t="shared" si="13"/>
        <v>4290</v>
      </c>
      <c r="K22" s="5">
        <f t="shared" si="13"/>
        <v>2896</v>
      </c>
      <c r="L22" s="5">
        <f t="shared" si="13"/>
        <v>3217</v>
      </c>
      <c r="M22" s="5">
        <f t="shared" si="13"/>
        <v>3476</v>
      </c>
      <c r="N22" s="5">
        <f t="shared" si="13"/>
        <v>4062</v>
      </c>
      <c r="O22" s="5">
        <f t="shared" si="13"/>
        <v>2940</v>
      </c>
      <c r="P22" s="5">
        <f t="shared" si="13"/>
        <v>3317</v>
      </c>
      <c r="Q22" s="5">
        <f t="shared" si="13"/>
        <v>3623</v>
      </c>
      <c r="R22" s="5">
        <f t="shared" si="1"/>
        <v>4498</v>
      </c>
      <c r="S22" s="5">
        <f>+S19+S20+S21</f>
        <v>2984</v>
      </c>
      <c r="T22" s="5">
        <f>+T19+T20+T21</f>
        <v>-1197</v>
      </c>
      <c r="Z22" s="5">
        <f>+Z19+Z20+Z21</f>
        <v>13957</v>
      </c>
      <c r="AA22" s="5">
        <f>+AA19+AA20+AA21</f>
        <v>13649</v>
      </c>
      <c r="AB22" s="5">
        <f>+AB19+AB20+AB21</f>
        <v>14378</v>
      </c>
      <c r="AC22" s="5">
        <f>+AC19+AC20+AC21</f>
        <v>14252.527</v>
      </c>
      <c r="AD22" s="5">
        <f t="shared" ref="AD22:AN22" si="14">+AD19+AD20+AD21</f>
        <v>14532.917239999999</v>
      </c>
      <c r="AE22" s="5">
        <f t="shared" si="14"/>
        <v>14818.895284800001</v>
      </c>
      <c r="AF22" s="5">
        <f t="shared" si="14"/>
        <v>15110.572890496</v>
      </c>
      <c r="AG22" s="5">
        <f t="shared" si="14"/>
        <v>15408.064048305921</v>
      </c>
      <c r="AH22" s="5">
        <f t="shared" si="14"/>
        <v>15711.48502927204</v>
      </c>
      <c r="AI22" s="5">
        <f t="shared" si="14"/>
        <v>16020.95442985748</v>
      </c>
      <c r="AJ22" s="5">
        <f t="shared" si="14"/>
        <v>16336.593218454629</v>
      </c>
      <c r="AK22" s="5">
        <f t="shared" si="14"/>
        <v>16658.524782823722</v>
      </c>
      <c r="AL22" s="5">
        <f t="shared" si="14"/>
        <v>16986.874978480198</v>
      </c>
      <c r="AM22" s="5">
        <f t="shared" si="14"/>
        <v>17321.772178049803</v>
      </c>
      <c r="AN22" s="5">
        <f t="shared" si="14"/>
        <v>17663.347321610796</v>
      </c>
    </row>
    <row r="23" spans="2:100" s="6" customFormat="1" ht="15" x14ac:dyDescent="0.25">
      <c r="B23" s="3" t="s">
        <v>26</v>
      </c>
      <c r="C23" s="3"/>
      <c r="D23" s="3"/>
      <c r="E23" s="3"/>
      <c r="F23" s="3"/>
      <c r="G23" s="3">
        <v>275</v>
      </c>
      <c r="H23" s="3">
        <v>343</v>
      </c>
      <c r="I23" s="3">
        <v>343</v>
      </c>
      <c r="J23" s="3">
        <v>126</v>
      </c>
      <c r="K23" s="3">
        <v>345</v>
      </c>
      <c r="L23" s="3">
        <v>499</v>
      </c>
      <c r="M23" s="3">
        <v>505</v>
      </c>
      <c r="N23" s="5">
        <v>580</v>
      </c>
      <c r="O23" s="3">
        <v>344</v>
      </c>
      <c r="P23" s="3">
        <v>530</v>
      </c>
      <c r="Q23" s="3">
        <v>-1745</v>
      </c>
      <c r="R23" s="5">
        <v>-124</v>
      </c>
      <c r="S23" s="3">
        <v>224</v>
      </c>
      <c r="T23" s="3">
        <v>249</v>
      </c>
      <c r="Y23" s="3"/>
      <c r="Z23" s="5">
        <v>-1928</v>
      </c>
      <c r="AA23" s="5">
        <v>-1928</v>
      </c>
      <c r="AB23" s="5">
        <v>747</v>
      </c>
      <c r="AC23" s="5">
        <f>+AC22*0.12</f>
        <v>1710.30324</v>
      </c>
      <c r="AD23" s="5">
        <f t="shared" ref="AD23:AN23" si="15">+AD22*0.12</f>
        <v>1743.9500687999998</v>
      </c>
      <c r="AE23" s="5">
        <f t="shared" si="15"/>
        <v>1778.2674341760001</v>
      </c>
      <c r="AF23" s="5">
        <f t="shared" si="15"/>
        <v>1813.26874685952</v>
      </c>
      <c r="AG23" s="5">
        <f t="shared" si="15"/>
        <v>1848.9676857967106</v>
      </c>
      <c r="AH23" s="5">
        <f t="shared" si="15"/>
        <v>1885.3782035126449</v>
      </c>
      <c r="AI23" s="5">
        <f t="shared" si="15"/>
        <v>1922.5145315828975</v>
      </c>
      <c r="AJ23" s="5">
        <f t="shared" si="15"/>
        <v>1960.3911862145553</v>
      </c>
      <c r="AK23" s="5">
        <f t="shared" si="15"/>
        <v>1999.0229739388467</v>
      </c>
      <c r="AL23" s="5">
        <f t="shared" si="15"/>
        <v>2038.4249974176237</v>
      </c>
      <c r="AM23" s="5">
        <f t="shared" si="15"/>
        <v>2078.6126613659762</v>
      </c>
      <c r="AN23" s="5">
        <f t="shared" si="15"/>
        <v>2119.6016785932952</v>
      </c>
    </row>
    <row r="24" spans="2:100" ht="15" x14ac:dyDescent="0.25">
      <c r="B24" s="6" t="s">
        <v>27</v>
      </c>
      <c r="C24" s="6"/>
      <c r="D24" s="6"/>
      <c r="E24" s="6"/>
      <c r="F24" s="6"/>
      <c r="G24" s="7">
        <f t="shared" ref="G24:S24" si="16">+G22-G23</f>
        <v>2699</v>
      </c>
      <c r="H24" s="7">
        <f t="shared" si="16"/>
        <v>2871</v>
      </c>
      <c r="I24" s="7">
        <f t="shared" si="16"/>
        <v>3152</v>
      </c>
      <c r="J24" s="7">
        <f t="shared" si="16"/>
        <v>4164</v>
      </c>
      <c r="K24" s="7">
        <f t="shared" si="16"/>
        <v>2551</v>
      </c>
      <c r="L24" s="7">
        <f t="shared" si="16"/>
        <v>2718</v>
      </c>
      <c r="M24" s="7">
        <f t="shared" si="16"/>
        <v>2971</v>
      </c>
      <c r="N24" s="7">
        <f t="shared" si="16"/>
        <v>3482</v>
      </c>
      <c r="O24" s="7">
        <f t="shared" si="16"/>
        <v>2596</v>
      </c>
      <c r="P24" s="7">
        <f t="shared" si="16"/>
        <v>2787</v>
      </c>
      <c r="Q24" s="7">
        <f t="shared" si="16"/>
        <v>5368</v>
      </c>
      <c r="R24" s="7">
        <f t="shared" si="16"/>
        <v>4622</v>
      </c>
      <c r="S24" s="7">
        <f t="shared" si="16"/>
        <v>2760</v>
      </c>
      <c r="T24" s="7">
        <f>+T22+T23</f>
        <v>-948</v>
      </c>
      <c r="Y24" s="6"/>
      <c r="Z24" s="7">
        <f>+Z22-Z23</f>
        <v>15885</v>
      </c>
      <c r="AA24" s="7">
        <f>+AA22-AA23</f>
        <v>15577</v>
      </c>
      <c r="AB24" s="7">
        <f>+AB22-AB23</f>
        <v>13631</v>
      </c>
      <c r="AC24" s="7">
        <f t="shared" ref="AC24:AN24" si="17">+AC22-AC23</f>
        <v>12542.223760000001</v>
      </c>
      <c r="AD24" s="7">
        <f t="shared" si="17"/>
        <v>12788.967171199998</v>
      </c>
      <c r="AE24" s="7">
        <f t="shared" si="17"/>
        <v>13040.627850624001</v>
      </c>
      <c r="AF24" s="7">
        <f t="shared" si="17"/>
        <v>13297.30414363648</v>
      </c>
      <c r="AG24" s="7">
        <f t="shared" si="17"/>
        <v>13559.096362509212</v>
      </c>
      <c r="AH24" s="7">
        <f t="shared" si="17"/>
        <v>13826.106825759396</v>
      </c>
      <c r="AI24" s="7">
        <f t="shared" si="17"/>
        <v>14098.439898274582</v>
      </c>
      <c r="AJ24" s="7">
        <f t="shared" si="17"/>
        <v>14376.202032240073</v>
      </c>
      <c r="AK24" s="7">
        <f t="shared" si="17"/>
        <v>14659.501808884876</v>
      </c>
      <c r="AL24" s="7">
        <f t="shared" si="17"/>
        <v>14948.449981062575</v>
      </c>
      <c r="AM24" s="7">
        <f t="shared" si="17"/>
        <v>15243.159516683827</v>
      </c>
      <c r="AN24" s="7">
        <f t="shared" si="17"/>
        <v>15543.745643017501</v>
      </c>
      <c r="AO24" s="7">
        <f>+AN24*(1-$AJ50)</f>
        <v>15232.87073015715</v>
      </c>
      <c r="AP24" s="7">
        <f t="shared" ref="AP24:CV24" si="18">+AO24*(1-$AJ50)</f>
        <v>14928.213315554007</v>
      </c>
      <c r="AQ24" s="7">
        <f t="shared" si="18"/>
        <v>14629.649049242926</v>
      </c>
      <c r="AR24" s="7">
        <f t="shared" si="18"/>
        <v>14337.056068258067</v>
      </c>
      <c r="AS24" s="7">
        <f t="shared" si="18"/>
        <v>14050.314946892906</v>
      </c>
      <c r="AT24" s="7">
        <f t="shared" si="18"/>
        <v>13769.308647955047</v>
      </c>
      <c r="AU24" s="7">
        <f t="shared" si="18"/>
        <v>13493.922474995947</v>
      </c>
      <c r="AV24" s="7">
        <f t="shared" si="18"/>
        <v>13224.044025496027</v>
      </c>
      <c r="AW24" s="7">
        <f t="shared" si="18"/>
        <v>12959.563144986107</v>
      </c>
      <c r="AX24" s="7">
        <f t="shared" si="18"/>
        <v>12700.371882086385</v>
      </c>
      <c r="AY24" s="7">
        <f t="shared" si="18"/>
        <v>12446.364444444656</v>
      </c>
      <c r="AZ24" s="7">
        <f t="shared" si="18"/>
        <v>12197.437155555763</v>
      </c>
      <c r="BA24" s="7">
        <f t="shared" si="18"/>
        <v>11953.488412444647</v>
      </c>
      <c r="BB24" s="7">
        <f t="shared" si="18"/>
        <v>11714.418644195754</v>
      </c>
      <c r="BC24" s="7">
        <f t="shared" si="18"/>
        <v>11480.130271311838</v>
      </c>
      <c r="BD24" s="7">
        <f t="shared" si="18"/>
        <v>11250.527665885602</v>
      </c>
      <c r="BE24" s="7">
        <f t="shared" si="18"/>
        <v>11025.51711256789</v>
      </c>
      <c r="BF24" s="7">
        <f t="shared" si="18"/>
        <v>10805.006770316531</v>
      </c>
      <c r="BG24" s="7">
        <f t="shared" si="18"/>
        <v>10588.906634910201</v>
      </c>
      <c r="BH24" s="7">
        <f t="shared" si="18"/>
        <v>10377.128502211997</v>
      </c>
      <c r="BI24" s="7">
        <f t="shared" si="18"/>
        <v>10169.585932167758</v>
      </c>
      <c r="BJ24" s="7">
        <f t="shared" si="18"/>
        <v>9966.1942135244026</v>
      </c>
      <c r="BK24" s="7">
        <f t="shared" si="18"/>
        <v>9766.870329253914</v>
      </c>
      <c r="BL24" s="7">
        <f t="shared" si="18"/>
        <v>9571.5329226688355</v>
      </c>
      <c r="BM24" s="7">
        <f t="shared" si="18"/>
        <v>9380.1022642154585</v>
      </c>
      <c r="BN24" s="7">
        <f t="shared" si="18"/>
        <v>9192.500218931149</v>
      </c>
      <c r="BO24" s="7">
        <f t="shared" si="18"/>
        <v>9008.6502145525264</v>
      </c>
      <c r="BP24" s="7">
        <f t="shared" si="18"/>
        <v>8828.4772102614752</v>
      </c>
      <c r="BQ24" s="7">
        <f t="shared" si="18"/>
        <v>8651.9076660562459</v>
      </c>
      <c r="BR24" s="7">
        <f t="shared" si="18"/>
        <v>8478.8695127351202</v>
      </c>
      <c r="BS24" s="7">
        <f t="shared" si="18"/>
        <v>8309.2921224804177</v>
      </c>
      <c r="BT24" s="7">
        <f t="shared" si="18"/>
        <v>8143.1062800308091</v>
      </c>
      <c r="BU24" s="7">
        <f t="shared" si="18"/>
        <v>7980.2441544301928</v>
      </c>
      <c r="BV24" s="7">
        <f t="shared" si="18"/>
        <v>7820.6392713415889</v>
      </c>
      <c r="BW24" s="7">
        <f t="shared" si="18"/>
        <v>7664.2264859147572</v>
      </c>
      <c r="BX24" s="7">
        <f t="shared" si="18"/>
        <v>7510.9419561964623</v>
      </c>
      <c r="BY24" s="7">
        <f t="shared" si="18"/>
        <v>7360.7231170725327</v>
      </c>
      <c r="BZ24" s="7">
        <f t="shared" si="18"/>
        <v>7213.5086547310821</v>
      </c>
      <c r="CA24" s="7">
        <f t="shared" si="18"/>
        <v>7069.2384816364602</v>
      </c>
      <c r="CB24" s="7">
        <f t="shared" si="18"/>
        <v>6927.8537120037308</v>
      </c>
      <c r="CC24" s="7">
        <f t="shared" si="18"/>
        <v>6789.2966377636558</v>
      </c>
      <c r="CD24" s="7">
        <f t="shared" si="18"/>
        <v>6653.5107050083825</v>
      </c>
      <c r="CE24" s="7">
        <f t="shared" si="18"/>
        <v>6520.440490908215</v>
      </c>
      <c r="CF24" s="7">
        <f t="shared" si="18"/>
        <v>6390.0316810900504</v>
      </c>
      <c r="CG24" s="7">
        <f t="shared" si="18"/>
        <v>6262.231047468249</v>
      </c>
      <c r="CH24" s="7">
        <f t="shared" si="18"/>
        <v>6136.9864265188835</v>
      </c>
      <c r="CI24" s="7">
        <f t="shared" si="18"/>
        <v>6014.2466979885057</v>
      </c>
      <c r="CJ24" s="7">
        <f t="shared" si="18"/>
        <v>5893.9617640287352</v>
      </c>
      <c r="CK24" s="7">
        <f t="shared" si="18"/>
        <v>5776.0825287481603</v>
      </c>
      <c r="CL24" s="7">
        <f t="shared" si="18"/>
        <v>5660.5608781731971</v>
      </c>
      <c r="CM24" s="7">
        <f t="shared" si="18"/>
        <v>5547.3496606097333</v>
      </c>
      <c r="CN24" s="7">
        <f t="shared" si="18"/>
        <v>5436.4026673975386</v>
      </c>
      <c r="CO24" s="7">
        <f t="shared" si="18"/>
        <v>5327.6746140495879</v>
      </c>
      <c r="CP24" s="7">
        <f t="shared" si="18"/>
        <v>5221.1211217685959</v>
      </c>
      <c r="CQ24" s="7">
        <f t="shared" si="18"/>
        <v>5116.6986993332239</v>
      </c>
      <c r="CR24" s="7">
        <f t="shared" si="18"/>
        <v>5014.3647253465597</v>
      </c>
      <c r="CS24" s="7">
        <f t="shared" si="18"/>
        <v>4914.0774308396285</v>
      </c>
      <c r="CT24" s="7">
        <f t="shared" si="18"/>
        <v>4815.7958822228356</v>
      </c>
      <c r="CU24" s="7">
        <f t="shared" si="18"/>
        <v>4719.4799645783787</v>
      </c>
      <c r="CV24" s="7">
        <f t="shared" si="18"/>
        <v>4625.090365286811</v>
      </c>
    </row>
    <row r="25" spans="2:100" x14ac:dyDescent="0.2">
      <c r="B25" s="3" t="s">
        <v>28</v>
      </c>
      <c r="G25" s="5">
        <v>3999</v>
      </c>
      <c r="H25" s="5">
        <v>3617</v>
      </c>
      <c r="I25" s="5">
        <v>3617</v>
      </c>
      <c r="J25" s="5">
        <v>3495</v>
      </c>
      <c r="K25" s="5">
        <v>3410</v>
      </c>
      <c r="L25" s="5">
        <v>3331</v>
      </c>
      <c r="M25" s="5">
        <v>3190</v>
      </c>
      <c r="N25" s="5">
        <v>3162</v>
      </c>
      <c r="O25" s="5">
        <v>3107</v>
      </c>
      <c r="P25" s="5">
        <v>3046</v>
      </c>
      <c r="Q25" s="5">
        <v>2994</v>
      </c>
      <c r="R25" s="5">
        <v>2943</v>
      </c>
      <c r="S25" s="5">
        <v>2861</v>
      </c>
      <c r="T25" s="5">
        <v>2694</v>
      </c>
      <c r="Z25" s="5">
        <v>3294</v>
      </c>
      <c r="AA25" s="5">
        <v>3294</v>
      </c>
      <c r="AB25" s="5">
        <v>3022</v>
      </c>
    </row>
    <row r="26" spans="2:100" x14ac:dyDescent="0.2">
      <c r="B26" s="3" t="s">
        <v>29</v>
      </c>
      <c r="G26" s="8">
        <f t="shared" ref="G26:T26" si="19">+G24/G25</f>
        <v>0.67491872968242062</v>
      </c>
      <c r="H26" s="8">
        <f t="shared" si="19"/>
        <v>0.79375172795134086</v>
      </c>
      <c r="I26" s="8">
        <f t="shared" si="19"/>
        <v>0.87144042023776613</v>
      </c>
      <c r="J26" s="8">
        <f t="shared" si="19"/>
        <v>1.1914163090128755</v>
      </c>
      <c r="K26" s="8">
        <f t="shared" si="19"/>
        <v>0.7480938416422287</v>
      </c>
      <c r="L26" s="8">
        <f t="shared" si="19"/>
        <v>0.81597117982587808</v>
      </c>
      <c r="M26" s="8">
        <f t="shared" si="19"/>
        <v>0.9313479623824451</v>
      </c>
      <c r="N26" s="8">
        <f t="shared" si="19"/>
        <v>1.1012017710309931</v>
      </c>
      <c r="O26" s="8">
        <f t="shared" si="19"/>
        <v>0.83553266816865146</v>
      </c>
      <c r="P26" s="8">
        <f t="shared" si="19"/>
        <v>0.91497045305318447</v>
      </c>
      <c r="Q26" s="8">
        <f t="shared" si="19"/>
        <v>1.7929191716766868</v>
      </c>
      <c r="R26" s="8">
        <f t="shared" si="19"/>
        <v>1.5705062861026164</v>
      </c>
      <c r="S26" s="8">
        <f t="shared" si="19"/>
        <v>0.96469765816148201</v>
      </c>
      <c r="T26" s="8">
        <f t="shared" si="19"/>
        <v>-0.35189309576837419</v>
      </c>
      <c r="Z26" s="8">
        <f>+Z24/Z25</f>
        <v>4.8224043715846996</v>
      </c>
      <c r="AA26" s="8">
        <f>+AA24/AA25</f>
        <v>4.7289010321797207</v>
      </c>
      <c r="AB26" s="8">
        <f>+AB24/AB25</f>
        <v>4.5105890138980804</v>
      </c>
    </row>
    <row r="28" spans="2:100" x14ac:dyDescent="0.2">
      <c r="B28" s="3" t="s">
        <v>31</v>
      </c>
      <c r="G28" s="9">
        <f t="shared" ref="G28:S28" si="20">+G12/G7</f>
        <v>0.78755574893941038</v>
      </c>
      <c r="H28" s="9">
        <f t="shared" si="20"/>
        <v>0.79073415603430242</v>
      </c>
      <c r="I28" s="9">
        <f t="shared" si="20"/>
        <v>0.7944664031620553</v>
      </c>
      <c r="J28" s="9">
        <f t="shared" si="20"/>
        <v>0.81474497126436785</v>
      </c>
      <c r="K28" s="9">
        <f t="shared" si="20"/>
        <v>0.78769798220872211</v>
      </c>
      <c r="L28" s="9">
        <f t="shared" si="20"/>
        <v>0.78697732473476179</v>
      </c>
      <c r="M28" s="9">
        <f t="shared" si="20"/>
        <v>0.79951000408329931</v>
      </c>
      <c r="N28" s="9">
        <f t="shared" si="20"/>
        <v>0.81139846743295019</v>
      </c>
      <c r="O28" s="9">
        <f t="shared" si="20"/>
        <v>0.79929539874025834</v>
      </c>
      <c r="P28" s="9">
        <f t="shared" si="20"/>
        <v>0.80214285714285716</v>
      </c>
      <c r="Q28" s="9">
        <f t="shared" si="20"/>
        <v>0.8101140307387209</v>
      </c>
      <c r="R28" s="9">
        <f t="shared" si="20"/>
        <v>0.81108043110358952</v>
      </c>
      <c r="S28" s="9">
        <f t="shared" si="20"/>
        <v>0.78381990131578949</v>
      </c>
      <c r="T28" s="9">
        <f t="shared" ref="T28" si="21">+T12/T7</f>
        <v>0.79160231660231661</v>
      </c>
      <c r="Z28" s="9">
        <f t="shared" ref="Z28:AA28" si="22">+Z12/Z7</f>
        <v>0.79762567711233734</v>
      </c>
      <c r="AA28" s="9">
        <f t="shared" si="22"/>
        <v>0.79681580833418653</v>
      </c>
      <c r="AB28" s="9">
        <f>+AB12/AB7</f>
        <v>0.80594876355641198</v>
      </c>
      <c r="AC28" s="9">
        <f t="shared" ref="AC28:AN28" si="23">+AC12/AC7</f>
        <v>0.8</v>
      </c>
      <c r="AD28" s="9">
        <f t="shared" si="23"/>
        <v>0.79999999999999993</v>
      </c>
      <c r="AE28" s="9">
        <f t="shared" si="23"/>
        <v>0.8</v>
      </c>
      <c r="AF28" s="9">
        <f t="shared" si="23"/>
        <v>0.8</v>
      </c>
      <c r="AG28" s="9">
        <f t="shared" si="23"/>
        <v>0.8</v>
      </c>
      <c r="AH28" s="9">
        <f t="shared" si="23"/>
        <v>0.8</v>
      </c>
      <c r="AI28" s="9">
        <f t="shared" si="23"/>
        <v>0.8</v>
      </c>
      <c r="AJ28" s="9">
        <f t="shared" si="23"/>
        <v>0.8</v>
      </c>
      <c r="AK28" s="9">
        <f t="shared" si="23"/>
        <v>0.8</v>
      </c>
      <c r="AL28" s="9">
        <f t="shared" si="23"/>
        <v>0.8</v>
      </c>
      <c r="AM28" s="9">
        <f t="shared" si="23"/>
        <v>0.80000000000000016</v>
      </c>
      <c r="AN28" s="9">
        <f t="shared" si="23"/>
        <v>0.8</v>
      </c>
    </row>
    <row r="29" spans="2:100" x14ac:dyDescent="0.2">
      <c r="B29" s="3" t="s">
        <v>68</v>
      </c>
      <c r="G29" s="9">
        <f t="shared" ref="G29:S29" si="24">+G19/G7</f>
        <v>0.34939627977809201</v>
      </c>
      <c r="H29" s="9">
        <f t="shared" si="24"/>
        <v>0.36864672662622883</v>
      </c>
      <c r="I29" s="9">
        <f t="shared" si="24"/>
        <v>0.39588100686498856</v>
      </c>
      <c r="J29" s="9">
        <f t="shared" si="24"/>
        <v>0.42034841954022989</v>
      </c>
      <c r="K29" s="9">
        <f t="shared" si="24"/>
        <v>0.35701887611195487</v>
      </c>
      <c r="L29" s="9">
        <f t="shared" si="24"/>
        <v>0.37341377158310796</v>
      </c>
      <c r="M29" s="9">
        <f t="shared" si="24"/>
        <v>0.40097999183340138</v>
      </c>
      <c r="N29" s="9">
        <f t="shared" si="24"/>
        <v>0.44779693486590039</v>
      </c>
      <c r="O29" s="9">
        <f t="shared" si="24"/>
        <v>0.37963061812746879</v>
      </c>
      <c r="P29" s="9">
        <f t="shared" si="24"/>
        <v>0.40081632653061222</v>
      </c>
      <c r="Q29" s="9">
        <f t="shared" si="24"/>
        <v>0.41893901834407538</v>
      </c>
      <c r="R29" s="9">
        <f t="shared" si="24"/>
        <v>0.43502271310234258</v>
      </c>
      <c r="S29" s="9">
        <f t="shared" si="24"/>
        <v>0.38342927631578949</v>
      </c>
      <c r="T29" s="9">
        <f t="shared" ref="T29" si="25">+T19/T7</f>
        <v>-5.0675675675675678E-2</v>
      </c>
      <c r="Z29" s="9">
        <f t="shared" ref="Z29:AA29" si="26">+Z19/Z7</f>
        <v>0.38535918594643853</v>
      </c>
      <c r="AA29" s="9">
        <f t="shared" si="26"/>
        <v>0.39628340329681583</v>
      </c>
      <c r="AB29" s="9">
        <f>+AB19/AB7</f>
        <v>0.40989154870426642</v>
      </c>
      <c r="AC29" s="9">
        <f t="shared" ref="AC29:AN29" si="27">+AC19/AC7</f>
        <v>0.4</v>
      </c>
      <c r="AD29" s="9">
        <f t="shared" si="27"/>
        <v>0.39999999999999997</v>
      </c>
      <c r="AE29" s="9">
        <f t="shared" si="27"/>
        <v>0.4</v>
      </c>
      <c r="AF29" s="9">
        <f t="shared" si="27"/>
        <v>0.4</v>
      </c>
      <c r="AG29" s="9">
        <f t="shared" si="27"/>
        <v>0.4</v>
      </c>
      <c r="AH29" s="9">
        <f t="shared" si="27"/>
        <v>0.4</v>
      </c>
      <c r="AI29" s="9">
        <f t="shared" si="27"/>
        <v>0.4</v>
      </c>
      <c r="AJ29" s="9">
        <f t="shared" si="27"/>
        <v>0.4</v>
      </c>
      <c r="AK29" s="9">
        <f t="shared" si="27"/>
        <v>0.4</v>
      </c>
      <c r="AL29" s="9">
        <f t="shared" si="27"/>
        <v>0.4</v>
      </c>
      <c r="AM29" s="9">
        <f t="shared" si="27"/>
        <v>0.40000000000000008</v>
      </c>
      <c r="AN29" s="9">
        <f t="shared" si="27"/>
        <v>0.4</v>
      </c>
    </row>
    <row r="30" spans="2:100" x14ac:dyDescent="0.2">
      <c r="B30" s="3" t="s">
        <v>67</v>
      </c>
      <c r="G30" s="9">
        <f t="shared" ref="G30:S30" si="28">+G23/G22</f>
        <v>9.2468056489576331E-2</v>
      </c>
      <c r="H30" s="9">
        <f t="shared" si="28"/>
        <v>0.10672059738643434</v>
      </c>
      <c r="I30" s="9">
        <f t="shared" si="28"/>
        <v>9.8140200286123039E-2</v>
      </c>
      <c r="J30" s="9">
        <f t="shared" si="28"/>
        <v>2.937062937062937E-2</v>
      </c>
      <c r="K30" s="9">
        <f t="shared" si="28"/>
        <v>0.11912983425414364</v>
      </c>
      <c r="L30" s="9">
        <f t="shared" si="28"/>
        <v>0.15511345974510413</v>
      </c>
      <c r="M30" s="9">
        <f t="shared" si="28"/>
        <v>0.14528193325661681</v>
      </c>
      <c r="N30" s="9">
        <f t="shared" si="28"/>
        <v>0.14278680452978829</v>
      </c>
      <c r="O30" s="9">
        <f t="shared" si="28"/>
        <v>0.11700680272108843</v>
      </c>
      <c r="P30" s="9">
        <f t="shared" si="28"/>
        <v>0.15978293638830268</v>
      </c>
      <c r="Q30" s="9">
        <f t="shared" si="28"/>
        <v>-0.4816450455423682</v>
      </c>
      <c r="R30" s="9">
        <f t="shared" si="28"/>
        <v>-2.7567807914628723E-2</v>
      </c>
      <c r="S30" s="9">
        <f t="shared" si="28"/>
        <v>7.5067024128686322E-2</v>
      </c>
      <c r="T30" s="9">
        <f t="shared" ref="T30" si="29">+T23/T22</f>
        <v>-0.20802005012531327</v>
      </c>
      <c r="Z30" s="9">
        <f t="shared" ref="Z30:AA30" si="30">+Z23/Z22</f>
        <v>-0.13813856846027084</v>
      </c>
      <c r="AA30" s="9">
        <f t="shared" si="30"/>
        <v>-0.14125576965345446</v>
      </c>
      <c r="AB30" s="9">
        <f>+AB23/AB22</f>
        <v>5.1954374739184864E-2</v>
      </c>
      <c r="AC30" s="9">
        <f t="shared" ref="AC30:AN30" si="31">+AC23/AC22</f>
        <v>0.12</v>
      </c>
      <c r="AD30" s="9">
        <f t="shared" si="31"/>
        <v>0.12</v>
      </c>
      <c r="AE30" s="9">
        <f t="shared" si="31"/>
        <v>0.12</v>
      </c>
      <c r="AF30" s="9">
        <f t="shared" si="31"/>
        <v>0.12</v>
      </c>
      <c r="AG30" s="9">
        <f t="shared" si="31"/>
        <v>0.12</v>
      </c>
      <c r="AH30" s="9">
        <f t="shared" si="31"/>
        <v>0.12</v>
      </c>
      <c r="AI30" s="9">
        <f t="shared" si="31"/>
        <v>0.12</v>
      </c>
      <c r="AJ30" s="9">
        <f t="shared" si="31"/>
        <v>0.12</v>
      </c>
      <c r="AK30" s="9">
        <f t="shared" si="31"/>
        <v>0.12</v>
      </c>
      <c r="AL30" s="9">
        <f t="shared" si="31"/>
        <v>0.12</v>
      </c>
      <c r="AM30" s="9">
        <f t="shared" si="31"/>
        <v>0.12</v>
      </c>
      <c r="AN30" s="9">
        <f t="shared" si="31"/>
        <v>0.11999999999999998</v>
      </c>
    </row>
    <row r="31" spans="2:100" x14ac:dyDescent="0.2">
      <c r="B31" s="11" t="s">
        <v>81</v>
      </c>
      <c r="G31" s="9">
        <f t="shared" ref="G31:S31" si="32">+G14/$T12</f>
        <v>0.19070845018900134</v>
      </c>
      <c r="H31" s="9">
        <f t="shared" si="32"/>
        <v>0.17985611510791366</v>
      </c>
      <c r="I31" s="9">
        <f t="shared" si="32"/>
        <v>0.17388123399585417</v>
      </c>
      <c r="J31" s="9">
        <f t="shared" si="32"/>
        <v>0.19046457749054993</v>
      </c>
      <c r="K31" s="9">
        <f t="shared" si="32"/>
        <v>0.18985489574442141</v>
      </c>
      <c r="L31" s="9">
        <f t="shared" si="32"/>
        <v>0.18668455066455311</v>
      </c>
      <c r="M31" s="9">
        <f t="shared" si="32"/>
        <v>0.18290452383855627</v>
      </c>
      <c r="N31" s="9">
        <f t="shared" si="32"/>
        <v>0.18034386050481649</v>
      </c>
      <c r="O31" s="9">
        <f t="shared" si="32"/>
        <v>0.19375685891964395</v>
      </c>
      <c r="P31" s="9">
        <f t="shared" si="32"/>
        <v>0.1952200951103524</v>
      </c>
      <c r="Q31" s="9">
        <f t="shared" si="32"/>
        <v>0.19765882209486649</v>
      </c>
      <c r="R31" s="9">
        <f t="shared" si="32"/>
        <v>0.20912083892208266</v>
      </c>
      <c r="S31" s="9">
        <f t="shared" si="32"/>
        <v>0.20534081209608585</v>
      </c>
      <c r="T31" s="9">
        <f>+T14/$T12</f>
        <v>0.21387635654188514</v>
      </c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</row>
    <row r="32" spans="2:100" x14ac:dyDescent="0.2">
      <c r="B32" s="11" t="s">
        <v>82</v>
      </c>
      <c r="G32" s="9">
        <f t="shared" ref="G32:S32" si="33">+G13/G12</f>
        <v>0.28162983425414367</v>
      </c>
      <c r="H32" s="9">
        <f t="shared" si="33"/>
        <v>0.27787329718291232</v>
      </c>
      <c r="I32" s="9">
        <f t="shared" si="33"/>
        <v>0.2685257920921707</v>
      </c>
      <c r="J32" s="9">
        <f t="shared" si="33"/>
        <v>0.25548330210514714</v>
      </c>
      <c r="K32" s="9">
        <f t="shared" si="33"/>
        <v>0.27792315108111831</v>
      </c>
      <c r="L32" s="9">
        <f t="shared" si="33"/>
        <v>0.27332804652392279</v>
      </c>
      <c r="M32" s="9">
        <f t="shared" si="33"/>
        <v>0.26161899897854957</v>
      </c>
      <c r="N32" s="9">
        <f t="shared" si="33"/>
        <v>0.23125959154763309</v>
      </c>
      <c r="O32" s="9">
        <f t="shared" si="33"/>
        <v>0.2476292239882463</v>
      </c>
      <c r="P32" s="9">
        <f t="shared" si="33"/>
        <v>0.23355807149217656</v>
      </c>
      <c r="Q32" s="9">
        <f t="shared" si="33"/>
        <v>0.23439412484700123</v>
      </c>
      <c r="R32" s="9">
        <f t="shared" si="33"/>
        <v>0.22809136832857457</v>
      </c>
      <c r="S32" s="9">
        <f t="shared" si="33"/>
        <v>0.24314754098360655</v>
      </c>
      <c r="T32" s="9">
        <f>+T13/T12</f>
        <v>0.23826362638702597</v>
      </c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r="33" spans="2:40" x14ac:dyDescent="0.2">
      <c r="B33" s="11" t="s">
        <v>83</v>
      </c>
      <c r="G33" s="9">
        <f t="shared" ref="G33:S33" si="34">+G15/G12</f>
        <v>4.4337016574585636E-2</v>
      </c>
      <c r="H33" s="9">
        <f t="shared" si="34"/>
        <v>3.9545033725697662E-2</v>
      </c>
      <c r="I33" s="9">
        <f t="shared" si="34"/>
        <v>4.1372086933752293E-2</v>
      </c>
      <c r="J33" s="9">
        <f t="shared" si="34"/>
        <v>3.6261435027003193E-2</v>
      </c>
      <c r="K33" s="9">
        <f t="shared" si="34"/>
        <v>4.0214846439884315E-2</v>
      </c>
      <c r="L33" s="9">
        <f t="shared" si="34"/>
        <v>4.2690985989955063E-2</v>
      </c>
      <c r="M33" s="9">
        <f t="shared" si="34"/>
        <v>3.6772216547497447E-2</v>
      </c>
      <c r="N33" s="9">
        <f t="shared" si="34"/>
        <v>3.2817849132333841E-2</v>
      </c>
      <c r="O33" s="9">
        <f t="shared" si="34"/>
        <v>3.9401629491117938E-2</v>
      </c>
      <c r="P33" s="9">
        <f t="shared" si="34"/>
        <v>4.1216130263325275E-2</v>
      </c>
      <c r="Q33" s="9">
        <f t="shared" si="34"/>
        <v>4.0391676866585069E-2</v>
      </c>
      <c r="R33" s="9">
        <f t="shared" si="34"/>
        <v>3.3604216999780362E-2</v>
      </c>
      <c r="S33" s="9">
        <f t="shared" si="34"/>
        <v>3.9081967213114757E-2</v>
      </c>
      <c r="T33" s="9">
        <f>+T15/T12</f>
        <v>3.8897695402999637E-2</v>
      </c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spans="2:40" x14ac:dyDescent="0.2"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2:40" x14ac:dyDescent="0.2">
      <c r="P35" s="5"/>
      <c r="T35" s="9"/>
      <c r="Z35" s="9"/>
      <c r="AA35" s="9"/>
      <c r="AB35" s="9"/>
    </row>
    <row r="36" spans="2:40" x14ac:dyDescent="0.2">
      <c r="B36" s="3" t="s">
        <v>69</v>
      </c>
      <c r="P36" s="5"/>
      <c r="T36" s="9">
        <v>0.06</v>
      </c>
      <c r="Z36" s="9"/>
      <c r="AA36" s="9"/>
      <c r="AB36" s="9"/>
    </row>
    <row r="38" spans="2:40" x14ac:dyDescent="0.2">
      <c r="B38" s="3" t="s">
        <v>32</v>
      </c>
      <c r="K38" s="9">
        <f>+K7/G7-1</f>
        <v>2.7194604590450311E-3</v>
      </c>
      <c r="L38" s="9">
        <f t="shared" ref="L38:S38" si="35">+L7/H7-1</f>
        <v>5.4381928466848972E-3</v>
      </c>
      <c r="M38" s="9">
        <f t="shared" si="35"/>
        <v>1.8930726024547484E-2</v>
      </c>
      <c r="N38" s="9">
        <f t="shared" si="35"/>
        <v>-6.25E-2</v>
      </c>
      <c r="O38" s="9">
        <f t="shared" si="35"/>
        <v>1.6164026903883633E-2</v>
      </c>
      <c r="P38" s="9">
        <f t="shared" si="35"/>
        <v>1.9346785937174982E-2</v>
      </c>
      <c r="Q38" s="9">
        <f t="shared" si="35"/>
        <v>2.9501837484687599E-2</v>
      </c>
      <c r="R38" s="9">
        <f t="shared" si="35"/>
        <v>7.5383141762452199E-2</v>
      </c>
      <c r="S38" s="9">
        <f t="shared" si="35"/>
        <v>3.8539553752535483E-2</v>
      </c>
      <c r="T38" s="9">
        <f>+T7/P7-1</f>
        <v>5.7142857142857162E-2</v>
      </c>
      <c r="Z38" s="9"/>
      <c r="AA38" s="9">
        <f>+AA7/Z7-1</f>
        <v>-1.108692350529028E-2</v>
      </c>
      <c r="AB38" s="9">
        <f>+AB7/AA7-1</f>
        <v>3.6116514794716892E-2</v>
      </c>
      <c r="AC38" s="9">
        <f t="shared" ref="AC38:AN38" si="36">+AC7/AB7-1</f>
        <v>2.0000000000000018E-2</v>
      </c>
      <c r="AD38" s="9">
        <f t="shared" si="36"/>
        <v>2.0000000000000018E-2</v>
      </c>
      <c r="AE38" s="9">
        <f t="shared" si="36"/>
        <v>2.0000000000000018E-2</v>
      </c>
      <c r="AF38" s="9">
        <f t="shared" si="36"/>
        <v>2.0000000000000018E-2</v>
      </c>
      <c r="AG38" s="9">
        <f t="shared" si="36"/>
        <v>2.0000000000000018E-2</v>
      </c>
      <c r="AH38" s="9">
        <f t="shared" si="36"/>
        <v>2.0000000000000018E-2</v>
      </c>
      <c r="AI38" s="9">
        <f t="shared" si="36"/>
        <v>2.0000000000000018E-2</v>
      </c>
      <c r="AJ38" s="9">
        <f t="shared" si="36"/>
        <v>2.0000000000000018E-2</v>
      </c>
      <c r="AK38" s="9">
        <f t="shared" si="36"/>
        <v>2.0000000000000018E-2</v>
      </c>
      <c r="AL38" s="9">
        <f t="shared" si="36"/>
        <v>2.0000000000000018E-2</v>
      </c>
      <c r="AM38" s="9">
        <f t="shared" si="36"/>
        <v>2.0000000000000018E-2</v>
      </c>
      <c r="AN38" s="9">
        <f t="shared" si="36"/>
        <v>2.0000000000000018E-2</v>
      </c>
    </row>
    <row r="39" spans="2:40" x14ac:dyDescent="0.2">
      <c r="B39" s="3" t="s">
        <v>33</v>
      </c>
      <c r="K39" s="9">
        <f t="shared" ref="K39:S39" si="37">+K24/G24-1</f>
        <v>-5.4835124120044432E-2</v>
      </c>
      <c r="L39" s="9">
        <f t="shared" si="37"/>
        <v>-5.3291536050156685E-2</v>
      </c>
      <c r="M39" s="9">
        <f t="shared" si="37"/>
        <v>-5.7423857868020289E-2</v>
      </c>
      <c r="N39" s="9">
        <f t="shared" si="37"/>
        <v>-0.16378482228626323</v>
      </c>
      <c r="O39" s="9">
        <f t="shared" si="37"/>
        <v>1.7640141121128883E-2</v>
      </c>
      <c r="P39" s="9">
        <f t="shared" si="37"/>
        <v>2.5386313465783683E-2</v>
      </c>
      <c r="Q39" s="9">
        <f t="shared" si="37"/>
        <v>0.80679905755637837</v>
      </c>
      <c r="R39" s="9">
        <f t="shared" si="37"/>
        <v>0.32739804709936826</v>
      </c>
      <c r="S39" s="9">
        <f t="shared" si="37"/>
        <v>6.3174114021571581E-2</v>
      </c>
      <c r="T39" s="9">
        <f>+T24/P24-1</f>
        <v>-1.3401506996770722</v>
      </c>
      <c r="Z39" s="9"/>
      <c r="AA39" s="9">
        <f>+AA24/Z24-1</f>
        <v>-1.9389361032420505E-2</v>
      </c>
      <c r="AB39" s="9">
        <f>+AB24/AA24-1</f>
        <v>-0.12492777813442901</v>
      </c>
      <c r="AC39" s="9">
        <f t="shared" ref="AC39:AN39" si="38">+AC24/AB24-1</f>
        <v>-7.987500843665174E-2</v>
      </c>
      <c r="AD39" s="9">
        <f t="shared" si="38"/>
        <v>1.9673019388070312E-2</v>
      </c>
      <c r="AE39" s="9">
        <f t="shared" si="38"/>
        <v>1.9677951788845682E-2</v>
      </c>
      <c r="AF39" s="9">
        <f t="shared" si="38"/>
        <v>1.9682817112229412E-2</v>
      </c>
      <c r="AG39" s="9">
        <f t="shared" si="38"/>
        <v>1.9687616079535397E-2</v>
      </c>
      <c r="AH39" s="9">
        <f t="shared" si="38"/>
        <v>1.9692349409689669E-2</v>
      </c>
      <c r="AI39" s="9">
        <f t="shared" si="38"/>
        <v>1.9697017819058305E-2</v>
      </c>
      <c r="AJ39" s="9">
        <f t="shared" si="38"/>
        <v>1.9701622021276455E-2</v>
      </c>
      <c r="AK39" s="9">
        <f t="shared" si="38"/>
        <v>1.970616272708714E-2</v>
      </c>
      <c r="AL39" s="9">
        <f t="shared" si="38"/>
        <v>1.9710640644184263E-2</v>
      </c>
      <c r="AM39" s="9">
        <f t="shared" si="38"/>
        <v>1.9715056477066506E-2</v>
      </c>
      <c r="AN39" s="9">
        <f t="shared" si="38"/>
        <v>1.9719410926893444E-2</v>
      </c>
    </row>
    <row r="40" spans="2:40" x14ac:dyDescent="0.2">
      <c r="B40" s="3" t="s">
        <v>80</v>
      </c>
      <c r="K40" s="9"/>
      <c r="L40" s="9"/>
      <c r="M40" s="9"/>
      <c r="N40" s="9"/>
      <c r="O40" s="9">
        <f>+O14/K14-1</f>
        <v>2.0552344251766108E-2</v>
      </c>
      <c r="P40" s="9">
        <f t="shared" ref="P40:S40" si="39">+P14/L14-1</f>
        <v>4.5721750489875923E-2</v>
      </c>
      <c r="Q40" s="9">
        <f t="shared" si="39"/>
        <v>8.0666666666666664E-2</v>
      </c>
      <c r="R40" s="9">
        <f t="shared" si="39"/>
        <v>0.1595672751859365</v>
      </c>
      <c r="S40" s="9">
        <f t="shared" si="39"/>
        <v>5.9786028949024628E-2</v>
      </c>
      <c r="T40" s="9">
        <f>+T14/P14-1</f>
        <v>9.5565271705184252E-2</v>
      </c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3" spans="2:40" s="6" customFormat="1" ht="15" x14ac:dyDescent="0.25">
      <c r="B43" s="6" t="s">
        <v>51</v>
      </c>
      <c r="S43" s="7">
        <f>+S44-S53</f>
        <v>-43408</v>
      </c>
      <c r="T43" s="7">
        <f>+T44-T53</f>
        <v>-55593</v>
      </c>
      <c r="AA43" s="7">
        <f t="shared" ref="AA43:AB43" si="40">+AA44-AA53</f>
        <v>-28540</v>
      </c>
      <c r="AB43" s="7">
        <f t="shared" si="40"/>
        <v>-37691</v>
      </c>
      <c r="AC43" s="7">
        <f>+AB43+AC24</f>
        <v>-25148.776239999999</v>
      </c>
      <c r="AD43" s="7">
        <f t="shared" ref="AD43:AN43" si="41">+AC43+AD24</f>
        <v>-12359.809068800001</v>
      </c>
      <c r="AE43" s="7">
        <f t="shared" si="41"/>
        <v>680.81878182400033</v>
      </c>
      <c r="AF43" s="7">
        <f t="shared" si="41"/>
        <v>13978.12292546048</v>
      </c>
      <c r="AG43" s="7">
        <f t="shared" si="41"/>
        <v>27537.219287969692</v>
      </c>
      <c r="AH43" s="7">
        <f t="shared" si="41"/>
        <v>41363.32611372909</v>
      </c>
      <c r="AI43" s="7">
        <f t="shared" si="41"/>
        <v>55461.766012003674</v>
      </c>
      <c r="AJ43" s="7">
        <f t="shared" si="41"/>
        <v>69837.968044243753</v>
      </c>
      <c r="AK43" s="7">
        <f t="shared" si="41"/>
        <v>84497.469853128627</v>
      </c>
      <c r="AL43" s="7">
        <f t="shared" si="41"/>
        <v>99445.919834191198</v>
      </c>
      <c r="AM43" s="7">
        <f t="shared" si="41"/>
        <v>114689.07935087502</v>
      </c>
      <c r="AN43" s="7">
        <f t="shared" si="41"/>
        <v>130232.82499389251</v>
      </c>
    </row>
    <row r="44" spans="2:40" x14ac:dyDescent="0.2">
      <c r="B44" s="3" t="s">
        <v>3</v>
      </c>
      <c r="S44" s="5">
        <f>23059+16251</f>
        <v>39310</v>
      </c>
      <c r="T44" s="5">
        <f>17938+4900</f>
        <v>22838</v>
      </c>
      <c r="AA44" s="5">
        <f>37239+5818</f>
        <v>43057</v>
      </c>
      <c r="AB44" s="5">
        <f>30098+16456</f>
        <v>46554</v>
      </c>
    </row>
    <row r="45" spans="2:40" x14ac:dyDescent="0.2">
      <c r="B45" s="3" t="s">
        <v>52</v>
      </c>
      <c r="S45" s="5">
        <v>4482</v>
      </c>
      <c r="T45" s="5">
        <v>4462</v>
      </c>
      <c r="AA45" s="5">
        <v>5551</v>
      </c>
      <c r="AB45" s="5">
        <v>5409</v>
      </c>
    </row>
    <row r="46" spans="2:40" x14ac:dyDescent="0.2">
      <c r="B46" s="3" t="s">
        <v>53</v>
      </c>
      <c r="S46" s="5">
        <v>3325</v>
      </c>
      <c r="T46" s="5">
        <v>3778</v>
      </c>
      <c r="AA46" s="5">
        <v>3532</v>
      </c>
      <c r="AB46" s="5">
        <v>3604</v>
      </c>
    </row>
    <row r="47" spans="2:40" x14ac:dyDescent="0.2">
      <c r="B47" s="3" t="s">
        <v>54</v>
      </c>
      <c r="S47" s="5">
        <v>7610</v>
      </c>
      <c r="T47" s="5">
        <v>8029</v>
      </c>
      <c r="AA47" s="5">
        <v>6244</v>
      </c>
      <c r="AB47" s="5">
        <v>7049</v>
      </c>
      <c r="AI47" s="3" t="s">
        <v>79</v>
      </c>
    </row>
    <row r="48" spans="2:40" x14ac:dyDescent="0.2">
      <c r="B48" s="3" t="s">
        <v>55</v>
      </c>
      <c r="S48" s="5">
        <f>2181+43862</f>
        <v>46043</v>
      </c>
      <c r="T48" s="5">
        <f>1881+43842</f>
        <v>45723</v>
      </c>
      <c r="AA48" s="5">
        <f>3738+43769</f>
        <v>47507</v>
      </c>
      <c r="AB48" s="5">
        <f>2430+43935</f>
        <v>46365</v>
      </c>
      <c r="AI48" s="3" t="s">
        <v>72</v>
      </c>
      <c r="AJ48" s="9">
        <v>1.4999999999999999E-2</v>
      </c>
    </row>
    <row r="49" spans="2:36" x14ac:dyDescent="0.2">
      <c r="B49" s="3" t="s">
        <v>56</v>
      </c>
      <c r="S49" s="5">
        <v>13391</v>
      </c>
      <c r="T49" s="5">
        <v>13265</v>
      </c>
      <c r="AA49" s="5">
        <v>3252</v>
      </c>
      <c r="AB49" s="5">
        <v>13636</v>
      </c>
      <c r="AI49" s="3" t="s">
        <v>70</v>
      </c>
      <c r="AJ49" s="9">
        <v>0.04</v>
      </c>
    </row>
    <row r="50" spans="2:36" x14ac:dyDescent="0.2">
      <c r="B50" s="3" t="s">
        <v>58</v>
      </c>
      <c r="S50" s="5">
        <v>8763</v>
      </c>
      <c r="T50" s="5">
        <v>8802</v>
      </c>
      <c r="AA50" s="5">
        <v>6295</v>
      </c>
      <c r="AB50" s="5">
        <v>8490</v>
      </c>
      <c r="AI50" s="3" t="s">
        <v>71</v>
      </c>
      <c r="AJ50" s="9">
        <v>0.02</v>
      </c>
    </row>
    <row r="51" spans="2:36" x14ac:dyDescent="0.2">
      <c r="B51" s="3" t="s">
        <v>59</v>
      </c>
      <c r="S51" s="5">
        <f>+SUM(S44:S50)</f>
        <v>122924</v>
      </c>
      <c r="T51" s="5">
        <f>+SUM(T44:T50)</f>
        <v>106897</v>
      </c>
      <c r="AA51" s="5">
        <f>+SUM(AA44:AA50)</f>
        <v>115438</v>
      </c>
      <c r="AB51" s="5">
        <f>+SUM(AB44:AB50)</f>
        <v>131107</v>
      </c>
      <c r="AI51" s="3" t="s">
        <v>73</v>
      </c>
      <c r="AJ51" s="10">
        <f>+NPV(AJ49,AC24:CV24)+AB24</f>
        <v>297860.93424524914</v>
      </c>
    </row>
    <row r="52" spans="2:36" x14ac:dyDescent="0.2">
      <c r="S52" s="5"/>
      <c r="AI52" s="3" t="s">
        <v>74</v>
      </c>
      <c r="AJ52" s="5">
        <f>+T43</f>
        <v>-55593</v>
      </c>
    </row>
    <row r="53" spans="2:36" x14ac:dyDescent="0.2">
      <c r="B53" s="3" t="s">
        <v>4</v>
      </c>
      <c r="S53" s="5">
        <f>6748+75970</f>
        <v>82718</v>
      </c>
      <c r="T53" s="5">
        <f>4998+73433</f>
        <v>78431</v>
      </c>
      <c r="AA53" s="5">
        <f>2371+69226</f>
        <v>71597</v>
      </c>
      <c r="AB53" s="5">
        <f>8250+75995</f>
        <v>84245</v>
      </c>
      <c r="AI53" s="3" t="s">
        <v>75</v>
      </c>
      <c r="AJ53" s="5">
        <f>+AJ51+AJ52</f>
        <v>242267.93424524914</v>
      </c>
    </row>
    <row r="54" spans="2:36" x14ac:dyDescent="0.2">
      <c r="B54" s="3" t="s">
        <v>60</v>
      </c>
      <c r="S54" s="5">
        <v>749</v>
      </c>
      <c r="T54" s="5">
        <v>1034</v>
      </c>
      <c r="AA54" s="5">
        <v>637</v>
      </c>
      <c r="AB54" s="5">
        <v>745</v>
      </c>
      <c r="AI54" s="3" t="s">
        <v>76</v>
      </c>
      <c r="AJ54" s="3">
        <f>+AJ53/2607</f>
        <v>92.929779150459964</v>
      </c>
    </row>
    <row r="55" spans="2:36" x14ac:dyDescent="0.2">
      <c r="B55" s="3" t="s">
        <v>61</v>
      </c>
      <c r="S55" s="5">
        <v>1470</v>
      </c>
      <c r="T55" s="5">
        <v>1503</v>
      </c>
      <c r="AA55" s="5">
        <v>1453</v>
      </c>
      <c r="AB55" s="5">
        <v>2017</v>
      </c>
      <c r="AI55" s="3" t="s">
        <v>77</v>
      </c>
      <c r="AJ55" s="3">
        <v>97.23</v>
      </c>
    </row>
    <row r="56" spans="2:36" x14ac:dyDescent="0.2">
      <c r="B56" s="3" t="s">
        <v>62</v>
      </c>
      <c r="S56" s="5">
        <v>10011</v>
      </c>
      <c r="T56" s="5">
        <v>7937</v>
      </c>
      <c r="AA56" s="5">
        <v>8002</v>
      </c>
      <c r="AB56" s="5">
        <v>8775</v>
      </c>
      <c r="AI56" s="3" t="s">
        <v>78</v>
      </c>
      <c r="AJ56" s="9">
        <f>+AJ54/AJ55-1</f>
        <v>-4.4227304839453252E-2</v>
      </c>
    </row>
    <row r="57" spans="2:36" x14ac:dyDescent="0.2">
      <c r="B57" s="3" t="s">
        <v>57</v>
      </c>
      <c r="S57" s="5">
        <v>4093</v>
      </c>
      <c r="T57" s="5">
        <v>3409</v>
      </c>
      <c r="AA57" s="5">
        <v>4737</v>
      </c>
      <c r="AB57" s="5">
        <v>4377</v>
      </c>
    </row>
    <row r="58" spans="2:36" x14ac:dyDescent="0.2">
      <c r="B58" s="3" t="s">
        <v>63</v>
      </c>
      <c r="S58" s="5">
        <v>12315</v>
      </c>
      <c r="T58" s="5">
        <v>12122</v>
      </c>
      <c r="AA58" s="5">
        <v>12463</v>
      </c>
      <c r="AB58" s="5">
        <v>12345</v>
      </c>
    </row>
    <row r="59" spans="2:36" x14ac:dyDescent="0.2">
      <c r="B59" s="3" t="s">
        <v>64</v>
      </c>
      <c r="S59" s="5">
        <v>7648</v>
      </c>
      <c r="T59" s="5">
        <v>6777</v>
      </c>
      <c r="AA59" s="5">
        <v>41</v>
      </c>
      <c r="AB59" s="5">
        <v>7864</v>
      </c>
    </row>
    <row r="60" spans="2:36" x14ac:dyDescent="0.2">
      <c r="B60" s="3" t="s">
        <v>65</v>
      </c>
      <c r="S60" s="5">
        <v>5050</v>
      </c>
      <c r="T60" s="5">
        <v>5342</v>
      </c>
      <c r="AA60" s="5">
        <v>3791</v>
      </c>
      <c r="AB60" s="5">
        <v>4787</v>
      </c>
    </row>
    <row r="61" spans="2:36" x14ac:dyDescent="0.2">
      <c r="B61" s="3" t="s">
        <v>66</v>
      </c>
      <c r="S61" s="5">
        <f>+SUM(S53:S60)</f>
        <v>124054</v>
      </c>
      <c r="T61" s="5">
        <f>+SUM(T53:T60)</f>
        <v>116555</v>
      </c>
      <c r="AA61" s="5">
        <f>+SUM(AA53:AA60)</f>
        <v>102721</v>
      </c>
      <c r="AB61" s="5">
        <f>+SUM(AB53:AB60)</f>
        <v>125155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2021-12-15T20:12:12Z</dcterms:created>
  <dcterms:modified xsi:type="dcterms:W3CDTF">2022-04-13T02:06:19Z</dcterms:modified>
</cp:coreProperties>
</file>