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1B010B46-7AB5-4023-8D67-126DB0AA1E18}" xr6:coauthVersionLast="47" xr6:coauthVersionMax="47" xr10:uidLastSave="{00000000-0000-0000-0000-000000000000}"/>
  <bookViews>
    <workbookView xWindow="7830" yWindow="15" windowWidth="20820" windowHeight="15360" activeTab="1" xr2:uid="{0D2340C9-BD57-424D-B4DA-183CC7A6462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2" l="1"/>
  <c r="Q5" i="2"/>
  <c r="P5" i="2"/>
  <c r="O5" i="2"/>
  <c r="X27" i="2"/>
  <c r="W27" i="2"/>
  <c r="V27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30" i="2"/>
  <c r="W30" i="2"/>
  <c r="V30" i="2"/>
  <c r="W29" i="2"/>
  <c r="V29" i="2"/>
  <c r="X29" i="2"/>
  <c r="R11" i="2"/>
  <c r="R30" i="2" s="1"/>
  <c r="O11" i="2"/>
  <c r="O30" i="2" s="1"/>
  <c r="N16" i="2"/>
  <c r="P11" i="2"/>
  <c r="P30" i="2" s="1"/>
  <c r="N11" i="2"/>
  <c r="P10" i="2"/>
  <c r="R10" i="2"/>
  <c r="R29" i="2" s="1"/>
  <c r="Q10" i="2"/>
  <c r="N10" i="2"/>
  <c r="N9" i="2"/>
  <c r="N8" i="2"/>
  <c r="AD18" i="2"/>
  <c r="AC18" i="2"/>
  <c r="AI19" i="2"/>
  <c r="AF19" i="2"/>
  <c r="AE19" i="2"/>
  <c r="AD19" i="2"/>
  <c r="AC19" i="2"/>
  <c r="AB19" i="2"/>
  <c r="AA19" i="2"/>
  <c r="Z19" i="2"/>
  <c r="AJ19" i="2" s="1"/>
  <c r="AD17" i="2"/>
  <c r="AC17" i="2"/>
  <c r="N14" i="2"/>
  <c r="X23" i="2"/>
  <c r="X22" i="2"/>
  <c r="Y19" i="2"/>
  <c r="O9" i="2"/>
  <c r="X8" i="2"/>
  <c r="X19" i="2"/>
  <c r="X14" i="2"/>
  <c r="X12" i="2"/>
  <c r="X11" i="2"/>
  <c r="X10" i="2"/>
  <c r="X9" i="2"/>
  <c r="X7" i="2"/>
  <c r="X6" i="2"/>
  <c r="X5" i="2"/>
  <c r="O7" i="2"/>
  <c r="N7" i="2"/>
  <c r="P6" i="2"/>
  <c r="P22" i="2" s="1"/>
  <c r="O6" i="2"/>
  <c r="O22" i="2" s="1"/>
  <c r="N6" i="2"/>
  <c r="N5" i="2"/>
  <c r="Q11" i="2"/>
  <c r="O10" i="2"/>
  <c r="O29" i="2" s="1"/>
  <c r="N30" i="2"/>
  <c r="Q30" i="2"/>
  <c r="M30" i="2"/>
  <c r="L30" i="2"/>
  <c r="K30" i="2"/>
  <c r="J30" i="2"/>
  <c r="M25" i="2"/>
  <c r="H25" i="2"/>
  <c r="Q12" i="2"/>
  <c r="N12" i="2"/>
  <c r="Q29" i="2"/>
  <c r="N29" i="2"/>
  <c r="O27" i="2"/>
  <c r="P29" i="2"/>
  <c r="M29" i="2"/>
  <c r="L29" i="2"/>
  <c r="K29" i="2"/>
  <c r="J29" i="2"/>
  <c r="M28" i="2"/>
  <c r="J28" i="2"/>
  <c r="U22" i="2"/>
  <c r="V22" i="2"/>
  <c r="W22" i="2"/>
  <c r="U12" i="2"/>
  <c r="U7" i="2"/>
  <c r="U9" i="2" s="1"/>
  <c r="U23" i="2" s="1"/>
  <c r="V12" i="2"/>
  <c r="V7" i="2"/>
  <c r="V9" i="2" s="1"/>
  <c r="V23" i="2" s="1"/>
  <c r="W7" i="2"/>
  <c r="W12" i="2"/>
  <c r="W9" i="2"/>
  <c r="W23" i="2" s="1"/>
  <c r="K28" i="2"/>
  <c r="L28" i="2"/>
  <c r="J83" i="2"/>
  <c r="J73" i="2"/>
  <c r="J76" i="2" s="1"/>
  <c r="J66" i="2"/>
  <c r="J71" i="2" s="1"/>
  <c r="J41" i="2"/>
  <c r="J44" i="2" s="1"/>
  <c r="J52" i="2"/>
  <c r="F5" i="2"/>
  <c r="F7" i="2" s="1"/>
  <c r="F9" i="2" s="1"/>
  <c r="F23" i="2" s="1"/>
  <c r="J5" i="2"/>
  <c r="J22" i="2" s="1"/>
  <c r="F12" i="2"/>
  <c r="Q6" i="2" l="1"/>
  <c r="Q22" i="2" s="1"/>
  <c r="P7" i="2"/>
  <c r="R12" i="2"/>
  <c r="P12" i="2"/>
  <c r="Y11" i="2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Y10" i="2"/>
  <c r="Z10" i="2" s="1"/>
  <c r="AG19" i="2"/>
  <c r="AH19" i="2"/>
  <c r="N22" i="2"/>
  <c r="O12" i="2"/>
  <c r="F22" i="2"/>
  <c r="J7" i="2"/>
  <c r="J27" i="2" s="1"/>
  <c r="U13" i="2"/>
  <c r="V13" i="2"/>
  <c r="W13" i="2"/>
  <c r="J84" i="2"/>
  <c r="F13" i="2"/>
  <c r="J12" i="2"/>
  <c r="K83" i="2"/>
  <c r="K76" i="2"/>
  <c r="K66" i="2"/>
  <c r="K71" i="2"/>
  <c r="K41" i="2"/>
  <c r="K44" i="2" s="1"/>
  <c r="K52" i="2"/>
  <c r="G22" i="2"/>
  <c r="G12" i="2"/>
  <c r="G7" i="2"/>
  <c r="G9" i="2" s="1"/>
  <c r="K22" i="2"/>
  <c r="K12" i="2"/>
  <c r="K7" i="2"/>
  <c r="M83" i="2"/>
  <c r="M76" i="2"/>
  <c r="M66" i="2"/>
  <c r="M71" i="2"/>
  <c r="M52" i="2"/>
  <c r="M41" i="2"/>
  <c r="M44" i="2" s="1"/>
  <c r="M22" i="2"/>
  <c r="I22" i="2"/>
  <c r="I12" i="2"/>
  <c r="I7" i="2"/>
  <c r="I9" i="2" s="1"/>
  <c r="I23" i="2" s="1"/>
  <c r="M12" i="2"/>
  <c r="M7" i="2"/>
  <c r="L83" i="2"/>
  <c r="Q7" i="2" l="1"/>
  <c r="Q9" i="2" s="1"/>
  <c r="P9" i="2"/>
  <c r="R6" i="2"/>
  <c r="R7" i="2" s="1"/>
  <c r="R9" i="2" s="1"/>
  <c r="Y5" i="2"/>
  <c r="Z5" i="2" s="1"/>
  <c r="Y12" i="2"/>
  <c r="Z12" i="2"/>
  <c r="AA10" i="2"/>
  <c r="K84" i="2"/>
  <c r="G13" i="2"/>
  <c r="W15" i="2"/>
  <c r="W24" i="2"/>
  <c r="U15" i="2"/>
  <c r="U24" i="2"/>
  <c r="F15" i="2"/>
  <c r="F24" i="2"/>
  <c r="V15" i="2"/>
  <c r="V24" i="2"/>
  <c r="K9" i="2"/>
  <c r="K23" i="2" s="1"/>
  <c r="K27" i="2"/>
  <c r="M9" i="2"/>
  <c r="M23" i="2" s="1"/>
  <c r="M27" i="2"/>
  <c r="J9" i="2"/>
  <c r="J13" i="2" s="1"/>
  <c r="G23" i="2"/>
  <c r="G15" i="2"/>
  <c r="G25" i="2" s="1"/>
  <c r="G24" i="2"/>
  <c r="M84" i="2"/>
  <c r="K13" i="2"/>
  <c r="K24" i="2" s="1"/>
  <c r="I13" i="2"/>
  <c r="L76" i="2"/>
  <c r="L71" i="2"/>
  <c r="L52" i="2"/>
  <c r="L41" i="2"/>
  <c r="L44" i="2" s="1"/>
  <c r="L14" i="2"/>
  <c r="H12" i="2"/>
  <c r="L12" i="2"/>
  <c r="Y6" i="2" l="1"/>
  <c r="Y22" i="2" s="1"/>
  <c r="R22" i="2"/>
  <c r="Y9" i="2"/>
  <c r="AA5" i="2"/>
  <c r="Z6" i="2"/>
  <c r="Z22" i="2" s="1"/>
  <c r="Y7" i="2"/>
  <c r="Y27" i="2" s="1"/>
  <c r="AB10" i="2"/>
  <c r="AA12" i="2"/>
  <c r="V17" i="2"/>
  <c r="V18" i="2" s="1"/>
  <c r="V25" i="2"/>
  <c r="F17" i="2"/>
  <c r="F18" i="2" s="1"/>
  <c r="F25" i="2"/>
  <c r="U17" i="2"/>
  <c r="U18" i="2" s="1"/>
  <c r="U25" i="2"/>
  <c r="J23" i="2"/>
  <c r="M13" i="2"/>
  <c r="M24" i="2" s="1"/>
  <c r="N27" i="2"/>
  <c r="W17" i="2"/>
  <c r="W18" i="2" s="1"/>
  <c r="W25" i="2"/>
  <c r="G17" i="2"/>
  <c r="G18" i="2" s="1"/>
  <c r="L84" i="2"/>
  <c r="K15" i="2"/>
  <c r="J15" i="2"/>
  <c r="J24" i="2"/>
  <c r="I15" i="2"/>
  <c r="I24" i="2"/>
  <c r="Y23" i="2" l="1"/>
  <c r="AB5" i="2"/>
  <c r="AA6" i="2"/>
  <c r="AA22" i="2" s="1"/>
  <c r="Z7" i="2"/>
  <c r="AC10" i="2"/>
  <c r="AB12" i="2"/>
  <c r="N23" i="2"/>
  <c r="N13" i="2"/>
  <c r="X13" i="2" s="1"/>
  <c r="X24" i="2" s="1"/>
  <c r="M15" i="2"/>
  <c r="M17" i="2"/>
  <c r="K17" i="2"/>
  <c r="K25" i="2"/>
  <c r="J17" i="2"/>
  <c r="J25" i="2"/>
  <c r="I17" i="2"/>
  <c r="I18" i="2" s="1"/>
  <c r="I25" i="2"/>
  <c r="Z9" i="2" l="1"/>
  <c r="Z8" i="2"/>
  <c r="Z27" i="2"/>
  <c r="AA7" i="2"/>
  <c r="AC5" i="2"/>
  <c r="AB6" i="2"/>
  <c r="AB22" i="2" s="1"/>
  <c r="AB7" i="2"/>
  <c r="AD10" i="2"/>
  <c r="AC12" i="2"/>
  <c r="O23" i="2"/>
  <c r="O13" i="2"/>
  <c r="N15" i="2"/>
  <c r="N24" i="2"/>
  <c r="O8" i="2"/>
  <c r="P8" i="2"/>
  <c r="J18" i="2"/>
  <c r="J54" i="2"/>
  <c r="K18" i="2"/>
  <c r="K54" i="2"/>
  <c r="M18" i="2"/>
  <c r="M54" i="2"/>
  <c r="L22" i="2"/>
  <c r="H22" i="2"/>
  <c r="H7" i="2"/>
  <c r="H9" i="2" s="1"/>
  <c r="L7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H14" i="1"/>
  <c r="H11" i="1"/>
  <c r="H10" i="1"/>
  <c r="AB27" i="2" l="1"/>
  <c r="AB9" i="2"/>
  <c r="AC6" i="2"/>
  <c r="AC22" i="2" s="1"/>
  <c r="AD5" i="2"/>
  <c r="AC7" i="2"/>
  <c r="AA27" i="2"/>
  <c r="AA9" i="2"/>
  <c r="AA8" i="2" s="1"/>
  <c r="Z23" i="2"/>
  <c r="Z13" i="2"/>
  <c r="AE10" i="2"/>
  <c r="AD12" i="2"/>
  <c r="X15" i="2"/>
  <c r="X16" i="2"/>
  <c r="X25" i="2" s="1"/>
  <c r="P23" i="2"/>
  <c r="P13" i="2"/>
  <c r="P24" i="2" s="1"/>
  <c r="O24" i="2"/>
  <c r="L9" i="2"/>
  <c r="L27" i="2"/>
  <c r="Q27" i="2"/>
  <c r="P27" i="2"/>
  <c r="L13" i="2"/>
  <c r="L23" i="2"/>
  <c r="H13" i="2"/>
  <c r="H23" i="2"/>
  <c r="Z24" i="2" l="1"/>
  <c r="Z15" i="2"/>
  <c r="Z16" i="2" s="1"/>
  <c r="Z25" i="2" s="1"/>
  <c r="AB23" i="2"/>
  <c r="AB13" i="2"/>
  <c r="AC27" i="2"/>
  <c r="AC9" i="2"/>
  <c r="AC8" i="2" s="1"/>
  <c r="AB8" i="2"/>
  <c r="AD6" i="2"/>
  <c r="AD22" i="2" s="1"/>
  <c r="AE5" i="2"/>
  <c r="AA23" i="2"/>
  <c r="AA13" i="2"/>
  <c r="AF10" i="2"/>
  <c r="AE12" i="2"/>
  <c r="N17" i="2"/>
  <c r="N34" i="2" s="1"/>
  <c r="X17" i="2"/>
  <c r="N25" i="2"/>
  <c r="Q23" i="2"/>
  <c r="Q13" i="2"/>
  <c r="R27" i="2"/>
  <c r="Q8" i="2"/>
  <c r="H15" i="2"/>
  <c r="H24" i="2"/>
  <c r="L15" i="2"/>
  <c r="L24" i="2"/>
  <c r="AD7" i="2" l="1"/>
  <c r="AD27" i="2"/>
  <c r="AD9" i="2"/>
  <c r="AD8" i="2" s="1"/>
  <c r="AC23" i="2"/>
  <c r="AC13" i="2"/>
  <c r="AA24" i="2"/>
  <c r="AA15" i="2"/>
  <c r="AA16" i="2" s="1"/>
  <c r="AA25" i="2" s="1"/>
  <c r="AB24" i="2"/>
  <c r="AB15" i="2"/>
  <c r="AB16" i="2" s="1"/>
  <c r="AB25" i="2" s="1"/>
  <c r="AE6" i="2"/>
  <c r="AE22" i="2" s="1"/>
  <c r="AF5" i="2"/>
  <c r="AE7" i="2"/>
  <c r="N18" i="2"/>
  <c r="AG10" i="2"/>
  <c r="AF12" i="2"/>
  <c r="X18" i="2"/>
  <c r="AE17" i="2"/>
  <c r="AE18" i="2" s="1"/>
  <c r="O14" i="2"/>
  <c r="R23" i="2"/>
  <c r="R13" i="2"/>
  <c r="Y13" i="2" s="1"/>
  <c r="Y24" i="2" s="1"/>
  <c r="Q24" i="2"/>
  <c r="R8" i="2"/>
  <c r="Y8" i="2" s="1"/>
  <c r="L17" i="2"/>
  <c r="L18" i="2" s="1"/>
  <c r="L25" i="2"/>
  <c r="H17" i="2"/>
  <c r="H18" i="2" s="1"/>
  <c r="AE27" i="2" l="1"/>
  <c r="AE9" i="2"/>
  <c r="AE8" i="2" s="1"/>
  <c r="AF6" i="2"/>
  <c r="AF22" i="2" s="1"/>
  <c r="AG5" i="2"/>
  <c r="AF7" i="2"/>
  <c r="AD23" i="2"/>
  <c r="AD13" i="2"/>
  <c r="AC15" i="2"/>
  <c r="AC16" i="2" s="1"/>
  <c r="AC25" i="2" s="1"/>
  <c r="AC24" i="2"/>
  <c r="AH10" i="2"/>
  <c r="AG12" i="2"/>
  <c r="O15" i="2"/>
  <c r="O16" i="2" s="1"/>
  <c r="R24" i="2"/>
  <c r="L54" i="2"/>
  <c r="AH5" i="2" l="1"/>
  <c r="AG6" i="2"/>
  <c r="AG22" i="2" s="1"/>
  <c r="AG7" i="2"/>
  <c r="AF27" i="2"/>
  <c r="AF9" i="2"/>
  <c r="AF8" i="2"/>
  <c r="AE23" i="2"/>
  <c r="AE13" i="2"/>
  <c r="AD15" i="2"/>
  <c r="AD16" i="2" s="1"/>
  <c r="AD25" i="2" s="1"/>
  <c r="AD24" i="2"/>
  <c r="AI10" i="2"/>
  <c r="AH12" i="2"/>
  <c r="O17" i="2"/>
  <c r="AE15" i="2" l="1"/>
  <c r="AE16" i="2" s="1"/>
  <c r="AE25" i="2" s="1"/>
  <c r="AE24" i="2"/>
  <c r="AF23" i="2"/>
  <c r="AF13" i="2"/>
  <c r="AG9" i="2"/>
  <c r="AG27" i="2"/>
  <c r="AG8" i="2"/>
  <c r="AI5" i="2"/>
  <c r="AH6" i="2"/>
  <c r="AH22" i="2" s="1"/>
  <c r="AH7" i="2"/>
  <c r="AJ10" i="2"/>
  <c r="AJ12" i="2" s="1"/>
  <c r="AI12" i="2"/>
  <c r="O34" i="2"/>
  <c r="O18" i="2"/>
  <c r="O25" i="2"/>
  <c r="AH9" i="2" l="1"/>
  <c r="AH27" i="2"/>
  <c r="AI6" i="2"/>
  <c r="AI22" i="2" s="1"/>
  <c r="AJ5" i="2"/>
  <c r="AG23" i="2"/>
  <c r="AG13" i="2"/>
  <c r="AF24" i="2"/>
  <c r="AF15" i="2"/>
  <c r="AF16" i="2" s="1"/>
  <c r="AF25" i="2" s="1"/>
  <c r="P14" i="2"/>
  <c r="AJ6" i="2" l="1"/>
  <c r="AJ22" i="2" s="1"/>
  <c r="AI7" i="2"/>
  <c r="AG24" i="2"/>
  <c r="AG15" i="2"/>
  <c r="AG16" i="2" s="1"/>
  <c r="AG25" i="2" s="1"/>
  <c r="AH23" i="2"/>
  <c r="AH13" i="2"/>
  <c r="AH8" i="2"/>
  <c r="P15" i="2"/>
  <c r="AI27" i="2" l="1"/>
  <c r="AI9" i="2"/>
  <c r="AI8" i="2"/>
  <c r="AH24" i="2"/>
  <c r="AH15" i="2"/>
  <c r="AH16" i="2" s="1"/>
  <c r="AH25" i="2" s="1"/>
  <c r="AJ7" i="2"/>
  <c r="P16" i="2"/>
  <c r="AJ27" i="2" l="1"/>
  <c r="AJ9" i="2"/>
  <c r="AJ8" i="2" s="1"/>
  <c r="AI23" i="2"/>
  <c r="AI13" i="2"/>
  <c r="P17" i="2"/>
  <c r="P25" i="2"/>
  <c r="AI24" i="2" l="1"/>
  <c r="AI15" i="2"/>
  <c r="AI16" i="2" s="1"/>
  <c r="AI25" i="2" s="1"/>
  <c r="AJ23" i="2"/>
  <c r="AJ13" i="2"/>
  <c r="P18" i="2"/>
  <c r="P34" i="2"/>
  <c r="AJ24" i="2" l="1"/>
  <c r="AJ15" i="2"/>
  <c r="AJ16" i="2" s="1"/>
  <c r="AJ25" i="2" s="1"/>
  <c r="Q14" i="2"/>
  <c r="Q15" i="2" l="1"/>
  <c r="Q16" i="2" l="1"/>
  <c r="Q25" i="2" l="1"/>
  <c r="Q17" i="2"/>
  <c r="Q18" i="2" l="1"/>
  <c r="Q34" i="2"/>
  <c r="R14" i="2" l="1"/>
  <c r="R15" i="2" l="1"/>
  <c r="Y14" i="2"/>
  <c r="R16" i="2" l="1"/>
  <c r="R17" i="2" s="1"/>
  <c r="Y15" i="2"/>
  <c r="AB17" i="2" l="1"/>
  <c r="AB18" i="2" s="1"/>
  <c r="Z17" i="2"/>
  <c r="AA17" i="2"/>
  <c r="AA18" i="2" s="1"/>
  <c r="R18" i="2"/>
  <c r="Y17" i="2"/>
  <c r="R34" i="2"/>
  <c r="R25" i="2"/>
  <c r="Y16" i="2"/>
  <c r="Y25" i="2" s="1"/>
  <c r="Y18" i="2" l="1"/>
  <c r="AI17" i="2"/>
  <c r="AI18" i="2" s="1"/>
  <c r="AF17" i="2"/>
  <c r="AF18" i="2" s="1"/>
  <c r="AH17" i="2"/>
  <c r="AH18" i="2" s="1"/>
  <c r="AG17" i="2"/>
  <c r="AG18" i="2" s="1"/>
  <c r="AJ17" i="2"/>
  <c r="Z18" i="2"/>
  <c r="AK17" i="2" l="1"/>
  <c r="AJ18" i="2"/>
  <c r="AL17" i="2" l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T39" i="2" l="1"/>
  <c r="T40" i="2" s="1"/>
  <c r="T41" i="2" s="1"/>
  <c r="T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M12" authorId="0" shapeId="0" xr:uid="{D72C5C64-D1E0-4EA5-AD1E-E91CFCF27367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Contract Termination added</t>
        </r>
      </text>
    </comment>
    <comment ref="B59" authorId="0" shapeId="0" xr:uid="{CE4D60BA-FBEE-4489-A660-9ABA3FD8475C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Other non-cash Expenses
</t>
        </r>
      </text>
    </comment>
  </commentList>
</comments>
</file>

<file path=xl/sharedStrings.xml><?xml version="1.0" encoding="utf-8"?>
<sst xmlns="http://schemas.openxmlformats.org/spreadsheetml/2006/main" count="102" uniqueCount="91">
  <si>
    <t>Price</t>
  </si>
  <si>
    <t>Shares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</si>
  <si>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</si>
  <si>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</si>
  <si>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</si>
  <si>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</si>
  <si>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</si>
  <si>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</si>
  <si>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</si>
  <si>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</si>
  <si>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</si>
  <si>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</si>
  <si>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</si>
  <si>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</si>
  <si>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</si>
  <si>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</si>
  <si>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</si>
  <si>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</si>
  <si>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</si>
  <si>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</si>
  <si>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</si>
  <si>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</si>
  <si>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Main</t>
  </si>
  <si>
    <t>Alchohol Tax</t>
  </si>
  <si>
    <t>Product Sales</t>
  </si>
  <si>
    <t>Net Revenue</t>
  </si>
  <si>
    <t>Revenue Growth Y/Y</t>
  </si>
  <si>
    <t>Revenue Tax Rate</t>
  </si>
  <si>
    <t>COGS</t>
  </si>
  <si>
    <t>Gross Profit</t>
  </si>
  <si>
    <t>Gross Margins %</t>
  </si>
  <si>
    <t>S&amp;M</t>
  </si>
  <si>
    <t>G&amp;A</t>
  </si>
  <si>
    <t>Operating Expenses</t>
  </si>
  <si>
    <t>Operating Costs</t>
  </si>
  <si>
    <t>Other Income</t>
  </si>
  <si>
    <t>Pretax Income</t>
  </si>
  <si>
    <t>Taxes</t>
  </si>
  <si>
    <t>Net Income</t>
  </si>
  <si>
    <t>EPS</t>
  </si>
  <si>
    <t>Operating Margins %</t>
  </si>
  <si>
    <t>A/R</t>
  </si>
  <si>
    <t>Inventory</t>
  </si>
  <si>
    <t>Prepaids</t>
  </si>
  <si>
    <t>Income Tax</t>
  </si>
  <si>
    <t>PP&amp;E</t>
  </si>
  <si>
    <t>ROU</t>
  </si>
  <si>
    <t>Intangibles</t>
  </si>
  <si>
    <t>3rd Party Production</t>
  </si>
  <si>
    <t>OA</t>
  </si>
  <si>
    <t>Total Assets</t>
  </si>
  <si>
    <t>A/P</t>
  </si>
  <si>
    <t>Operating Lease</t>
  </si>
  <si>
    <t>A/E</t>
  </si>
  <si>
    <t>D/T</t>
  </si>
  <si>
    <t>NC Operating Lease</t>
  </si>
  <si>
    <t>OL</t>
  </si>
  <si>
    <t>Total Liabilties</t>
  </si>
  <si>
    <t>Model NI</t>
  </si>
  <si>
    <t>Reported NI</t>
  </si>
  <si>
    <t>D/A</t>
  </si>
  <si>
    <t>Impairments</t>
  </si>
  <si>
    <t>pp&amp;e Disposal</t>
  </si>
  <si>
    <t>ONCE</t>
  </si>
  <si>
    <t>SBC</t>
  </si>
  <si>
    <t>Production repayments</t>
  </si>
  <si>
    <t>CFFO</t>
  </si>
  <si>
    <t>CapEx</t>
  </si>
  <si>
    <t>PP&amp;E Disposal</t>
  </si>
  <si>
    <t>Other investments</t>
  </si>
  <si>
    <t>CFFI</t>
  </si>
  <si>
    <t>Sale of Investments</t>
  </si>
  <si>
    <t>Cash paid on Notes &amp; Lease</t>
  </si>
  <si>
    <t>Borrowed Cash</t>
  </si>
  <si>
    <t>Payment of Borrowed Cash</t>
  </si>
  <si>
    <t>SBC Tax</t>
  </si>
  <si>
    <t>CFFF</t>
  </si>
  <si>
    <t>CF</t>
  </si>
  <si>
    <t>Tax Rate %</t>
  </si>
  <si>
    <t>Barrels Sold</t>
  </si>
  <si>
    <t>Barrels Sold Y/Y</t>
  </si>
  <si>
    <t>S&amp;M Y/Y</t>
  </si>
  <si>
    <t>G&amp;A Y/Y</t>
  </si>
  <si>
    <t>ROIC</t>
  </si>
  <si>
    <t>Maturity</t>
  </si>
  <si>
    <t>Discount</t>
  </si>
  <si>
    <t>NPV</t>
  </si>
  <si>
    <t>cash</t>
  </si>
  <si>
    <t>per share</t>
  </si>
  <si>
    <t>curr share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</si>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</sst>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000000000"/>
  </numFmts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2" fillId="0" borderId="0" xfId="1" applyFill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0" fontId="3" fillId="0" borderId="0" xfId="0" applyFont="1"/>
    <xf numFmtId="4" fontId="0" fillId="0" borderId="0" xfId="0" applyNumberFormat="1"/>
    <xf numFmtId="0" fontId="1" fillId="0" borderId="0" xfId="0" applyFont="1"/>
    <xf numFmtId="8" fontId="0" fillId="0" borderId="0" xfId="0" applyNumberFormat="1"/>
    <xf numFmtId="164" fontId="0" fillId="0" borderId="0" xfId="0" applyNumberForma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38100</xdr:rowOff>
    </xdr:from>
    <xdr:to>
      <xdr:col>13</xdr:col>
      <xdr:colOff>28575</xdr:colOff>
      <xdr:row>45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457E82-9B83-4F32-9AAE-CA7736223158}"/>
            </a:ext>
          </a:extLst>
        </xdr:cNvPr>
        <xdr:cNvCxnSpPr/>
      </xdr:nvCxnSpPr>
      <xdr:spPr>
        <a:xfrm>
          <a:off x="9296400" y="38100"/>
          <a:ext cx="0" cy="774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0</xdr:row>
      <xdr:rowOff>28575</xdr:rowOff>
    </xdr:from>
    <xdr:to>
      <xdr:col>23</xdr:col>
      <xdr:colOff>38100</xdr:colOff>
      <xdr:row>47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4ED299B-78B4-4913-826D-F11ECEE9BF43}"/>
            </a:ext>
          </a:extLst>
        </xdr:cNvPr>
        <xdr:cNvCxnSpPr/>
      </xdr:nvCxnSpPr>
      <xdr:spPr>
        <a:xfrm>
          <a:off x="16163925" y="28575"/>
          <a:ext cx="0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A351-2068-40AB-A5E0-3148F899E52D}">
  <dimension ref="G9:H14"/>
  <sheetViews>
    <sheetView workbookViewId="0">
      <selection activeCell="H10" sqref="H10"/>
    </sheetView>
  </sheetViews>
  <sheetFormatPr defaultRowHeight="14.25" x14ac:dyDescent="0.2"/>
  <sheetData>
    <row r="9" spans="7:8" x14ac:dyDescent="0.2">
      <c r="G9" t="s">
        <v>0</v>
      </c>
      <c r="H9">
        <v>516.88</v>
      </c>
    </row>
    <row r="10" spans="7:8" x14ac:dyDescent="0.2">
      <c r="G10" t="s">
        <v>1</v>
      </c>
      <c r="H10" s="1">
        <f>10.203+2.078</f>
        <v>12.280999999999999</v>
      </c>
    </row>
    <row r="11" spans="7:8" x14ac:dyDescent="0.2">
      <c r="G11" t="s">
        <v>2</v>
      </c>
      <c r="H11" s="1">
        <f>+H9*H10</f>
        <v>6347.8032799999992</v>
      </c>
    </row>
    <row r="12" spans="7:8" x14ac:dyDescent="0.2">
      <c r="G12" t="s">
        <v>3</v>
      </c>
      <c r="H12" s="1">
        <v>86.504000000000005</v>
      </c>
    </row>
    <row r="13" spans="7:8" x14ac:dyDescent="0.2">
      <c r="G13" t="s">
        <v>4</v>
      </c>
      <c r="H13" s="1">
        <v>0</v>
      </c>
    </row>
    <row r="14" spans="7:8" x14ac:dyDescent="0.2">
      <c r="G14" t="s">
        <v>5</v>
      </c>
      <c r="H14" s="1">
        <f>+H11-H12+H13</f>
        <v>6261.2992799999993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D6E9-460C-43E5-AD63-8993B7423D80}">
  <dimension ref="A1:BN8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3" sqref="F23"/>
    </sheetView>
  </sheetViews>
  <sheetFormatPr defaultRowHeight="14.25" x14ac:dyDescent="0.2"/>
  <cols>
    <col min="1" max="1" width="4.625" bestFit="1" customWidth="1"/>
    <col min="2" max="2" width="18" bestFit="1" customWidth="1"/>
    <col min="20" max="20" width="17.125" bestFit="1" customWidth="1"/>
  </cols>
  <sheetData>
    <row r="1" spans="1:36" x14ac:dyDescent="0.2">
      <c r="A1" s="2" t="s">
        <v>22</v>
      </c>
    </row>
    <row r="2" spans="1:36" x14ac:dyDescent="0.2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U2">
        <v>2018</v>
      </c>
      <c r="V2">
        <f>+U2+1</f>
        <v>2019</v>
      </c>
      <c r="W2">
        <f t="shared" ref="W2:AJ2" si="0">+V2+1</f>
        <v>2020</v>
      </c>
      <c r="X2">
        <f t="shared" si="0"/>
        <v>2021</v>
      </c>
      <c r="Y2">
        <f t="shared" si="0"/>
        <v>2022</v>
      </c>
      <c r="Z2">
        <f t="shared" si="0"/>
        <v>2023</v>
      </c>
      <c r="AA2">
        <f t="shared" si="0"/>
        <v>2024</v>
      </c>
      <c r="AB2">
        <f t="shared" si="0"/>
        <v>2025</v>
      </c>
      <c r="AC2">
        <f t="shared" si="0"/>
        <v>2026</v>
      </c>
      <c r="AD2">
        <f t="shared" si="0"/>
        <v>2027</v>
      </c>
      <c r="AE2">
        <f t="shared" si="0"/>
        <v>2028</v>
      </c>
      <c r="AF2">
        <f t="shared" si="0"/>
        <v>2029</v>
      </c>
      <c r="AG2">
        <f t="shared" si="0"/>
        <v>2030</v>
      </c>
      <c r="AH2">
        <f t="shared" si="0"/>
        <v>2031</v>
      </c>
      <c r="AI2">
        <f t="shared" si="0"/>
        <v>2032</v>
      </c>
      <c r="AJ2">
        <f t="shared" si="0"/>
        <v>2033</v>
      </c>
    </row>
    <row r="3" spans="1:36" x14ac:dyDescent="0.2">
      <c r="B3" t="s">
        <v>79</v>
      </c>
      <c r="F3">
        <v>1.262</v>
      </c>
      <c r="G3">
        <v>1.423</v>
      </c>
      <c r="H3">
        <v>1.921</v>
      </c>
      <c r="I3">
        <v>2.08</v>
      </c>
      <c r="J3">
        <v>1.9430000000000001</v>
      </c>
      <c r="K3">
        <v>2.278</v>
      </c>
      <c r="L3">
        <v>2.4470000000000001</v>
      </c>
      <c r="M3">
        <v>2.3119999999999998</v>
      </c>
    </row>
    <row r="5" spans="1:36" s="1" customFormat="1" x14ac:dyDescent="0.2">
      <c r="B5" s="1" t="s">
        <v>24</v>
      </c>
      <c r="F5" s="1">
        <f>320.215</f>
        <v>320.21499999999997</v>
      </c>
      <c r="G5" s="1">
        <v>352.22500000000002</v>
      </c>
      <c r="H5" s="1">
        <v>481.089</v>
      </c>
      <c r="I5" s="1">
        <v>525.24900000000002</v>
      </c>
      <c r="J5" s="1">
        <f>493.25</f>
        <v>493.25</v>
      </c>
      <c r="K5" s="1">
        <v>581.70899999999995</v>
      </c>
      <c r="L5" s="1">
        <v>641.31399999999996</v>
      </c>
      <c r="M5" s="1">
        <v>599.971</v>
      </c>
      <c r="N5" s="11">
        <f>+M5*1.01</f>
        <v>605.97071000000005</v>
      </c>
      <c r="O5" s="11">
        <f>+K5*1.3</f>
        <v>756.22169999999994</v>
      </c>
      <c r="P5" s="11">
        <f>+L5*1.32</f>
        <v>846.53448000000003</v>
      </c>
      <c r="Q5" s="11">
        <f>+M5*1.42</f>
        <v>851.95881999999995</v>
      </c>
      <c r="R5" s="11">
        <f t="shared" ref="R5" si="1">+N5*1.42</f>
        <v>860.47840819999999</v>
      </c>
      <c r="U5" s="1">
        <v>1057.4949999999999</v>
      </c>
      <c r="V5" s="1">
        <v>1329.1079999999999</v>
      </c>
      <c r="W5" s="1">
        <v>1851.8130000000001</v>
      </c>
      <c r="X5" s="1">
        <f>+SUM(K5:N5)</f>
        <v>2428.9647100000002</v>
      </c>
      <c r="Y5" s="1">
        <f>+SUM(O5:R5)</f>
        <v>3315.1934081999998</v>
      </c>
      <c r="Z5" s="1">
        <f>+Y5*1.27</f>
        <v>4210.295628414</v>
      </c>
      <c r="AA5" s="1">
        <f t="shared" ref="AA5:AB5" si="2">+Z5*1.27</f>
        <v>5347.0754480857804</v>
      </c>
      <c r="AB5" s="1">
        <f t="shared" si="2"/>
        <v>6790.7858190689412</v>
      </c>
      <c r="AC5" s="1">
        <f>+AB5*1.2</f>
        <v>8148.9429828827288</v>
      </c>
      <c r="AD5" s="1">
        <f t="shared" ref="AD5:AE5" si="3">+AC5*1.2</f>
        <v>9778.7315794592741</v>
      </c>
      <c r="AE5" s="1">
        <f t="shared" si="3"/>
        <v>11734.477895351129</v>
      </c>
      <c r="AF5" s="1">
        <f>+AE5*1.24</f>
        <v>14550.752590235399</v>
      </c>
      <c r="AG5" s="1">
        <f t="shared" ref="AG5:AJ5" si="4">+AF5*1.24</f>
        <v>18042.933211891894</v>
      </c>
      <c r="AH5" s="1">
        <f t="shared" si="4"/>
        <v>22373.237182745946</v>
      </c>
      <c r="AI5" s="1">
        <f t="shared" si="4"/>
        <v>27742.814106604972</v>
      </c>
      <c r="AJ5" s="1">
        <f t="shared" si="4"/>
        <v>34401.089492190164</v>
      </c>
    </row>
    <row r="6" spans="1:36" s="1" customFormat="1" x14ac:dyDescent="0.2">
      <c r="B6" s="1" t="s">
        <v>23</v>
      </c>
      <c r="F6" s="1">
        <v>18.914999999999999</v>
      </c>
      <c r="G6" s="1">
        <v>21.66</v>
      </c>
      <c r="H6" s="1">
        <v>28.951000000000001</v>
      </c>
      <c r="I6" s="1">
        <v>32.457000000000001</v>
      </c>
      <c r="J6" s="1">
        <v>32.313000000000002</v>
      </c>
      <c r="K6" s="1">
        <v>36.628999999999998</v>
      </c>
      <c r="L6" s="1">
        <v>38.509</v>
      </c>
      <c r="M6" s="1">
        <v>38.281999999999996</v>
      </c>
      <c r="N6" s="1">
        <f>+N5*0.06</f>
        <v>36.358242600000004</v>
      </c>
      <c r="O6" s="1">
        <f t="shared" ref="O6:R6" si="5">+O5*0.06</f>
        <v>45.373301999999995</v>
      </c>
      <c r="P6" s="1">
        <f t="shared" si="5"/>
        <v>50.792068800000003</v>
      </c>
      <c r="Q6" s="1">
        <f t="shared" si="5"/>
        <v>51.117529199999993</v>
      </c>
      <c r="R6" s="1">
        <f t="shared" si="5"/>
        <v>51.628704491999997</v>
      </c>
      <c r="U6" s="1">
        <v>61.845999999999997</v>
      </c>
      <c r="V6" s="1">
        <v>79.284000000000006</v>
      </c>
      <c r="W6" s="1">
        <v>115.381</v>
      </c>
      <c r="X6" s="1">
        <f t="shared" ref="X6:X17" si="6">+SUM(K6:N6)</f>
        <v>149.7782426</v>
      </c>
      <c r="Y6" s="1">
        <f t="shared" ref="Y6:Y17" si="7">+SUM(O6:R6)</f>
        <v>198.91160449199998</v>
      </c>
      <c r="Z6" s="1">
        <f>+Z5*0.06</f>
        <v>252.61773770483998</v>
      </c>
      <c r="AA6" s="1">
        <f t="shared" ref="AA6:AJ6" si="8">+AA5*0.06</f>
        <v>320.82452688514684</v>
      </c>
      <c r="AB6" s="1">
        <f t="shared" si="8"/>
        <v>407.44714914413646</v>
      </c>
      <c r="AC6" s="1">
        <f t="shared" si="8"/>
        <v>488.93657897296373</v>
      </c>
      <c r="AD6" s="1">
        <f t="shared" si="8"/>
        <v>586.72389476755643</v>
      </c>
      <c r="AE6" s="1">
        <f t="shared" si="8"/>
        <v>704.06867372106774</v>
      </c>
      <c r="AF6" s="1">
        <f t="shared" si="8"/>
        <v>873.04515541412388</v>
      </c>
      <c r="AG6" s="1">
        <f t="shared" si="8"/>
        <v>1082.5759927135136</v>
      </c>
      <c r="AH6" s="1">
        <f t="shared" si="8"/>
        <v>1342.3942309647568</v>
      </c>
      <c r="AI6" s="1">
        <f t="shared" si="8"/>
        <v>1664.5688463962983</v>
      </c>
      <c r="AJ6" s="1">
        <f t="shared" si="8"/>
        <v>2064.0653695314099</v>
      </c>
    </row>
    <row r="7" spans="1:36" s="5" customFormat="1" ht="15" x14ac:dyDescent="0.25">
      <c r="B7" s="5" t="s">
        <v>25</v>
      </c>
      <c r="F7" s="5">
        <f>+F5-F6</f>
        <v>301.29999999999995</v>
      </c>
      <c r="G7" s="5">
        <f>+G5-G6</f>
        <v>330.565</v>
      </c>
      <c r="H7" s="5">
        <f>+H5-H6</f>
        <v>452.13799999999998</v>
      </c>
      <c r="I7" s="5">
        <f>+I5-I6</f>
        <v>492.79200000000003</v>
      </c>
      <c r="J7" s="5">
        <f>+J5-J6</f>
        <v>460.93700000000001</v>
      </c>
      <c r="K7" s="5">
        <f>+K5-K6</f>
        <v>545.07999999999993</v>
      </c>
      <c r="L7" s="5">
        <f>+L5-L6</f>
        <v>602.80499999999995</v>
      </c>
      <c r="M7" s="5">
        <f>+M5-M6</f>
        <v>561.68899999999996</v>
      </c>
      <c r="N7" s="5">
        <f t="shared" ref="N7:R7" si="9">+N5-N6</f>
        <v>569.61246740000001</v>
      </c>
      <c r="O7" s="5">
        <f t="shared" si="9"/>
        <v>710.84839799999997</v>
      </c>
      <c r="P7" s="5">
        <f>+P5-P6</f>
        <v>795.74241119999999</v>
      </c>
      <c r="Q7" s="5">
        <f t="shared" si="9"/>
        <v>800.84129079999991</v>
      </c>
      <c r="R7" s="5">
        <f t="shared" si="9"/>
        <v>808.84970370799999</v>
      </c>
      <c r="U7" s="5">
        <f>+U5-U6</f>
        <v>995.64899999999989</v>
      </c>
      <c r="V7" s="5">
        <f>+V5-V6</f>
        <v>1249.8239999999998</v>
      </c>
      <c r="W7" s="5">
        <f>+W5-W6</f>
        <v>1736.432</v>
      </c>
      <c r="X7" s="5">
        <f t="shared" si="6"/>
        <v>2279.1864673999999</v>
      </c>
      <c r="Y7" s="5">
        <f t="shared" si="7"/>
        <v>3116.2818037080001</v>
      </c>
      <c r="Z7" s="5">
        <f>+Z5-Z6</f>
        <v>3957.6778907091602</v>
      </c>
      <c r="AA7" s="5">
        <f t="shared" ref="AA7:AJ7" si="10">+AA5-AA6</f>
        <v>5026.2509212006335</v>
      </c>
      <c r="AB7" s="5">
        <f t="shared" si="10"/>
        <v>6383.3386699248049</v>
      </c>
      <c r="AC7" s="5">
        <f t="shared" si="10"/>
        <v>7660.0064039097651</v>
      </c>
      <c r="AD7" s="5">
        <f t="shared" si="10"/>
        <v>9192.0076846917182</v>
      </c>
      <c r="AE7" s="5">
        <f t="shared" si="10"/>
        <v>11030.409221630061</v>
      </c>
      <c r="AF7" s="5">
        <f t="shared" si="10"/>
        <v>13677.707434821275</v>
      </c>
      <c r="AG7" s="5">
        <f t="shared" si="10"/>
        <v>16960.357219178379</v>
      </c>
      <c r="AH7" s="5">
        <f t="shared" si="10"/>
        <v>21030.842951781189</v>
      </c>
      <c r="AI7" s="5">
        <f t="shared" si="10"/>
        <v>26078.245260208674</v>
      </c>
      <c r="AJ7" s="5">
        <f t="shared" si="10"/>
        <v>32337.024122658753</v>
      </c>
    </row>
    <row r="8" spans="1:36" s="1" customFormat="1" x14ac:dyDescent="0.2">
      <c r="B8" s="1" t="s">
        <v>28</v>
      </c>
      <c r="F8" s="1">
        <v>158.511</v>
      </c>
      <c r="G8" s="1">
        <v>182.59200000000001</v>
      </c>
      <c r="H8" s="1">
        <v>242.51400000000001</v>
      </c>
      <c r="I8" s="1">
        <v>252.20699999999999</v>
      </c>
      <c r="J8" s="1">
        <v>244.667</v>
      </c>
      <c r="K8" s="1">
        <v>295.45</v>
      </c>
      <c r="L8" s="1">
        <v>327.11599999999999</v>
      </c>
      <c r="M8" s="1">
        <v>388.947</v>
      </c>
      <c r="N8" s="1">
        <f>+N7-N9</f>
        <v>341.76748043999999</v>
      </c>
      <c r="O8" s="1">
        <f t="shared" ref="O8:R8" si="11">+O7-O9</f>
        <v>440.72600675999996</v>
      </c>
      <c r="P8" s="1">
        <f t="shared" si="11"/>
        <v>493.36029494399997</v>
      </c>
      <c r="Q8" s="1">
        <f t="shared" si="11"/>
        <v>496.52160029599992</v>
      </c>
      <c r="R8" s="1">
        <f t="shared" si="11"/>
        <v>501.48681629895998</v>
      </c>
      <c r="U8" s="1">
        <v>483.40600000000001</v>
      </c>
      <c r="V8" s="1">
        <v>635.65800000000002</v>
      </c>
      <c r="W8" s="1">
        <v>921.98</v>
      </c>
      <c r="X8" s="1">
        <f t="shared" si="6"/>
        <v>1353.28048044</v>
      </c>
      <c r="Y8" s="1">
        <f>+SUM(O8:R8)</f>
        <v>1932.0947182989598</v>
      </c>
      <c r="Z8" s="1">
        <f>+Z7-Z9</f>
        <v>2374.6067344254961</v>
      </c>
      <c r="AA8" s="1">
        <f t="shared" ref="AA8:AJ8" si="12">+AA7-AA9</f>
        <v>3015.7505527203803</v>
      </c>
      <c r="AB8" s="1">
        <f t="shared" si="12"/>
        <v>3830.0032019548826</v>
      </c>
      <c r="AC8" s="1">
        <f t="shared" si="12"/>
        <v>4596.0038423458591</v>
      </c>
      <c r="AD8" s="1">
        <f t="shared" si="12"/>
        <v>5515.2046108150307</v>
      </c>
      <c r="AE8" s="1">
        <f t="shared" si="12"/>
        <v>6618.2455329780369</v>
      </c>
      <c r="AF8" s="1">
        <f t="shared" si="12"/>
        <v>8206.6244608927645</v>
      </c>
      <c r="AG8" s="1">
        <f t="shared" si="12"/>
        <v>10176.214331507028</v>
      </c>
      <c r="AH8" s="1">
        <f t="shared" si="12"/>
        <v>12618.505771068712</v>
      </c>
      <c r="AI8" s="1">
        <f t="shared" si="12"/>
        <v>15646.947156125203</v>
      </c>
      <c r="AJ8" s="1">
        <f t="shared" si="12"/>
        <v>19402.214473595253</v>
      </c>
    </row>
    <row r="9" spans="1:36" s="1" customFormat="1" x14ac:dyDescent="0.2">
      <c r="B9" s="1" t="s">
        <v>29</v>
      </c>
      <c r="F9" s="1">
        <f>+F7-F8</f>
        <v>142.78899999999996</v>
      </c>
      <c r="G9" s="1">
        <f>+G7-G8</f>
        <v>147.97299999999998</v>
      </c>
      <c r="H9" s="1">
        <f>+H7-H8</f>
        <v>209.62399999999997</v>
      </c>
      <c r="I9" s="1">
        <f>+I7-I8</f>
        <v>240.58500000000004</v>
      </c>
      <c r="J9" s="1">
        <f>+J7-J8</f>
        <v>216.27</v>
      </c>
      <c r="K9" s="1">
        <f>+K7-K8</f>
        <v>249.62999999999994</v>
      </c>
      <c r="L9" s="1">
        <f>+L7-L8</f>
        <v>275.68899999999996</v>
      </c>
      <c r="M9" s="1">
        <f>+M7-M8</f>
        <v>172.74199999999996</v>
      </c>
      <c r="N9" s="1">
        <f>+N7*0.4</f>
        <v>227.84498696000003</v>
      </c>
      <c r="O9" s="1">
        <f t="shared" ref="O9:R9" si="13">+O7*0.38</f>
        <v>270.12239124000001</v>
      </c>
      <c r="P9" s="1">
        <f t="shared" si="13"/>
        <v>302.38211625600002</v>
      </c>
      <c r="Q9" s="1">
        <f t="shared" si="13"/>
        <v>304.31969050399999</v>
      </c>
      <c r="R9" s="1">
        <f t="shared" si="13"/>
        <v>307.36288740904001</v>
      </c>
      <c r="U9" s="1">
        <f>+U7-U8</f>
        <v>512.24299999999994</v>
      </c>
      <c r="V9" s="1">
        <f>+V7-V8</f>
        <v>614.16599999999983</v>
      </c>
      <c r="W9" s="1">
        <f>+W7-W8</f>
        <v>814.452</v>
      </c>
      <c r="X9" s="1">
        <f t="shared" si="6"/>
        <v>925.90598695999995</v>
      </c>
      <c r="Y9" s="1">
        <f t="shared" si="7"/>
        <v>1184.18708540904</v>
      </c>
      <c r="Z9" s="1">
        <f>+Z7*0.4</f>
        <v>1583.0711562836641</v>
      </c>
      <c r="AA9" s="1">
        <f t="shared" ref="AA9:AJ9" si="14">+AA7*0.4</f>
        <v>2010.5003684802534</v>
      </c>
      <c r="AB9" s="1">
        <f t="shared" si="14"/>
        <v>2553.3354679699223</v>
      </c>
      <c r="AC9" s="1">
        <f t="shared" si="14"/>
        <v>3064.0025615639061</v>
      </c>
      <c r="AD9" s="1">
        <f t="shared" si="14"/>
        <v>3676.8030738766874</v>
      </c>
      <c r="AE9" s="1">
        <f t="shared" si="14"/>
        <v>4412.1636886520246</v>
      </c>
      <c r="AF9" s="1">
        <f t="shared" si="14"/>
        <v>5471.0829739285109</v>
      </c>
      <c r="AG9" s="1">
        <f t="shared" si="14"/>
        <v>6784.1428876713517</v>
      </c>
      <c r="AH9" s="1">
        <f t="shared" si="14"/>
        <v>8412.3371807124768</v>
      </c>
      <c r="AI9" s="1">
        <f t="shared" si="14"/>
        <v>10431.298104083471</v>
      </c>
      <c r="AJ9" s="1">
        <f t="shared" si="14"/>
        <v>12934.809649063502</v>
      </c>
    </row>
    <row r="10" spans="1:36" x14ac:dyDescent="0.2">
      <c r="B10" s="1" t="s">
        <v>31</v>
      </c>
      <c r="F10" s="1">
        <v>93.241</v>
      </c>
      <c r="G10" s="1">
        <v>97.891000000000005</v>
      </c>
      <c r="H10" s="1">
        <v>100.336</v>
      </c>
      <c r="I10" s="1">
        <v>108.023</v>
      </c>
      <c r="J10" s="1">
        <v>141.31800000000001</v>
      </c>
      <c r="K10" s="1">
        <v>140.85900000000001</v>
      </c>
      <c r="L10" s="1">
        <v>161.62</v>
      </c>
      <c r="M10" s="1">
        <v>166.81700000000001</v>
      </c>
      <c r="N10" s="1">
        <f>+J10*1.44</f>
        <v>203.49792000000002</v>
      </c>
      <c r="O10" s="1">
        <f>+K10*1.26</f>
        <v>177.48234000000002</v>
      </c>
      <c r="P10" s="1">
        <f>+L10*1.11</f>
        <v>179.39820000000003</v>
      </c>
      <c r="Q10" s="1">
        <f>+M10*1.28</f>
        <v>213.52576000000002</v>
      </c>
      <c r="R10" s="1">
        <f t="shared" ref="R10" si="15">+N10*1.28</f>
        <v>260.47733760000006</v>
      </c>
      <c r="U10" s="1">
        <v>304.85300000000001</v>
      </c>
      <c r="V10" s="1">
        <v>355.613</v>
      </c>
      <c r="W10" s="1">
        <v>447.56799999999998</v>
      </c>
      <c r="X10" s="1">
        <f t="shared" si="6"/>
        <v>672.79392000000007</v>
      </c>
      <c r="Y10" s="1">
        <f t="shared" si="7"/>
        <v>830.88363760000016</v>
      </c>
      <c r="Z10" s="1">
        <f>+Y10*1.01</f>
        <v>839.1924739760002</v>
      </c>
      <c r="AA10" s="1">
        <f t="shared" ref="AA10:AJ10" si="16">+Z10*1.01</f>
        <v>847.58439871576024</v>
      </c>
      <c r="AB10" s="1">
        <f t="shared" si="16"/>
        <v>856.06024270291789</v>
      </c>
      <c r="AC10" s="1">
        <f t="shared" si="16"/>
        <v>864.62084512994704</v>
      </c>
      <c r="AD10" s="1">
        <f t="shared" si="16"/>
        <v>873.2670535812465</v>
      </c>
      <c r="AE10" s="1">
        <f t="shared" si="16"/>
        <v>881.99972411705892</v>
      </c>
      <c r="AF10" s="1">
        <f t="shared" si="16"/>
        <v>890.81972135822946</v>
      </c>
      <c r="AG10" s="1">
        <f t="shared" si="16"/>
        <v>899.72791857181176</v>
      </c>
      <c r="AH10" s="1">
        <f t="shared" si="16"/>
        <v>908.72519775752983</v>
      </c>
      <c r="AI10" s="1">
        <f t="shared" si="16"/>
        <v>917.81244973510513</v>
      </c>
      <c r="AJ10" s="1">
        <f t="shared" si="16"/>
        <v>926.9905742324562</v>
      </c>
    </row>
    <row r="11" spans="1:36" x14ac:dyDescent="0.2">
      <c r="B11" s="1" t="s">
        <v>32</v>
      </c>
      <c r="F11" s="1">
        <v>31.178000000000001</v>
      </c>
      <c r="G11" s="1">
        <v>27.029</v>
      </c>
      <c r="H11" s="1">
        <v>29.684999999999999</v>
      </c>
      <c r="I11" s="1">
        <v>30.34</v>
      </c>
      <c r="J11" s="1">
        <v>31.157</v>
      </c>
      <c r="K11" s="1">
        <v>31.946000000000002</v>
      </c>
      <c r="L11" s="1">
        <v>32.96</v>
      </c>
      <c r="M11" s="1">
        <v>32.066000000000003</v>
      </c>
      <c r="N11" s="1">
        <f>+J11*1.03</f>
        <v>32.091709999999999</v>
      </c>
      <c r="O11" s="1">
        <f>32.066*1.01</f>
        <v>32.386660000000006</v>
      </c>
      <c r="P11" s="1">
        <f>+L11*1.03</f>
        <v>33.948799999999999</v>
      </c>
      <c r="Q11" s="1">
        <f>32.066*1.07</f>
        <v>34.310620000000007</v>
      </c>
      <c r="R11" s="1">
        <f>+N11*1.11</f>
        <v>35.621798099999999</v>
      </c>
      <c r="U11" s="1">
        <v>90.856999999999999</v>
      </c>
      <c r="V11" s="1">
        <v>112.73</v>
      </c>
      <c r="W11" s="1">
        <v>118.211</v>
      </c>
      <c r="X11" s="1">
        <f t="shared" si="6"/>
        <v>129.06371000000001</v>
      </c>
      <c r="Y11" s="1">
        <f t="shared" si="7"/>
        <v>136.26787810000002</v>
      </c>
      <c r="Z11" s="1">
        <f t="shared" ref="Z11:AJ11" si="17">+Y11*1.01</f>
        <v>137.63055688100002</v>
      </c>
      <c r="AA11" s="1">
        <f t="shared" si="17"/>
        <v>139.00686244981003</v>
      </c>
      <c r="AB11" s="1">
        <f t="shared" si="17"/>
        <v>140.39693107430813</v>
      </c>
      <c r="AC11" s="1">
        <f t="shared" si="17"/>
        <v>141.80090038505122</v>
      </c>
      <c r="AD11" s="1">
        <f t="shared" si="17"/>
        <v>143.21890938890172</v>
      </c>
      <c r="AE11" s="1">
        <f t="shared" si="17"/>
        <v>144.65109848279073</v>
      </c>
      <c r="AF11" s="1">
        <f t="shared" si="17"/>
        <v>146.09760946761864</v>
      </c>
      <c r="AG11" s="1">
        <f t="shared" si="17"/>
        <v>147.55858556229484</v>
      </c>
      <c r="AH11" s="1">
        <f t="shared" si="17"/>
        <v>149.03417141791778</v>
      </c>
      <c r="AI11" s="1">
        <f t="shared" si="17"/>
        <v>150.52451313209696</v>
      </c>
      <c r="AJ11" s="1">
        <f t="shared" si="17"/>
        <v>152.02975826341793</v>
      </c>
    </row>
    <row r="12" spans="1:36" x14ac:dyDescent="0.2">
      <c r="B12" s="1" t="s">
        <v>33</v>
      </c>
      <c r="F12" s="1">
        <f>+SUM(F10:F11)</f>
        <v>124.419</v>
      </c>
      <c r="G12" s="1">
        <f>+SUM(G10:G11)</f>
        <v>124.92</v>
      </c>
      <c r="H12" s="1">
        <f>+SUM(H10:H11)</f>
        <v>130.02099999999999</v>
      </c>
      <c r="I12" s="1">
        <f>+SUM(I10:I11)</f>
        <v>138.363</v>
      </c>
      <c r="J12" s="1">
        <f>+SUM(J10:J11)</f>
        <v>172.47500000000002</v>
      </c>
      <c r="K12" s="1">
        <f>+SUM(K10:K11)</f>
        <v>172.80500000000001</v>
      </c>
      <c r="L12" s="1">
        <f>+SUM(L10:L11)</f>
        <v>194.58</v>
      </c>
      <c r="M12" s="1">
        <f>+SUM(M10:M11) + 35.428</f>
        <v>234.31100000000001</v>
      </c>
      <c r="N12" s="1">
        <f t="shared" ref="N12:R12" si="18">+SUM(N10:N11)</f>
        <v>235.58963000000003</v>
      </c>
      <c r="O12" s="1">
        <f t="shared" si="18"/>
        <v>209.86900000000003</v>
      </c>
      <c r="P12" s="1">
        <f>+SUM(P10:P11)</f>
        <v>213.34700000000004</v>
      </c>
      <c r="Q12" s="1">
        <f t="shared" si="18"/>
        <v>247.83638000000002</v>
      </c>
      <c r="R12" s="1">
        <f>+SUM(R10:R11)</f>
        <v>296.09913570000003</v>
      </c>
      <c r="U12" s="1">
        <f>+SUM(U10:U11)</f>
        <v>395.71000000000004</v>
      </c>
      <c r="V12" s="1">
        <f>+SUM(V10:V11)</f>
        <v>468.34300000000002</v>
      </c>
      <c r="W12" s="1">
        <f>+SUM(W10:W11)</f>
        <v>565.779</v>
      </c>
      <c r="X12" s="1">
        <f t="shared" si="6"/>
        <v>837.28563000000008</v>
      </c>
      <c r="Y12" s="1">
        <f t="shared" si="7"/>
        <v>967.15151570000012</v>
      </c>
      <c r="Z12" s="1">
        <f t="shared" ref="Z12:AJ12" si="19">+SUM(Z10:Z11)</f>
        <v>976.82303085700028</v>
      </c>
      <c r="AA12" s="1">
        <f t="shared" si="19"/>
        <v>986.59126116557024</v>
      </c>
      <c r="AB12" s="1">
        <f t="shared" si="19"/>
        <v>996.45717377722599</v>
      </c>
      <c r="AC12" s="1">
        <f t="shared" si="19"/>
        <v>1006.4217455149983</v>
      </c>
      <c r="AD12" s="1">
        <f t="shared" si="19"/>
        <v>1016.4859629701482</v>
      </c>
      <c r="AE12" s="1">
        <f t="shared" si="19"/>
        <v>1026.6508225998496</v>
      </c>
      <c r="AF12" s="1">
        <f t="shared" si="19"/>
        <v>1036.917330825848</v>
      </c>
      <c r="AG12" s="1">
        <f t="shared" si="19"/>
        <v>1047.2865041341065</v>
      </c>
      <c r="AH12" s="1">
        <f t="shared" si="19"/>
        <v>1057.7593691754475</v>
      </c>
      <c r="AI12" s="1">
        <f t="shared" si="19"/>
        <v>1068.3369628672021</v>
      </c>
      <c r="AJ12" s="1">
        <f t="shared" si="19"/>
        <v>1079.0203324958741</v>
      </c>
    </row>
    <row r="13" spans="1:36" x14ac:dyDescent="0.2">
      <c r="B13" s="1" t="s">
        <v>34</v>
      </c>
      <c r="F13" s="1">
        <f>+F9-F12</f>
        <v>18.369999999999962</v>
      </c>
      <c r="G13" s="1">
        <f>+G9-G12</f>
        <v>23.052999999999983</v>
      </c>
      <c r="H13" s="1">
        <f>+H9-H12</f>
        <v>79.60299999999998</v>
      </c>
      <c r="I13" s="1">
        <f>+I9-I12</f>
        <v>102.22200000000004</v>
      </c>
      <c r="J13" s="1">
        <f>+J9-J12</f>
        <v>43.794999999999987</v>
      </c>
      <c r="K13" s="1">
        <f>+K9-K12</f>
        <v>76.824999999999932</v>
      </c>
      <c r="L13" s="1">
        <f>+L9-L12</f>
        <v>81.108999999999952</v>
      </c>
      <c r="M13" s="1">
        <f>+M9-M12</f>
        <v>-61.569000000000045</v>
      </c>
      <c r="N13" s="1">
        <f t="shared" ref="N13:R13" si="20">+N9-N12</f>
        <v>-7.7446430399999997</v>
      </c>
      <c r="O13" s="1">
        <f t="shared" si="20"/>
        <v>60.253391239999985</v>
      </c>
      <c r="P13" s="1">
        <f t="shared" si="20"/>
        <v>89.035116255999981</v>
      </c>
      <c r="Q13" s="1">
        <f t="shared" si="20"/>
        <v>56.483310503999974</v>
      </c>
      <c r="R13" s="1">
        <f t="shared" si="20"/>
        <v>11.26375170903998</v>
      </c>
      <c r="U13" s="1">
        <f>+U9-U12</f>
        <v>116.5329999999999</v>
      </c>
      <c r="V13" s="1">
        <f>+V9-V12</f>
        <v>145.82299999999981</v>
      </c>
      <c r="W13" s="1">
        <f>+W9-W12</f>
        <v>248.673</v>
      </c>
      <c r="X13" s="1">
        <f t="shared" si="6"/>
        <v>88.620356959999839</v>
      </c>
      <c r="Y13" s="1">
        <f t="shared" si="7"/>
        <v>217.03556970903992</v>
      </c>
      <c r="Z13" s="1">
        <f t="shared" ref="Z13:AJ13" si="21">+Z9-Z12</f>
        <v>606.24812542666382</v>
      </c>
      <c r="AA13" s="1">
        <f t="shared" si="21"/>
        <v>1023.9091073146832</v>
      </c>
      <c r="AB13" s="1">
        <f t="shared" si="21"/>
        <v>1556.8782941926963</v>
      </c>
      <c r="AC13" s="1">
        <f t="shared" si="21"/>
        <v>2057.5808160489078</v>
      </c>
      <c r="AD13" s="1">
        <f t="shared" si="21"/>
        <v>2660.3171109065393</v>
      </c>
      <c r="AE13" s="1">
        <f t="shared" si="21"/>
        <v>3385.512866052175</v>
      </c>
      <c r="AF13" s="1">
        <f t="shared" si="21"/>
        <v>4434.1656431026631</v>
      </c>
      <c r="AG13" s="1">
        <f t="shared" si="21"/>
        <v>5736.8563835372452</v>
      </c>
      <c r="AH13" s="1">
        <f t="shared" si="21"/>
        <v>7354.5778115370294</v>
      </c>
      <c r="AI13" s="1">
        <f t="shared" si="21"/>
        <v>9362.9611412162685</v>
      </c>
      <c r="AJ13" s="1">
        <f t="shared" si="21"/>
        <v>11855.789316567627</v>
      </c>
    </row>
    <row r="14" spans="1:36" x14ac:dyDescent="0.2">
      <c r="B14" s="1" t="s">
        <v>35</v>
      </c>
      <c r="F14" s="1">
        <v>-0.19600000000000001</v>
      </c>
      <c r="G14" s="1">
        <v>-0.29699999999999999</v>
      </c>
      <c r="H14" s="1">
        <v>-264</v>
      </c>
      <c r="I14" s="1">
        <v>0.17</v>
      </c>
      <c r="J14" s="1">
        <v>0.41399999999999998</v>
      </c>
      <c r="K14" s="1">
        <v>-3.5000000000000003E-2</v>
      </c>
      <c r="L14" s="1">
        <f>+-21</f>
        <v>-21</v>
      </c>
      <c r="M14" s="1">
        <v>-0.68300000000000005</v>
      </c>
      <c r="N14" s="3">
        <f>+M34*$T$36</f>
        <v>0.86504000000000003</v>
      </c>
      <c r="O14" s="3">
        <f t="shared" ref="O14:R14" si="22">+N34*$T$36</f>
        <v>0.79142824747200013</v>
      </c>
      <c r="P14" s="3">
        <f t="shared" si="22"/>
        <v>1.3591450687054896</v>
      </c>
      <c r="Q14" s="3">
        <f t="shared" si="22"/>
        <v>2.1998116990252505</v>
      </c>
      <c r="R14" s="3">
        <f t="shared" si="22"/>
        <v>2.7455647355133852</v>
      </c>
      <c r="U14" s="1">
        <v>0.40500000000000003</v>
      </c>
      <c r="V14" s="1">
        <v>-0.54200000000000004</v>
      </c>
      <c r="W14" s="1">
        <v>2.3E-2</v>
      </c>
      <c r="X14" s="1">
        <f t="shared" si="6"/>
        <v>-20.852959999999999</v>
      </c>
      <c r="Y14" s="1">
        <f t="shared" si="7"/>
        <v>7.0959497507161249</v>
      </c>
    </row>
    <row r="15" spans="1:36" x14ac:dyDescent="0.2">
      <c r="B15" s="1" t="s">
        <v>36</v>
      </c>
      <c r="F15" s="1">
        <f>+F13+F14</f>
        <v>18.17399999999996</v>
      </c>
      <c r="G15" s="1">
        <f>+G13+G14</f>
        <v>22.755999999999982</v>
      </c>
      <c r="H15" s="1">
        <f>+H13+H14</f>
        <v>-184.39700000000002</v>
      </c>
      <c r="I15" s="1">
        <f>+I13+I14</f>
        <v>102.39200000000004</v>
      </c>
      <c r="J15" s="1">
        <f>+J13+J14</f>
        <v>44.208999999999989</v>
      </c>
      <c r="K15" s="1">
        <f>+K13+K14</f>
        <v>76.789999999999935</v>
      </c>
      <c r="L15" s="1">
        <f>+L13+L14</f>
        <v>60.108999999999952</v>
      </c>
      <c r="M15" s="1">
        <f>+M13+M14</f>
        <v>-62.252000000000045</v>
      </c>
      <c r="N15" s="1">
        <f t="shared" ref="N15:R15" si="23">+N13+N14</f>
        <v>-6.8796030399999992</v>
      </c>
      <c r="O15" s="1">
        <f t="shared" si="23"/>
        <v>61.044819487471983</v>
      </c>
      <c r="P15" s="1">
        <f t="shared" si="23"/>
        <v>90.394261324705468</v>
      </c>
      <c r="Q15" s="1">
        <f t="shared" si="23"/>
        <v>58.683122203025221</v>
      </c>
      <c r="R15" s="1">
        <f t="shared" si="23"/>
        <v>14.009316444553365</v>
      </c>
      <c r="U15" s="1">
        <f>+U13+U14</f>
        <v>116.9379999999999</v>
      </c>
      <c r="V15" s="1">
        <f>+V13+V14</f>
        <v>145.28099999999981</v>
      </c>
      <c r="W15" s="1">
        <f>+W13+W14</f>
        <v>248.696</v>
      </c>
      <c r="X15" s="1">
        <f>+SUM(K15:N15)</f>
        <v>67.767396959999843</v>
      </c>
      <c r="Y15" s="1">
        <f t="shared" si="7"/>
        <v>224.13151945975605</v>
      </c>
      <c r="Z15" s="1">
        <f t="shared" ref="Z15:AJ15" si="24">+Z13+Z14</f>
        <v>606.24812542666382</v>
      </c>
      <c r="AA15" s="1">
        <f t="shared" si="24"/>
        <v>1023.9091073146832</v>
      </c>
      <c r="AB15" s="1">
        <f t="shared" si="24"/>
        <v>1556.8782941926963</v>
      </c>
      <c r="AC15" s="1">
        <f t="shared" si="24"/>
        <v>2057.5808160489078</v>
      </c>
      <c r="AD15" s="1">
        <f t="shared" si="24"/>
        <v>2660.3171109065393</v>
      </c>
      <c r="AE15" s="1">
        <f t="shared" si="24"/>
        <v>3385.512866052175</v>
      </c>
      <c r="AF15" s="1">
        <f t="shared" si="24"/>
        <v>4434.1656431026631</v>
      </c>
      <c r="AG15" s="1">
        <f t="shared" si="24"/>
        <v>5736.8563835372452</v>
      </c>
      <c r="AH15" s="1">
        <f t="shared" si="24"/>
        <v>7354.5778115370294</v>
      </c>
      <c r="AI15" s="1">
        <f t="shared" si="24"/>
        <v>9362.9611412162685</v>
      </c>
      <c r="AJ15" s="1">
        <f t="shared" si="24"/>
        <v>11855.789316567627</v>
      </c>
    </row>
    <row r="16" spans="1:36" s="1" customFormat="1" x14ac:dyDescent="0.2">
      <c r="B16" s="1" t="s">
        <v>37</v>
      </c>
      <c r="F16" s="1">
        <v>3.7440000000000002</v>
      </c>
      <c r="G16" s="1">
        <v>3.0009999999999999</v>
      </c>
      <c r="H16" s="1">
        <v>18.364000000000001</v>
      </c>
      <c r="I16" s="1">
        <v>21.183</v>
      </c>
      <c r="J16" s="1">
        <v>9.7219999999999995</v>
      </c>
      <c r="K16" s="1">
        <v>10.997999999999999</v>
      </c>
      <c r="L16" s="1">
        <v>20.888999999999999</v>
      </c>
      <c r="M16" s="1">
        <v>18.035</v>
      </c>
      <c r="N16" s="1">
        <f>ABS(N15*0.07)</f>
        <v>0.48157221280000001</v>
      </c>
      <c r="O16" s="1">
        <f>+O15*0.07</f>
        <v>4.2731373641230395</v>
      </c>
      <c r="P16" s="1">
        <f t="shared" ref="P16:Q16" si="25">+P15*0.07</f>
        <v>6.327598292729383</v>
      </c>
      <c r="Q16" s="1">
        <f t="shared" si="25"/>
        <v>4.1078185542117662</v>
      </c>
      <c r="R16" s="1">
        <f>+R15*0.05</f>
        <v>0.70046582222766829</v>
      </c>
      <c r="U16" s="1">
        <v>23.623000000000001</v>
      </c>
      <c r="V16" s="1">
        <v>34.329000000000001</v>
      </c>
      <c r="W16" s="1">
        <v>52.27</v>
      </c>
      <c r="X16" s="1">
        <f>+SUM(K16:N16)</f>
        <v>50.4035722128</v>
      </c>
      <c r="Y16" s="1">
        <f t="shared" si="7"/>
        <v>15.409020033291856</v>
      </c>
      <c r="Z16" s="1">
        <f>+Z15*0.07</f>
        <v>42.437368779866475</v>
      </c>
      <c r="AA16" s="1">
        <f t="shared" ref="AA16:AJ16" si="26">+AA15*0.07</f>
        <v>71.673637512027824</v>
      </c>
      <c r="AB16" s="1">
        <f t="shared" si="26"/>
        <v>108.98148059348875</v>
      </c>
      <c r="AC16" s="1">
        <f t="shared" si="26"/>
        <v>144.03065712342357</v>
      </c>
      <c r="AD16" s="1">
        <f t="shared" si="26"/>
        <v>186.22219776345776</v>
      </c>
      <c r="AE16" s="1">
        <f t="shared" si="26"/>
        <v>236.98590062365227</v>
      </c>
      <c r="AF16" s="1">
        <f t="shared" si="26"/>
        <v>310.39159501718643</v>
      </c>
      <c r="AG16" s="1">
        <f t="shared" si="26"/>
        <v>401.57994684760718</v>
      </c>
      <c r="AH16" s="1">
        <f t="shared" si="26"/>
        <v>514.82044680759213</v>
      </c>
      <c r="AI16" s="1">
        <f t="shared" si="26"/>
        <v>655.40727988513891</v>
      </c>
      <c r="AJ16" s="1">
        <f t="shared" si="26"/>
        <v>829.905252159734</v>
      </c>
    </row>
    <row r="17" spans="2:66" s="8" customFormat="1" ht="15" x14ac:dyDescent="0.25">
      <c r="B17" s="5" t="s">
        <v>38</v>
      </c>
      <c r="F17" s="5">
        <f>+F15-F16</f>
        <v>14.429999999999961</v>
      </c>
      <c r="G17" s="5">
        <f>+G15-G16</f>
        <v>19.754999999999981</v>
      </c>
      <c r="H17" s="5">
        <f>+H15-H16</f>
        <v>-202.76100000000002</v>
      </c>
      <c r="I17" s="5">
        <f>+I15-I16</f>
        <v>81.209000000000032</v>
      </c>
      <c r="J17" s="5">
        <f>+J15-J16</f>
        <v>34.486999999999988</v>
      </c>
      <c r="K17" s="5">
        <f>+K15-K16</f>
        <v>65.791999999999931</v>
      </c>
      <c r="L17" s="5">
        <f>+L15-L16</f>
        <v>39.219999999999956</v>
      </c>
      <c r="M17" s="5">
        <f>+M15-M16</f>
        <v>-80.287000000000049</v>
      </c>
      <c r="N17" s="5">
        <f>+N15-N16</f>
        <v>-7.361175252799999</v>
      </c>
      <c r="O17" s="5">
        <f>+O15-O16</f>
        <v>56.771682123348945</v>
      </c>
      <c r="P17" s="5">
        <f>+P15-P16</f>
        <v>84.066663031976091</v>
      </c>
      <c r="Q17" s="5">
        <f t="shared" ref="Q17:R17" si="27">+Q15-Q16</f>
        <v>54.575303648813453</v>
      </c>
      <c r="R17" s="5">
        <f t="shared" si="27"/>
        <v>13.308850622325696</v>
      </c>
      <c r="U17" s="5">
        <f>+U15-U16</f>
        <v>93.314999999999898</v>
      </c>
      <c r="V17" s="5">
        <f>+V15-V16</f>
        <v>110.9519999999998</v>
      </c>
      <c r="W17" s="5">
        <f>+W15-W16</f>
        <v>196.42599999999999</v>
      </c>
      <c r="X17" s="5">
        <f t="shared" si="6"/>
        <v>17.363824747199839</v>
      </c>
      <c r="Y17" s="5">
        <f t="shared" si="7"/>
        <v>208.7224994264642</v>
      </c>
      <c r="Z17" s="5">
        <f t="shared" ref="Z17" si="28">+SUM(P17:S17)</f>
        <v>151.95081730311526</v>
      </c>
      <c r="AA17" s="5">
        <f t="shared" ref="AA17" si="29">+SUM(Q17:T17)</f>
        <v>67.884154271139153</v>
      </c>
      <c r="AB17" s="5">
        <f t="shared" ref="AB17" si="30">+SUM(R17:U17)</f>
        <v>106.62385062232559</v>
      </c>
      <c r="AC17" s="5">
        <f t="shared" ref="AC17" si="31">+SUM(S17:V17)</f>
        <v>204.26699999999971</v>
      </c>
      <c r="AD17" s="5">
        <f t="shared" ref="AD17" si="32">+SUM(T17:W17)</f>
        <v>400.6929999999997</v>
      </c>
      <c r="AE17" s="5">
        <f t="shared" ref="AE17" si="33">+SUM(U17:X17)</f>
        <v>418.05682474719953</v>
      </c>
      <c r="AF17" s="5">
        <f t="shared" ref="AF17" si="34">+SUM(V17:Y17)</f>
        <v>533.46432417366384</v>
      </c>
      <c r="AG17" s="5">
        <f t="shared" ref="AG17" si="35">+SUM(W17:Z17)</f>
        <v>574.46314147677924</v>
      </c>
      <c r="AH17" s="5">
        <f t="shared" ref="AH17" si="36">+SUM(X17:AA17)</f>
        <v>445.92129574791846</v>
      </c>
      <c r="AI17" s="5">
        <f t="shared" ref="AI17" si="37">+SUM(Y17:AB17)</f>
        <v>535.18132162304425</v>
      </c>
      <c r="AJ17" s="5">
        <f t="shared" ref="AJ17" si="38">+SUM(Z17:AC17)</f>
        <v>530.72582219657966</v>
      </c>
      <c r="AK17" s="8">
        <f>+AJ17*(1+$T$37)</f>
        <v>514.80404753068228</v>
      </c>
      <c r="AL17" s="8">
        <f t="shared" ref="AL17:BN17" si="39">+AK17*(1+$T$37)</f>
        <v>499.35992610476183</v>
      </c>
      <c r="AM17" s="8">
        <f t="shared" si="39"/>
        <v>484.37912832161896</v>
      </c>
      <c r="AN17" s="8">
        <f t="shared" si="39"/>
        <v>469.8477544719704</v>
      </c>
      <c r="AO17" s="8">
        <f t="shared" si="39"/>
        <v>455.75232183781128</v>
      </c>
      <c r="AP17" s="8">
        <f t="shared" si="39"/>
        <v>442.07975218267694</v>
      </c>
      <c r="AQ17" s="8">
        <f t="shared" si="39"/>
        <v>428.81735961719664</v>
      </c>
      <c r="AR17" s="8">
        <f t="shared" si="39"/>
        <v>415.95283882868074</v>
      </c>
      <c r="AS17" s="8">
        <f t="shared" si="39"/>
        <v>403.47425366382032</v>
      </c>
      <c r="AT17" s="8">
        <f t="shared" si="39"/>
        <v>391.37002605390569</v>
      </c>
      <c r="AU17" s="8">
        <f t="shared" si="39"/>
        <v>379.62892527228848</v>
      </c>
      <c r="AV17" s="8">
        <f t="shared" si="39"/>
        <v>368.24005751411983</v>
      </c>
      <c r="AW17" s="8">
        <f t="shared" si="39"/>
        <v>357.19285578869625</v>
      </c>
      <c r="AX17" s="8">
        <f t="shared" si="39"/>
        <v>346.47707011503536</v>
      </c>
      <c r="AY17" s="8">
        <f t="shared" si="39"/>
        <v>336.0827580115843</v>
      </c>
      <c r="AZ17" s="8">
        <f t="shared" si="39"/>
        <v>326.00027527123677</v>
      </c>
      <c r="BA17" s="8">
        <f t="shared" si="39"/>
        <v>316.22026701309966</v>
      </c>
      <c r="BB17" s="8">
        <f t="shared" si="39"/>
        <v>306.73365900270664</v>
      </c>
      <c r="BC17" s="8">
        <f t="shared" si="39"/>
        <v>297.53164923262545</v>
      </c>
      <c r="BD17" s="8">
        <f t="shared" si="39"/>
        <v>288.6056997556467</v>
      </c>
      <c r="BE17" s="8">
        <f t="shared" si="39"/>
        <v>279.9475287629773</v>
      </c>
      <c r="BF17" s="8">
        <f t="shared" si="39"/>
        <v>271.54910290008797</v>
      </c>
      <c r="BG17" s="8">
        <f t="shared" si="39"/>
        <v>263.40262981308535</v>
      </c>
      <c r="BH17" s="8">
        <f t="shared" si="39"/>
        <v>255.5005509186928</v>
      </c>
      <c r="BI17" s="8">
        <f t="shared" si="39"/>
        <v>247.835534391132</v>
      </c>
      <c r="BJ17" s="8">
        <f t="shared" si="39"/>
        <v>240.40046835939805</v>
      </c>
      <c r="BK17" s="8">
        <f t="shared" si="39"/>
        <v>233.18845430861609</v>
      </c>
      <c r="BL17" s="8">
        <f t="shared" si="39"/>
        <v>226.19280067935759</v>
      </c>
      <c r="BM17" s="8">
        <f t="shared" si="39"/>
        <v>219.40701665897686</v>
      </c>
      <c r="BN17" s="8">
        <f t="shared" si="39"/>
        <v>212.82480615920755</v>
      </c>
    </row>
    <row r="18" spans="2:66" s="7" customFormat="1" x14ac:dyDescent="0.2">
      <c r="B18" s="7" t="s">
        <v>39</v>
      </c>
      <c r="F18" s="7">
        <f>+F17/F19</f>
        <v>1.1857025472473264</v>
      </c>
      <c r="G18" s="7">
        <f>+G17/G19</f>
        <v>1.6211225997045775</v>
      </c>
      <c r="H18" s="7">
        <f>+H17/H19</f>
        <v>-16.541116005873718</v>
      </c>
      <c r="I18" s="7">
        <f>+I17/I19</f>
        <v>6.5846914781480601</v>
      </c>
      <c r="J18" s="7">
        <f>+J17/J19</f>
        <v>2.7913395386483195</v>
      </c>
      <c r="K18" s="7">
        <f>+K17/K19</f>
        <v>5.2815284578951536</v>
      </c>
      <c r="L18" s="7">
        <f>+L17/L19</f>
        <v>3.1464099478539875</v>
      </c>
      <c r="M18" s="7">
        <f>+M17/M19</f>
        <v>-6.5369646637355521</v>
      </c>
      <c r="N18" s="7">
        <f t="shared" ref="N18:R18" si="40">+N17/N19</f>
        <v>-0.59934662537046079</v>
      </c>
      <c r="O18" s="7">
        <f t="shared" si="40"/>
        <v>4.622348324649808</v>
      </c>
      <c r="P18" s="7">
        <f t="shared" si="40"/>
        <v>6.8447046923934289</v>
      </c>
      <c r="Q18" s="7">
        <f t="shared" si="40"/>
        <v>4.4435192679379139</v>
      </c>
      <c r="R18" s="7">
        <f t="shared" si="40"/>
        <v>1.0836061408830562</v>
      </c>
      <c r="U18" s="7">
        <f>+U17/U19</f>
        <v>7.9525311061871395</v>
      </c>
      <c r="V18" s="7">
        <f>+V17/V19</f>
        <v>9.3174336580449957</v>
      </c>
      <c r="W18" s="7">
        <f>+W17/W19</f>
        <v>15.991695839778556</v>
      </c>
      <c r="X18" s="7">
        <f>+X17/X19</f>
        <v>1.4035343125085751</v>
      </c>
      <c r="Y18" s="7">
        <f>+Y17/Y19</f>
        <v>16.994178425864206</v>
      </c>
      <c r="Z18" s="7">
        <f t="shared" ref="Z18:AJ18" si="41">+Z17/Z19</f>
        <v>12.371830101214398</v>
      </c>
      <c r="AA18" s="7">
        <f t="shared" si="41"/>
        <v>5.5271254088209698</v>
      </c>
      <c r="AB18" s="7">
        <f t="shared" si="41"/>
        <v>8.8794012843375754</v>
      </c>
      <c r="AC18" s="7">
        <f t="shared" si="41"/>
        <v>17.280010151425405</v>
      </c>
      <c r="AD18" s="7">
        <f t="shared" si="41"/>
        <v>33.460793319415423</v>
      </c>
      <c r="AE18" s="7">
        <f t="shared" si="41"/>
        <v>34.624192208313197</v>
      </c>
      <c r="AF18" s="7">
        <f t="shared" si="41"/>
        <v>43.686746648950354</v>
      </c>
      <c r="AG18" s="7">
        <f t="shared" si="41"/>
        <v>46.686765462318377</v>
      </c>
      <c r="AH18" s="7">
        <f t="shared" si="41"/>
        <v>36.2408733274074</v>
      </c>
      <c r="AI18" s="7">
        <f t="shared" si="41"/>
        <v>43.818833391169136</v>
      </c>
      <c r="AJ18" s="7">
        <f t="shared" si="41"/>
        <v>43.867982741022843</v>
      </c>
    </row>
    <row r="19" spans="2:66" x14ac:dyDescent="0.2">
      <c r="B19" s="1" t="s">
        <v>1</v>
      </c>
      <c r="F19" s="1">
        <v>12.17</v>
      </c>
      <c r="G19" s="1">
        <v>12.186</v>
      </c>
      <c r="H19" s="1">
        <v>12.257999999999999</v>
      </c>
      <c r="I19" s="1">
        <v>12.333</v>
      </c>
      <c r="J19" s="1">
        <v>12.355</v>
      </c>
      <c r="K19" s="1">
        <v>12.457000000000001</v>
      </c>
      <c r="L19" s="1">
        <v>12.465</v>
      </c>
      <c r="M19" s="1">
        <v>12.282</v>
      </c>
      <c r="N19" s="1">
        <v>12.282</v>
      </c>
      <c r="O19" s="1">
        <v>12.282</v>
      </c>
      <c r="P19" s="1">
        <v>12.282</v>
      </c>
      <c r="Q19" s="1">
        <v>12.282</v>
      </c>
      <c r="R19" s="1">
        <v>12.282</v>
      </c>
      <c r="U19" s="1">
        <v>11.734</v>
      </c>
      <c r="V19" s="1">
        <v>11.907999999999999</v>
      </c>
      <c r="W19" s="1">
        <v>12.282999999999999</v>
      </c>
      <c r="X19" s="7">
        <f>+AVERAGE(K19:N19)</f>
        <v>12.371500000000001</v>
      </c>
      <c r="Y19" s="1">
        <f>+AVERAGE(O19:R19)</f>
        <v>12.282</v>
      </c>
      <c r="Z19" s="1">
        <f t="shared" ref="Z19:AJ19" si="42">+AVERAGE(P19:S19)</f>
        <v>12.282000000000002</v>
      </c>
      <c r="AA19" s="1">
        <f t="shared" si="42"/>
        <v>12.282</v>
      </c>
      <c r="AB19" s="1">
        <f t="shared" si="42"/>
        <v>12.007999999999999</v>
      </c>
      <c r="AC19" s="1">
        <f t="shared" si="42"/>
        <v>11.821</v>
      </c>
      <c r="AD19" s="1">
        <f t="shared" si="42"/>
        <v>11.975</v>
      </c>
      <c r="AE19" s="1">
        <f t="shared" si="42"/>
        <v>12.074124999999999</v>
      </c>
      <c r="AF19" s="1">
        <f t="shared" si="42"/>
        <v>12.211124999999999</v>
      </c>
      <c r="AG19" s="1">
        <f t="shared" si="42"/>
        <v>12.304625</v>
      </c>
      <c r="AH19" s="1">
        <f t="shared" si="42"/>
        <v>12.304375</v>
      </c>
      <c r="AI19" s="1">
        <f t="shared" si="42"/>
        <v>12.2135</v>
      </c>
      <c r="AJ19" s="1">
        <f t="shared" si="42"/>
        <v>12.09825</v>
      </c>
    </row>
    <row r="20" spans="2:66" x14ac:dyDescent="0.2">
      <c r="B20" s="1"/>
    </row>
    <row r="21" spans="2:66" s="6" customFormat="1" x14ac:dyDescent="0.2"/>
    <row r="22" spans="2:66" x14ac:dyDescent="0.2">
      <c r="B22" t="s">
        <v>27</v>
      </c>
      <c r="F22" s="4">
        <f>+F6/F5</f>
        <v>5.9069687553674879E-2</v>
      </c>
      <c r="G22" s="4">
        <f>+G6/G5</f>
        <v>6.1494783164170626E-2</v>
      </c>
      <c r="H22" s="4">
        <f>+H6/H5</f>
        <v>6.0178054372475781E-2</v>
      </c>
      <c r="I22" s="4">
        <f>+I6/I5</f>
        <v>6.1793549345167717E-2</v>
      </c>
      <c r="J22" s="4">
        <f>+J6/J5</f>
        <v>6.5510390268626456E-2</v>
      </c>
      <c r="K22" s="4">
        <f>+K6/K5</f>
        <v>6.2967910071874425E-2</v>
      </c>
      <c r="L22" s="4">
        <f>+L6/L5</f>
        <v>6.0047028444724426E-2</v>
      </c>
      <c r="M22" s="4">
        <f>+M6/M5</f>
        <v>6.3806417310169991E-2</v>
      </c>
      <c r="N22" s="4">
        <f t="shared" ref="N22:R22" si="43">+N6/N5</f>
        <v>6.0000000000000005E-2</v>
      </c>
      <c r="O22" s="4">
        <f t="shared" si="43"/>
        <v>0.06</v>
      </c>
      <c r="P22" s="4">
        <f t="shared" si="43"/>
        <v>0.06</v>
      </c>
      <c r="Q22" s="4">
        <f t="shared" si="43"/>
        <v>0.06</v>
      </c>
      <c r="R22" s="4">
        <f t="shared" si="43"/>
        <v>0.06</v>
      </c>
      <c r="U22" s="4">
        <f>+U6/U5</f>
        <v>5.8483491647714651E-2</v>
      </c>
      <c r="V22" s="4">
        <f>+V6/V5</f>
        <v>5.9652037306223427E-2</v>
      </c>
      <c r="W22" s="4">
        <f>+W6/W5</f>
        <v>6.2307047201850291E-2</v>
      </c>
      <c r="X22" s="4">
        <f t="shared" ref="X22:Y22" si="44">+X6/X5</f>
        <v>6.1663408275701125E-2</v>
      </c>
      <c r="Y22" s="4">
        <f t="shared" si="44"/>
        <v>0.06</v>
      </c>
      <c r="Z22" s="4">
        <f t="shared" ref="Z22:AJ22" si="45">+Z6/Z5</f>
        <v>0.06</v>
      </c>
      <c r="AA22" s="4">
        <f t="shared" si="45"/>
        <v>6.0000000000000005E-2</v>
      </c>
      <c r="AB22" s="4">
        <f t="shared" si="45"/>
        <v>0.06</v>
      </c>
      <c r="AC22" s="4">
        <f t="shared" si="45"/>
        <v>0.06</v>
      </c>
      <c r="AD22" s="4">
        <f t="shared" si="45"/>
        <v>0.06</v>
      </c>
      <c r="AE22" s="4">
        <f t="shared" si="45"/>
        <v>6.0000000000000005E-2</v>
      </c>
      <c r="AF22" s="4">
        <f t="shared" si="45"/>
        <v>0.06</v>
      </c>
      <c r="AG22" s="4">
        <f t="shared" si="45"/>
        <v>0.06</v>
      </c>
      <c r="AH22" s="4">
        <f t="shared" si="45"/>
        <v>6.0000000000000005E-2</v>
      </c>
      <c r="AI22" s="4">
        <f t="shared" si="45"/>
        <v>0.06</v>
      </c>
      <c r="AJ22" s="4">
        <f t="shared" si="45"/>
        <v>6.0000000000000005E-2</v>
      </c>
    </row>
    <row r="23" spans="2:66" x14ac:dyDescent="0.2">
      <c r="B23" t="s">
        <v>30</v>
      </c>
      <c r="F23" s="4">
        <f>+F9/F7</f>
        <v>0.47390972452704938</v>
      </c>
      <c r="G23" s="4">
        <f>+G9/G7</f>
        <v>0.44763662214693023</v>
      </c>
      <c r="H23" s="4">
        <f>+H9/H7</f>
        <v>0.46362836125253787</v>
      </c>
      <c r="I23" s="4">
        <f>+I9/I7</f>
        <v>0.48820800662348418</v>
      </c>
      <c r="J23" s="4">
        <f>+J9/J7</f>
        <v>0.4691964411622413</v>
      </c>
      <c r="K23" s="4">
        <f>+K9/K7</f>
        <v>0.45796947237102803</v>
      </c>
      <c r="L23" s="4">
        <f>+L9/L7</f>
        <v>0.45734358540489872</v>
      </c>
      <c r="M23" s="4">
        <f>+M9/M7</f>
        <v>0.3075402936500447</v>
      </c>
      <c r="N23" s="4">
        <f t="shared" ref="N23:R23" si="46">+N9/N7</f>
        <v>0.4</v>
      </c>
      <c r="O23" s="4">
        <f t="shared" si="46"/>
        <v>0.38</v>
      </c>
      <c r="P23" s="4">
        <f t="shared" si="46"/>
        <v>0.38</v>
      </c>
      <c r="Q23" s="4">
        <f t="shared" si="46"/>
        <v>0.38000000000000006</v>
      </c>
      <c r="R23" s="4">
        <f t="shared" si="46"/>
        <v>0.38</v>
      </c>
      <c r="U23" s="4">
        <f>+U9/U7</f>
        <v>0.51448150904585854</v>
      </c>
      <c r="V23" s="4">
        <f>+V9/V7</f>
        <v>0.49140198940010743</v>
      </c>
      <c r="W23" s="4">
        <f>+W9/W7</f>
        <v>0.46903765883144288</v>
      </c>
      <c r="X23" s="4">
        <f t="shared" ref="X23:Y23" si="47">+X9/X7</f>
        <v>0.40624407006778807</v>
      </c>
      <c r="Y23" s="4">
        <f t="shared" si="47"/>
        <v>0.38</v>
      </c>
      <c r="Z23" s="4">
        <f t="shared" ref="Z23:AJ23" si="48">+Z9/Z7</f>
        <v>0.4</v>
      </c>
      <c r="AA23" s="4">
        <f t="shared" si="48"/>
        <v>0.4</v>
      </c>
      <c r="AB23" s="4">
        <f t="shared" si="48"/>
        <v>0.40000000000000008</v>
      </c>
      <c r="AC23" s="4">
        <f t="shared" si="48"/>
        <v>0.4</v>
      </c>
      <c r="AD23" s="4">
        <f t="shared" si="48"/>
        <v>0.4</v>
      </c>
      <c r="AE23" s="4">
        <f t="shared" si="48"/>
        <v>0.4</v>
      </c>
      <c r="AF23" s="4">
        <f t="shared" si="48"/>
        <v>0.40000000000000008</v>
      </c>
      <c r="AG23" s="4">
        <f t="shared" si="48"/>
        <v>0.4</v>
      </c>
      <c r="AH23" s="4">
        <f t="shared" si="48"/>
        <v>0.40000000000000008</v>
      </c>
      <c r="AI23" s="4">
        <f t="shared" si="48"/>
        <v>0.40000000000000008</v>
      </c>
      <c r="AJ23" s="4">
        <f t="shared" si="48"/>
        <v>0.4</v>
      </c>
    </row>
    <row r="24" spans="2:66" x14ac:dyDescent="0.2">
      <c r="B24" t="s">
        <v>40</v>
      </c>
      <c r="F24" s="4">
        <f>+F13/F7</f>
        <v>6.0969133753733702E-2</v>
      </c>
      <c r="G24" s="4">
        <f>+G13/G7</f>
        <v>6.9738175547925468E-2</v>
      </c>
      <c r="H24" s="4">
        <f>+H13/H7</f>
        <v>0.17605907930764497</v>
      </c>
      <c r="I24" s="4">
        <f>+I13/I7</f>
        <v>0.20743437393464187</v>
      </c>
      <c r="J24" s="4">
        <f>+J13/J7</f>
        <v>9.5012984420864421E-2</v>
      </c>
      <c r="K24" s="4">
        <f>+K13/K7</f>
        <v>0.14094261392823063</v>
      </c>
      <c r="L24" s="4">
        <f>+L13/L7</f>
        <v>0.13455263310689189</v>
      </c>
      <c r="M24" s="4">
        <f>+M13/M7</f>
        <v>-0.10961403908568629</v>
      </c>
      <c r="N24" s="4">
        <f t="shared" ref="N24:R24" si="49">+N13/N7</f>
        <v>-1.3596336954053122E-2</v>
      </c>
      <c r="O24" s="4">
        <f t="shared" si="49"/>
        <v>8.4762646169739261E-2</v>
      </c>
      <c r="P24" s="4">
        <f>+P13/P7</f>
        <v>0.11188936897523501</v>
      </c>
      <c r="Q24" s="4">
        <f t="shared" si="49"/>
        <v>7.0529967863640006E-2</v>
      </c>
      <c r="R24" s="4">
        <f t="shared" si="49"/>
        <v>1.3925642375096014E-2</v>
      </c>
      <c r="U24" s="4">
        <f>+U13/U7</f>
        <v>0.11704225083337594</v>
      </c>
      <c r="V24" s="4">
        <f>+V13/V7</f>
        <v>0.11667482781575632</v>
      </c>
      <c r="W24" s="4">
        <f>+W13/W7</f>
        <v>0.14320917836114516</v>
      </c>
      <c r="X24" s="4">
        <f t="shared" ref="X24:Y24" si="50">+X13/X7</f>
        <v>3.8882451360416431E-2</v>
      </c>
      <c r="Y24" s="4">
        <f t="shared" si="50"/>
        <v>6.9645681417769639E-2</v>
      </c>
      <c r="Z24" s="4">
        <f t="shared" ref="Z24:AJ24" si="51">+Z13/Z7</f>
        <v>0.15318278600940732</v>
      </c>
      <c r="AA24" s="4">
        <f t="shared" si="51"/>
        <v>0.20371229438543417</v>
      </c>
      <c r="AB24" s="4">
        <f t="shared" si="51"/>
        <v>0.24389717899943983</v>
      </c>
      <c r="AC24" s="4">
        <f t="shared" si="51"/>
        <v>0.26861345899119515</v>
      </c>
      <c r="AD24" s="4">
        <f t="shared" si="51"/>
        <v>0.28941632798425593</v>
      </c>
      <c r="AE24" s="4">
        <f t="shared" si="51"/>
        <v>0.30692540938674873</v>
      </c>
      <c r="AF24" s="4">
        <f t="shared" si="51"/>
        <v>0.32418924474243249</v>
      </c>
      <c r="AG24" s="4">
        <f t="shared" si="51"/>
        <v>0.33825091708859417</v>
      </c>
      <c r="AH24" s="4">
        <f t="shared" si="51"/>
        <v>0.34970437601570981</v>
      </c>
      <c r="AI24" s="4">
        <f t="shared" si="51"/>
        <v>0.35903340304505393</v>
      </c>
      <c r="AJ24" s="4">
        <f t="shared" si="51"/>
        <v>0.36663204602863259</v>
      </c>
    </row>
    <row r="25" spans="2:66" x14ac:dyDescent="0.2">
      <c r="B25" t="s">
        <v>78</v>
      </c>
      <c r="F25" s="4">
        <f>+F16/F15</f>
        <v>0.2060085836909876</v>
      </c>
      <c r="G25" s="4">
        <f>+G16/G15</f>
        <v>0.13187730708384612</v>
      </c>
      <c r="H25" s="4">
        <f>+H16/H15</f>
        <v>-9.9589472713764324E-2</v>
      </c>
      <c r="I25" s="4">
        <f>+I16/I15</f>
        <v>0.20688139698413929</v>
      </c>
      <c r="J25" s="4">
        <f>+J16/J15</f>
        <v>0.21990997308240409</v>
      </c>
      <c r="K25" s="4">
        <f>+K16/K15</f>
        <v>0.14322177366844652</v>
      </c>
      <c r="L25" s="4">
        <f>+L16/L15</f>
        <v>0.34751867440815876</v>
      </c>
      <c r="M25" s="4">
        <f>+M16/M15</f>
        <v>-0.28970956756409411</v>
      </c>
      <c r="N25" s="4">
        <f t="shared" ref="N25:R25" si="52">+N16/N15</f>
        <v>-7.0000000000000007E-2</v>
      </c>
      <c r="O25" s="4">
        <f t="shared" si="52"/>
        <v>7.0000000000000007E-2</v>
      </c>
      <c r="P25" s="4">
        <f t="shared" si="52"/>
        <v>7.0000000000000007E-2</v>
      </c>
      <c r="Q25" s="4">
        <f t="shared" si="52"/>
        <v>7.0000000000000007E-2</v>
      </c>
      <c r="R25" s="4">
        <f t="shared" si="52"/>
        <v>0.05</v>
      </c>
      <c r="U25" s="4">
        <f>+U16/U15</f>
        <v>0.20201303254716191</v>
      </c>
      <c r="V25" s="4">
        <f>+V16/V15</f>
        <v>0.23629380304375691</v>
      </c>
      <c r="W25" s="4">
        <f>+W16/W15</f>
        <v>0.21017627947373502</v>
      </c>
      <c r="X25" s="4">
        <f>+X16/X15</f>
        <v>0.74377317816340272</v>
      </c>
      <c r="Y25" s="4">
        <f t="shared" ref="X25:Y25" si="53">+Y16/Y15</f>
        <v>6.8749902157597353E-2</v>
      </c>
      <c r="Z25" s="4">
        <f>+Z16/Z15</f>
        <v>7.0000000000000007E-2</v>
      </c>
      <c r="AA25" s="4">
        <f t="shared" ref="Z25:AJ25" si="54">+AA16/AA15</f>
        <v>7.0000000000000007E-2</v>
      </c>
      <c r="AB25" s="4">
        <f t="shared" si="54"/>
        <v>7.0000000000000007E-2</v>
      </c>
      <c r="AC25" s="4">
        <f t="shared" si="54"/>
        <v>7.0000000000000007E-2</v>
      </c>
      <c r="AD25" s="4">
        <f t="shared" si="54"/>
        <v>7.0000000000000007E-2</v>
      </c>
      <c r="AE25" s="4">
        <f t="shared" si="54"/>
        <v>7.0000000000000007E-2</v>
      </c>
      <c r="AF25" s="4">
        <f t="shared" si="54"/>
        <v>7.0000000000000007E-2</v>
      </c>
      <c r="AG25" s="4">
        <f t="shared" si="54"/>
        <v>7.0000000000000007E-2</v>
      </c>
      <c r="AH25" s="4">
        <f t="shared" si="54"/>
        <v>7.0000000000000007E-2</v>
      </c>
      <c r="AI25" s="4">
        <f t="shared" si="54"/>
        <v>7.0000000000000007E-2</v>
      </c>
      <c r="AJ25" s="4">
        <f t="shared" si="54"/>
        <v>7.0000000000000007E-2</v>
      </c>
    </row>
    <row r="27" spans="2:66" x14ac:dyDescent="0.2">
      <c r="B27" t="s">
        <v>26</v>
      </c>
      <c r="J27" s="4">
        <f t="shared" ref="J27:L27" si="55">+J7/F7-1</f>
        <v>0.52982741453700655</v>
      </c>
      <c r="K27" s="4">
        <f t="shared" si="55"/>
        <v>0.64893440019360771</v>
      </c>
      <c r="L27" s="4">
        <f t="shared" si="55"/>
        <v>0.33323233172173095</v>
      </c>
      <c r="M27" s="4">
        <f>+M7/I7-1</f>
        <v>0.13980949366061113</v>
      </c>
      <c r="N27" s="4">
        <f t="shared" ref="N27:R27" si="56">+N7/J7-1</f>
        <v>0.23577076129709695</v>
      </c>
      <c r="O27" s="4">
        <f>+O7/K7-1</f>
        <v>0.3041175570558452</v>
      </c>
      <c r="P27" s="4">
        <f t="shared" si="56"/>
        <v>0.32006604324781662</v>
      </c>
      <c r="Q27" s="4">
        <f t="shared" si="56"/>
        <v>0.42577349885790894</v>
      </c>
      <c r="R27" s="4">
        <f t="shared" si="56"/>
        <v>0.41999999999999993</v>
      </c>
      <c r="V27" s="4">
        <f>+V7/U7-1</f>
        <v>0.2552857482908133</v>
      </c>
      <c r="W27" s="4">
        <f t="shared" ref="W27:AJ27" si="57">+W7/V7-1</f>
        <v>0.3893412192436696</v>
      </c>
      <c r="X27" s="4">
        <f t="shared" si="57"/>
        <v>0.31256880050586489</v>
      </c>
      <c r="Y27" s="4">
        <f t="shared" si="57"/>
        <v>0.36727812677078742</v>
      </c>
      <c r="Z27" s="4">
        <f t="shared" si="57"/>
        <v>0.27</v>
      </c>
      <c r="AA27" s="4">
        <f t="shared" si="57"/>
        <v>0.27</v>
      </c>
      <c r="AB27" s="4">
        <f t="shared" si="57"/>
        <v>0.27</v>
      </c>
      <c r="AC27" s="4">
        <f t="shared" si="57"/>
        <v>0.19999999999999996</v>
      </c>
      <c r="AD27" s="4">
        <f t="shared" si="57"/>
        <v>0.19999999999999996</v>
      </c>
      <c r="AE27" s="4">
        <f t="shared" si="57"/>
        <v>0.19999999999999996</v>
      </c>
      <c r="AF27" s="4">
        <f t="shared" si="57"/>
        <v>0.24</v>
      </c>
      <c r="AG27" s="4">
        <f t="shared" si="57"/>
        <v>0.23999999999999977</v>
      </c>
      <c r="AH27" s="4">
        <f t="shared" si="57"/>
        <v>0.24</v>
      </c>
      <c r="AI27" s="4">
        <f t="shared" si="57"/>
        <v>0.24</v>
      </c>
      <c r="AJ27" s="4">
        <f t="shared" si="57"/>
        <v>0.24</v>
      </c>
    </row>
    <row r="28" spans="2:66" x14ac:dyDescent="0.2">
      <c r="B28" t="s">
        <v>80</v>
      </c>
      <c r="J28" s="4">
        <f>+J3/F3-1</f>
        <v>0.53961965134706813</v>
      </c>
      <c r="K28" s="4">
        <f>+K3/G3-1</f>
        <v>0.60084328882642302</v>
      </c>
      <c r="L28" s="4">
        <f t="shared" ref="L28" si="58">+L3/H3-1</f>
        <v>0.27381572097865692</v>
      </c>
      <c r="M28" s="4">
        <f>+M3/I3-1</f>
        <v>0.11153846153846136</v>
      </c>
      <c r="N28" s="4"/>
      <c r="O28" s="4"/>
      <c r="P28" s="4"/>
      <c r="Q28" s="4"/>
      <c r="R28" s="4"/>
    </row>
    <row r="29" spans="2:66" x14ac:dyDescent="0.2">
      <c r="B29" t="s">
        <v>81</v>
      </c>
      <c r="J29" s="4">
        <f>+J10/F10-1</f>
        <v>0.51562081058761722</v>
      </c>
      <c r="K29" s="4">
        <f>+K10/G10-1</f>
        <v>0.43893718523664083</v>
      </c>
      <c r="L29" s="4">
        <f>+L10/H10-1</f>
        <v>0.61078775314941813</v>
      </c>
      <c r="M29" s="4">
        <f>+M10/I10-1</f>
        <v>0.54427297890264126</v>
      </c>
      <c r="N29" s="4">
        <f t="shared" ref="N29:R30" si="59">+N10/J10-1</f>
        <v>0.43999999999999995</v>
      </c>
      <c r="O29" s="4">
        <f t="shared" si="59"/>
        <v>0.26</v>
      </c>
      <c r="P29" s="4">
        <f t="shared" si="59"/>
        <v>0.1100000000000001</v>
      </c>
      <c r="Q29" s="4">
        <f t="shared" si="59"/>
        <v>0.28000000000000003</v>
      </c>
      <c r="R29" s="4">
        <f t="shared" si="59"/>
        <v>0.28000000000000003</v>
      </c>
      <c r="V29" s="4">
        <f t="shared" ref="V29:X30" si="60">+V10/U10-1</f>
        <v>0.16650648017241099</v>
      </c>
      <c r="W29" s="4">
        <f t="shared" si="60"/>
        <v>0.25858166040049158</v>
      </c>
      <c r="X29" s="4">
        <f>+X10/W10-1</f>
        <v>0.50322167804668805</v>
      </c>
      <c r="Y29" s="4">
        <f t="shared" ref="Y29:AJ29" si="61">+Y10/X10-1</f>
        <v>0.23497494983307821</v>
      </c>
      <c r="Z29" s="4">
        <f t="shared" si="61"/>
        <v>1.0000000000000009E-2</v>
      </c>
      <c r="AA29" s="4">
        <f t="shared" si="61"/>
        <v>1.0000000000000009E-2</v>
      </c>
      <c r="AB29" s="4">
        <f t="shared" si="61"/>
        <v>1.0000000000000009E-2</v>
      </c>
      <c r="AC29" s="4">
        <f t="shared" si="61"/>
        <v>1.0000000000000009E-2</v>
      </c>
      <c r="AD29" s="4">
        <f t="shared" si="61"/>
        <v>1.0000000000000009E-2</v>
      </c>
      <c r="AE29" s="4">
        <f t="shared" si="61"/>
        <v>1.0000000000000009E-2</v>
      </c>
      <c r="AF29" s="4">
        <f t="shared" si="61"/>
        <v>1.0000000000000009E-2</v>
      </c>
      <c r="AG29" s="4">
        <f t="shared" si="61"/>
        <v>1.0000000000000009E-2</v>
      </c>
      <c r="AH29" s="4">
        <f t="shared" si="61"/>
        <v>1.0000000000000009E-2</v>
      </c>
      <c r="AI29" s="4">
        <f t="shared" si="61"/>
        <v>1.0000000000000009E-2</v>
      </c>
      <c r="AJ29" s="4">
        <f t="shared" si="61"/>
        <v>1.0000000000000009E-2</v>
      </c>
    </row>
    <row r="30" spans="2:66" x14ac:dyDescent="0.2">
      <c r="B30" t="s">
        <v>82</v>
      </c>
      <c r="J30" s="4">
        <f>+J11/F11-1</f>
        <v>-6.7355186349349339E-4</v>
      </c>
      <c r="K30" s="4">
        <f t="shared" ref="K30:M30" si="62">+K11/G11-1</f>
        <v>0.18191572015242885</v>
      </c>
      <c r="L30" s="4">
        <f t="shared" si="62"/>
        <v>0.11032508000673746</v>
      </c>
      <c r="M30" s="4">
        <f t="shared" si="62"/>
        <v>5.6888595912986339E-2</v>
      </c>
      <c r="N30" s="4">
        <f>+N11/J11-1</f>
        <v>3.0000000000000027E-2</v>
      </c>
      <c r="O30" s="4">
        <f>+O11/K11-1</f>
        <v>1.3793902209979558E-2</v>
      </c>
      <c r="P30" s="4">
        <f t="shared" si="59"/>
        <v>3.0000000000000027E-2</v>
      </c>
      <c r="Q30" s="4">
        <f t="shared" si="59"/>
        <v>7.0000000000000062E-2</v>
      </c>
      <c r="R30" s="4">
        <f>+R11/N11-1</f>
        <v>0.1100000000000001</v>
      </c>
      <c r="V30" s="4">
        <f t="shared" si="60"/>
        <v>0.24074094456123363</v>
      </c>
      <c r="W30" s="4">
        <f t="shared" si="60"/>
        <v>4.8620597888760608E-2</v>
      </c>
      <c r="X30" s="4">
        <f t="shared" si="60"/>
        <v>9.1807953574540635E-2</v>
      </c>
      <c r="Y30" s="4">
        <f t="shared" ref="Y30:AJ30" si="63">+Y11/X11-1</f>
        <v>5.5818696828101366E-2</v>
      </c>
      <c r="Z30" s="4">
        <f t="shared" si="63"/>
        <v>1.0000000000000009E-2</v>
      </c>
      <c r="AA30" s="4">
        <f t="shared" si="63"/>
        <v>1.0000000000000009E-2</v>
      </c>
      <c r="AB30" s="4">
        <f t="shared" si="63"/>
        <v>1.0000000000000009E-2</v>
      </c>
      <c r="AC30" s="4">
        <f t="shared" si="63"/>
        <v>1.0000000000000009E-2</v>
      </c>
      <c r="AD30" s="4">
        <f t="shared" si="63"/>
        <v>1.0000000000000009E-2</v>
      </c>
      <c r="AE30" s="4">
        <f t="shared" si="63"/>
        <v>1.0000000000000009E-2</v>
      </c>
      <c r="AF30" s="4">
        <f t="shared" si="63"/>
        <v>1.0000000000000009E-2</v>
      </c>
      <c r="AG30" s="4">
        <f t="shared" si="63"/>
        <v>1.0000000000000009E-2</v>
      </c>
      <c r="AH30" s="4">
        <f t="shared" si="63"/>
        <v>1.0000000000000009E-2</v>
      </c>
      <c r="AI30" s="4">
        <f t="shared" si="63"/>
        <v>1.0000000000000009E-2</v>
      </c>
      <c r="AJ30" s="4">
        <f t="shared" si="63"/>
        <v>1.0000000000000009E-2</v>
      </c>
    </row>
    <row r="31" spans="2:66" x14ac:dyDescent="0.2">
      <c r="J31" s="4"/>
      <c r="K31" s="4"/>
      <c r="L31" s="4"/>
      <c r="M31" s="4"/>
      <c r="N31" s="4"/>
      <c r="O31" s="4"/>
      <c r="P31" s="4"/>
      <c r="Q31" s="4"/>
      <c r="R31" s="4"/>
    </row>
    <row r="34" spans="2:20" x14ac:dyDescent="0.2">
      <c r="B34" t="s">
        <v>3</v>
      </c>
      <c r="J34" s="1">
        <v>163.28200000000001</v>
      </c>
      <c r="K34" s="1">
        <v>144.65799999999999</v>
      </c>
      <c r="L34" s="1">
        <v>102.953</v>
      </c>
      <c r="M34" s="1">
        <v>86.504000000000005</v>
      </c>
      <c r="N34" s="1">
        <f>+M34+N17</f>
        <v>79.142824747200009</v>
      </c>
      <c r="O34" s="1">
        <f t="shared" ref="O34:R34" si="64">+N34+O17</f>
        <v>135.91450687054896</v>
      </c>
      <c r="P34" s="1">
        <f t="shared" si="64"/>
        <v>219.98116990252504</v>
      </c>
      <c r="Q34" s="1">
        <f t="shared" si="64"/>
        <v>274.55647355133851</v>
      </c>
      <c r="R34" s="1">
        <f t="shared" si="64"/>
        <v>287.86532417366419</v>
      </c>
    </row>
    <row r="35" spans="2:20" x14ac:dyDescent="0.2">
      <c r="B35" t="s">
        <v>41</v>
      </c>
      <c r="J35" s="1">
        <v>78.558000000000007</v>
      </c>
      <c r="K35" s="1">
        <v>105.042</v>
      </c>
      <c r="L35" s="1">
        <v>113.458</v>
      </c>
      <c r="M35" s="1">
        <v>83.120999999999995</v>
      </c>
    </row>
    <row r="36" spans="2:20" x14ac:dyDescent="0.2">
      <c r="B36" t="s">
        <v>42</v>
      </c>
      <c r="J36" s="1">
        <v>130.91</v>
      </c>
      <c r="K36" s="1">
        <v>160.67099999999999</v>
      </c>
      <c r="L36" s="1">
        <v>247.55</v>
      </c>
      <c r="M36" s="1">
        <v>196.45500000000001</v>
      </c>
      <c r="S36" t="s">
        <v>83</v>
      </c>
      <c r="T36" s="4">
        <v>0.01</v>
      </c>
    </row>
    <row r="37" spans="2:20" x14ac:dyDescent="0.2">
      <c r="B37" t="s">
        <v>43</v>
      </c>
      <c r="J37" s="1">
        <v>30.23</v>
      </c>
      <c r="K37" s="1">
        <v>36.061</v>
      </c>
      <c r="L37" s="1">
        <v>38.24</v>
      </c>
      <c r="M37" s="1">
        <v>24.126999999999999</v>
      </c>
      <c r="S37" t="s">
        <v>84</v>
      </c>
      <c r="T37" s="4">
        <v>-0.03</v>
      </c>
    </row>
    <row r="38" spans="2:20" x14ac:dyDescent="0.2">
      <c r="B38" t="s">
        <v>44</v>
      </c>
      <c r="J38" s="1">
        <v>10.393000000000001</v>
      </c>
      <c r="K38" s="1">
        <v>4.1150000000000002</v>
      </c>
      <c r="L38" s="1">
        <v>12.896000000000001</v>
      </c>
      <c r="M38" s="1">
        <v>40.918999999999997</v>
      </c>
      <c r="S38" t="s">
        <v>85</v>
      </c>
      <c r="T38" s="4">
        <v>6.3E-2</v>
      </c>
    </row>
    <row r="39" spans="2:20" x14ac:dyDescent="0.2">
      <c r="B39" t="s">
        <v>45</v>
      </c>
      <c r="J39" s="1">
        <v>623.08299999999997</v>
      </c>
      <c r="K39" s="1">
        <v>636.00699999999995</v>
      </c>
      <c r="L39" s="1">
        <v>664.2</v>
      </c>
      <c r="M39" s="1">
        <v>665.37400000000002</v>
      </c>
      <c r="S39" t="s">
        <v>86</v>
      </c>
      <c r="T39" s="9">
        <f>+NPV(T38,X17:BN17) +W17</f>
        <v>5000.4900838384283</v>
      </c>
    </row>
    <row r="40" spans="2:20" x14ac:dyDescent="0.2">
      <c r="B40" t="s">
        <v>46</v>
      </c>
      <c r="J40" s="1">
        <v>58.482999999999997</v>
      </c>
      <c r="K40" s="1">
        <v>56.518000000000001</v>
      </c>
      <c r="L40" s="1">
        <v>56.49</v>
      </c>
      <c r="M40" s="1">
        <v>54.484999999999999</v>
      </c>
      <c r="S40" t="s">
        <v>87</v>
      </c>
      <c r="T40" s="10">
        <f>+T39+M34</f>
        <v>5086.9940838384282</v>
      </c>
    </row>
    <row r="41" spans="2:20" x14ac:dyDescent="0.2">
      <c r="B41" t="s">
        <v>47</v>
      </c>
      <c r="J41" s="1">
        <f>112.529+103.93</f>
        <v>216.459</v>
      </c>
      <c r="K41" s="1">
        <f>112.529+103.867</f>
        <v>216.39600000000002</v>
      </c>
      <c r="L41" s="1">
        <f>112.529+103.804</f>
        <v>216.333</v>
      </c>
      <c r="M41" s="1">
        <f>112.529+103.74</f>
        <v>216.26900000000001</v>
      </c>
      <c r="S41" t="s">
        <v>88</v>
      </c>
      <c r="T41">
        <f>+T40/12</f>
        <v>423.91617365320235</v>
      </c>
    </row>
    <row r="42" spans="2:20" x14ac:dyDescent="0.2">
      <c r="B42" t="s">
        <v>48</v>
      </c>
      <c r="J42" s="1"/>
      <c r="K42" s="1">
        <v>93.242999999999995</v>
      </c>
      <c r="L42" s="1">
        <v>88.683000000000007</v>
      </c>
      <c r="M42" s="1">
        <v>74.391999999999996</v>
      </c>
      <c r="S42" t="s">
        <v>89</v>
      </c>
      <c r="T42">
        <v>516.88</v>
      </c>
    </row>
    <row r="43" spans="2:20" x14ac:dyDescent="0.2">
      <c r="B43" t="s">
        <v>49</v>
      </c>
      <c r="J43" s="1">
        <v>67.626999999999995</v>
      </c>
      <c r="K43" s="1">
        <v>11.459</v>
      </c>
      <c r="L43" s="1">
        <v>20.149000000000001</v>
      </c>
      <c r="M43" s="1">
        <v>21.88</v>
      </c>
      <c r="S43" t="s">
        <v>90</v>
      </c>
      <c r="T43" s="4">
        <f>+T41/T42-1</f>
        <v>-0.1798557234692727</v>
      </c>
    </row>
    <row r="44" spans="2:20" x14ac:dyDescent="0.2">
      <c r="B44" t="s">
        <v>50</v>
      </c>
      <c r="J44" s="1">
        <f>+SUM(J34:J43)</f>
        <v>1379.0250000000001</v>
      </c>
      <c r="K44" s="1">
        <f>+SUM(K34:K43)</f>
        <v>1464.1699999999998</v>
      </c>
      <c r="L44" s="1">
        <f>+SUM(L34:L43)</f>
        <v>1560.9520000000002</v>
      </c>
      <c r="M44" s="1">
        <f>+SUM(M34:M43)</f>
        <v>1463.5260000000001</v>
      </c>
    </row>
    <row r="45" spans="2:20" x14ac:dyDescent="0.2">
      <c r="J45" s="1"/>
      <c r="K45" s="1"/>
      <c r="L45" s="1"/>
    </row>
    <row r="46" spans="2:20" x14ac:dyDescent="0.2">
      <c r="B46" t="s">
        <v>51</v>
      </c>
      <c r="J46" s="1">
        <v>121.64700000000001</v>
      </c>
      <c r="K46" s="1">
        <v>157.08500000000001</v>
      </c>
      <c r="L46" s="1">
        <v>201.04300000000001</v>
      </c>
      <c r="M46" s="1">
        <v>136.46199999999999</v>
      </c>
    </row>
    <row r="47" spans="2:20" x14ac:dyDescent="0.2">
      <c r="B47" t="s">
        <v>53</v>
      </c>
      <c r="J47" s="1">
        <v>129.54400000000001</v>
      </c>
      <c r="K47" s="1">
        <v>106.361</v>
      </c>
      <c r="L47" s="1">
        <v>108.036</v>
      </c>
      <c r="M47" s="1">
        <v>140.71199999999999</v>
      </c>
    </row>
    <row r="48" spans="2:20" x14ac:dyDescent="0.2">
      <c r="B48" t="s">
        <v>52</v>
      </c>
      <c r="J48" s="1">
        <v>8.2319999999999993</v>
      </c>
      <c r="K48" s="1">
        <v>8.1829999999999998</v>
      </c>
      <c r="L48" s="1">
        <v>8.2720000000000002</v>
      </c>
      <c r="M48" s="1">
        <v>8.3130000000000006</v>
      </c>
    </row>
    <row r="49" spans="2:13" x14ac:dyDescent="0.2">
      <c r="B49" t="s">
        <v>54</v>
      </c>
      <c r="J49" s="1">
        <v>92.665000000000006</v>
      </c>
      <c r="K49" s="1">
        <v>97.284000000000006</v>
      </c>
      <c r="L49" s="1">
        <v>92.680999999999997</v>
      </c>
      <c r="M49" s="1">
        <v>83.35</v>
      </c>
    </row>
    <row r="50" spans="2:13" x14ac:dyDescent="0.2">
      <c r="B50" t="s">
        <v>55</v>
      </c>
      <c r="J50" s="1">
        <v>59.170999999999999</v>
      </c>
      <c r="K50" s="1">
        <v>57.2</v>
      </c>
      <c r="L50" s="1">
        <v>57.04</v>
      </c>
      <c r="M50" s="1">
        <v>54.95</v>
      </c>
    </row>
    <row r="51" spans="2:13" x14ac:dyDescent="0.2">
      <c r="B51" t="s">
        <v>56</v>
      </c>
      <c r="J51" s="1">
        <v>10.599</v>
      </c>
      <c r="K51" s="1">
        <v>9.3330000000000002</v>
      </c>
      <c r="L51" s="1">
        <v>9.7449999999999992</v>
      </c>
      <c r="M51" s="1">
        <v>10.361000000000001</v>
      </c>
    </row>
    <row r="52" spans="2:13" x14ac:dyDescent="0.2">
      <c r="B52" t="s">
        <v>57</v>
      </c>
      <c r="J52" s="1">
        <f>+SUM(J46:J51)</f>
        <v>421.858</v>
      </c>
      <c r="K52" s="1">
        <f>+SUM(K46:K51)</f>
        <v>435.44600000000003</v>
      </c>
      <c r="L52" s="1">
        <f>+SUM(L46:L51)</f>
        <v>476.81700000000001</v>
      </c>
      <c r="M52" s="1">
        <f>+SUM(M46:M51)</f>
        <v>434.14799999999997</v>
      </c>
    </row>
    <row r="54" spans="2:13" x14ac:dyDescent="0.2">
      <c r="B54" t="s">
        <v>58</v>
      </c>
      <c r="J54" s="1">
        <f>+J17</f>
        <v>34.486999999999988</v>
      </c>
      <c r="K54" s="1">
        <f>+K17</f>
        <v>65.791999999999931</v>
      </c>
      <c r="L54" s="1">
        <f>+L17</f>
        <v>39.219999999999956</v>
      </c>
      <c r="M54" s="1">
        <f>+M17</f>
        <v>-80.287000000000049</v>
      </c>
    </row>
    <row r="55" spans="2:13" x14ac:dyDescent="0.2">
      <c r="B55" t="s">
        <v>59</v>
      </c>
      <c r="J55" s="1">
        <v>191.96</v>
      </c>
      <c r="K55" s="1">
        <v>65.564999999999998</v>
      </c>
      <c r="L55" s="1">
        <v>124.76</v>
      </c>
      <c r="M55" s="1">
        <v>66.337999999999994</v>
      </c>
    </row>
    <row r="56" spans="2:13" x14ac:dyDescent="0.2">
      <c r="B56" t="s">
        <v>60</v>
      </c>
      <c r="J56" s="1">
        <v>65.656999999999996</v>
      </c>
      <c r="K56" s="1">
        <v>16.995999999999999</v>
      </c>
      <c r="L56" s="1">
        <v>34.173999999999999</v>
      </c>
      <c r="M56" s="1">
        <v>52.953000000000003</v>
      </c>
    </row>
    <row r="57" spans="2:13" x14ac:dyDescent="0.2">
      <c r="B57" t="s">
        <v>61</v>
      </c>
      <c r="J57" s="1">
        <v>4.4660000000000002</v>
      </c>
      <c r="K57" s="1">
        <v>0.22700000000000001</v>
      </c>
      <c r="L57" s="1">
        <v>1.2310000000000001</v>
      </c>
      <c r="M57" s="1">
        <v>15.388999999999999</v>
      </c>
    </row>
    <row r="58" spans="2:13" x14ac:dyDescent="0.2">
      <c r="B58" t="s">
        <v>62</v>
      </c>
      <c r="J58" s="1">
        <v>-0.63900000000000001</v>
      </c>
      <c r="K58" s="1">
        <v>-3.5999999999999997E-2</v>
      </c>
      <c r="L58" s="1">
        <v>-0.15</v>
      </c>
      <c r="M58" s="1">
        <v>-0.20200000000000001</v>
      </c>
    </row>
    <row r="59" spans="2:13" x14ac:dyDescent="0.2">
      <c r="B59" t="s">
        <v>63</v>
      </c>
      <c r="J59" s="1">
        <v>0</v>
      </c>
      <c r="K59" s="1">
        <v>0</v>
      </c>
      <c r="L59" s="1">
        <v>3.9540000000000002</v>
      </c>
      <c r="M59" s="1">
        <v>-9.1999999999999998E-2</v>
      </c>
    </row>
    <row r="60" spans="2:13" x14ac:dyDescent="0.2">
      <c r="B60" t="s">
        <v>64</v>
      </c>
      <c r="J60" s="1">
        <v>15.282</v>
      </c>
      <c r="K60" s="1">
        <v>4.9569999999999999</v>
      </c>
      <c r="L60" s="1">
        <v>10.291</v>
      </c>
      <c r="M60" s="1">
        <v>14.002000000000001</v>
      </c>
    </row>
    <row r="61" spans="2:13" x14ac:dyDescent="0.2">
      <c r="B61" t="s">
        <v>54</v>
      </c>
      <c r="J61" s="1">
        <v>17.655000000000001</v>
      </c>
      <c r="K61" s="1">
        <v>4.5650000000000004</v>
      </c>
      <c r="L61" s="1">
        <v>-3.9E-2</v>
      </c>
      <c r="M61" s="1">
        <v>-9.3699999999999992</v>
      </c>
    </row>
    <row r="62" spans="2:13" x14ac:dyDescent="0.2">
      <c r="B62" t="s">
        <v>41</v>
      </c>
      <c r="J62" s="1">
        <v>-24.013999999999999</v>
      </c>
      <c r="K62" s="1">
        <v>-26.722999999999999</v>
      </c>
      <c r="L62" s="1">
        <v>-35.075000000000003</v>
      </c>
      <c r="M62" s="1">
        <v>-5.1840000000000002</v>
      </c>
    </row>
    <row r="63" spans="2:13" x14ac:dyDescent="0.2">
      <c r="B63" t="s">
        <v>42</v>
      </c>
      <c r="J63" s="1">
        <v>-24.463000000000001</v>
      </c>
      <c r="K63" s="1">
        <v>-30.581</v>
      </c>
      <c r="L63" s="1">
        <v>-120.675</v>
      </c>
      <c r="M63" s="1">
        <v>-71.103999999999999</v>
      </c>
    </row>
    <row r="64" spans="2:13" x14ac:dyDescent="0.2">
      <c r="B64" t="s">
        <v>43</v>
      </c>
      <c r="J64" s="1">
        <v>-19.411000000000001</v>
      </c>
      <c r="K64" s="1">
        <v>-14.369</v>
      </c>
      <c r="L64" s="1">
        <v>-25.329000000000001</v>
      </c>
      <c r="M64" s="1">
        <v>-39.238999999999997</v>
      </c>
    </row>
    <row r="65" spans="2:13" x14ac:dyDescent="0.2">
      <c r="B65" t="s">
        <v>65</v>
      </c>
      <c r="J65" s="1"/>
      <c r="K65" s="1">
        <v>-21.584</v>
      </c>
      <c r="L65" s="1">
        <v>-17.024000000000001</v>
      </c>
      <c r="M65" s="1">
        <v>-2.7330000000000001</v>
      </c>
    </row>
    <row r="66" spans="2:13" x14ac:dyDescent="0.2">
      <c r="B66" t="s">
        <v>49</v>
      </c>
      <c r="J66" s="1">
        <f>-44.322+7.355+0.488</f>
        <v>-36.478999999999999</v>
      </c>
      <c r="K66" s="1">
        <f>1.965+-0.048</f>
        <v>1.917</v>
      </c>
      <c r="L66" s="1">
        <v>-5.4749999999999996</v>
      </c>
      <c r="M66" s="1">
        <f>-5.682+5.959</f>
        <v>0.27699999999999925</v>
      </c>
    </row>
    <row r="67" spans="2:13" x14ac:dyDescent="0.2">
      <c r="B67" t="s">
        <v>51</v>
      </c>
      <c r="J67" s="1">
        <v>40.771000000000001</v>
      </c>
      <c r="K67" s="1">
        <v>36.911999999999999</v>
      </c>
      <c r="L67" s="1">
        <v>78.801000000000002</v>
      </c>
      <c r="M67" s="1">
        <v>17.780999999999999</v>
      </c>
    </row>
    <row r="68" spans="2:13" x14ac:dyDescent="0.2">
      <c r="B68" t="s">
        <v>53</v>
      </c>
      <c r="J68" s="1">
        <v>24.469000000000001</v>
      </c>
      <c r="K68" s="1">
        <v>-16.094999999999999</v>
      </c>
      <c r="L68" s="1">
        <v>14.427</v>
      </c>
      <c r="M68" s="1">
        <v>18.126999999999999</v>
      </c>
    </row>
    <row r="69" spans="2:13" x14ac:dyDescent="0.2">
      <c r="B69" t="s">
        <v>52</v>
      </c>
      <c r="J69" s="1">
        <v>-3.786</v>
      </c>
      <c r="K69" s="1">
        <v>-2.02</v>
      </c>
      <c r="L69" s="1">
        <v>-4.0519999999999996</v>
      </c>
      <c r="M69" s="1">
        <v>-6.1020000000000003</v>
      </c>
    </row>
    <row r="70" spans="2:13" x14ac:dyDescent="0.2">
      <c r="B70" t="s">
        <v>56</v>
      </c>
      <c r="J70" s="1">
        <v>1.9390000000000001</v>
      </c>
      <c r="K70" s="1">
        <v>7.5999999999999998E-2</v>
      </c>
      <c r="L70" s="1">
        <v>0.12</v>
      </c>
      <c r="M70" s="1">
        <v>0.124</v>
      </c>
    </row>
    <row r="71" spans="2:13" s="8" customFormat="1" ht="15" x14ac:dyDescent="0.25">
      <c r="B71" s="8" t="s">
        <v>66</v>
      </c>
      <c r="J71" s="5">
        <f>+SUM(J55:J70)</f>
        <v>253.40699999999995</v>
      </c>
      <c r="K71" s="5">
        <f>+SUM(K55:K70)</f>
        <v>19.806999999999984</v>
      </c>
      <c r="L71" s="5">
        <f>+SUM(L55:L70)</f>
        <v>59.939000000000014</v>
      </c>
      <c r="M71" s="5">
        <f>+SUM(M55:M70)</f>
        <v>50.964999999999996</v>
      </c>
    </row>
    <row r="73" spans="2:13" x14ac:dyDescent="0.2">
      <c r="B73" t="s">
        <v>67</v>
      </c>
      <c r="J73" s="1">
        <f>+-139.996</f>
        <v>-139.99600000000001</v>
      </c>
      <c r="K73" s="1">
        <v>-39.277999999999999</v>
      </c>
      <c r="L73" s="1">
        <v>83.521000000000001</v>
      </c>
      <c r="M73" s="1">
        <v>-120.887</v>
      </c>
    </row>
    <row r="74" spans="2:13" x14ac:dyDescent="0.2">
      <c r="B74" t="s">
        <v>68</v>
      </c>
      <c r="J74" s="1">
        <v>0.48699999999999999</v>
      </c>
      <c r="K74" s="1">
        <v>0.32</v>
      </c>
      <c r="L74" s="1">
        <v>0.42</v>
      </c>
      <c r="M74" s="1">
        <v>1.1419999999999999</v>
      </c>
    </row>
    <row r="75" spans="2:13" x14ac:dyDescent="0.2">
      <c r="B75" t="s">
        <v>69</v>
      </c>
      <c r="J75" s="1">
        <v>0.39200000000000002</v>
      </c>
      <c r="K75" s="1">
        <v>0.14499999999999999</v>
      </c>
      <c r="L75" s="1">
        <v>0.14499999999999999</v>
      </c>
      <c r="M75" s="1">
        <v>0.14499999999999999</v>
      </c>
    </row>
    <row r="76" spans="2:13" s="8" customFormat="1" ht="15" x14ac:dyDescent="0.25">
      <c r="B76" s="8" t="s">
        <v>70</v>
      </c>
      <c r="J76" s="5">
        <f>+SUM(J73:J75)</f>
        <v>-139.11700000000002</v>
      </c>
      <c r="K76" s="5">
        <f>+SUM(K73:K75)</f>
        <v>-38.812999999999995</v>
      </c>
      <c r="L76" s="5">
        <f>+SUM(L73:L75)</f>
        <v>84.085999999999999</v>
      </c>
      <c r="M76" s="5">
        <f>+SUM(M73:M75)</f>
        <v>-119.60000000000001</v>
      </c>
    </row>
    <row r="78" spans="2:13" x14ac:dyDescent="0.2">
      <c r="B78" t="s">
        <v>71</v>
      </c>
      <c r="J78" s="1">
        <v>15.273999999999999</v>
      </c>
      <c r="K78" s="1">
        <v>6.7679999999999998</v>
      </c>
      <c r="L78" s="1">
        <v>7.944</v>
      </c>
      <c r="M78" s="1">
        <v>8.5709999999999997</v>
      </c>
    </row>
    <row r="79" spans="2:13" x14ac:dyDescent="0.2">
      <c r="B79" t="s">
        <v>72</v>
      </c>
      <c r="J79" s="1">
        <v>-1.26</v>
      </c>
      <c r="K79" s="1">
        <v>-0.435</v>
      </c>
      <c r="L79" s="1">
        <v>-0.79500000000000004</v>
      </c>
      <c r="M79" s="1">
        <v>-1.181</v>
      </c>
    </row>
    <row r="80" spans="2:13" x14ac:dyDescent="0.2">
      <c r="B80" t="s">
        <v>73</v>
      </c>
      <c r="J80" s="1">
        <v>100</v>
      </c>
      <c r="K80" s="1">
        <v>0</v>
      </c>
      <c r="L80" s="1">
        <v>0</v>
      </c>
      <c r="M80" s="1">
        <v>0</v>
      </c>
    </row>
    <row r="81" spans="2:13" x14ac:dyDescent="0.2">
      <c r="B81" t="s">
        <v>74</v>
      </c>
      <c r="J81" s="1">
        <v>-100</v>
      </c>
      <c r="K81" s="1">
        <v>0</v>
      </c>
      <c r="L81" s="1">
        <v>0</v>
      </c>
      <c r="M81" s="1">
        <v>0</v>
      </c>
    </row>
    <row r="82" spans="2:13" x14ac:dyDescent="0.2">
      <c r="B82" t="s">
        <v>75</v>
      </c>
      <c r="J82" s="1">
        <v>-1.6919999999999999</v>
      </c>
      <c r="K82" s="1">
        <v>-5.9509999999999996</v>
      </c>
      <c r="L82" s="1">
        <v>-15.509</v>
      </c>
      <c r="M82" s="1">
        <v>-15.532999999999999</v>
      </c>
    </row>
    <row r="83" spans="2:13" s="8" customFormat="1" ht="15" x14ac:dyDescent="0.25">
      <c r="B83" s="8" t="s">
        <v>76</v>
      </c>
      <c r="J83" s="5">
        <f>+SUM(J78:J82)</f>
        <v>12.321999999999996</v>
      </c>
      <c r="K83" s="5">
        <f>+SUM(K78:K82)</f>
        <v>0.38200000000000056</v>
      </c>
      <c r="L83" s="5">
        <f>+SUM(L78:L82)</f>
        <v>-8.36</v>
      </c>
      <c r="M83" s="5">
        <f>+SUM(M78:M82)</f>
        <v>-8.1430000000000007</v>
      </c>
    </row>
    <row r="84" spans="2:13" s="8" customFormat="1" ht="15" x14ac:dyDescent="0.25">
      <c r="B84" s="8" t="s">
        <v>77</v>
      </c>
      <c r="J84" s="5">
        <f>+J71+J76+J83</f>
        <v>126.61199999999994</v>
      </c>
      <c r="K84" s="5">
        <f>+K71+K76+K83</f>
        <v>-18.624000000000009</v>
      </c>
      <c r="L84" s="5">
        <f>+L71+L76+L83</f>
        <v>135.66500000000002</v>
      </c>
      <c r="M84" s="5">
        <f>+M71+M76+M83</f>
        <v>-76.77800000000002</v>
      </c>
    </row>
  </sheetData>
  <hyperlinks>
    <hyperlink ref="A1" location="Main!A1" display="Main" xr:uid="{E4F239BE-CBD9-444E-9539-A8D201450F7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2022-01-09T16:45:58Z</dcterms:created>
  <dcterms:modified xsi:type="dcterms:W3CDTF">2022-01-09T23:01:25Z</dcterms:modified>
</cp:coreProperties>
</file>