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0E296C80-EC1D-4857-B5E5-AEC2BEF20027}" xr6:coauthVersionLast="47" xr6:coauthVersionMax="47" xr10:uidLastSave="{00000000-0000-0000-0000-000000000000}"/>
  <bookViews>
    <workbookView xWindow="-120" yWindow="-120" windowWidth="29040" windowHeight="15840" xr2:uid="{56AE04B3-834C-43E5-AE08-7A2B93D40EA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7" i="1"/>
  <c r="J55" i="2" l="1"/>
  <c r="J54" i="2"/>
  <c r="L55" i="2"/>
  <c r="L54" i="2"/>
  <c r="J31" i="2"/>
  <c r="J27" i="2"/>
  <c r="J35" i="2" s="1"/>
  <c r="J50" i="2"/>
  <c r="J49" i="2"/>
  <c r="L24" i="2"/>
  <c r="L51" i="2"/>
  <c r="L50" i="2"/>
  <c r="L49" i="2"/>
  <c r="L31" i="2"/>
  <c r="L27" i="2"/>
  <c r="L36" i="2" s="1"/>
  <c r="L22" i="2"/>
  <c r="H11" i="2"/>
  <c r="H9" i="2"/>
  <c r="H5" i="2"/>
  <c r="L11" i="2"/>
  <c r="L9" i="2"/>
  <c r="L5" i="2"/>
  <c r="L18" i="2" s="1"/>
  <c r="J36" i="2" l="1"/>
  <c r="J51" i="2" s="1"/>
  <c r="J52" i="2" s="1"/>
  <c r="J24" i="2"/>
  <c r="L52" i="2"/>
  <c r="L35" i="2"/>
  <c r="H10" i="2"/>
  <c r="H19" i="2" s="1"/>
  <c r="H18" i="2"/>
  <c r="L10" i="2"/>
  <c r="T95" i="2"/>
  <c r="U95" i="2"/>
  <c r="V95" i="2"/>
  <c r="T85" i="2"/>
  <c r="U85" i="2"/>
  <c r="V85" i="2"/>
  <c r="T75" i="2"/>
  <c r="T76" i="2" s="1"/>
  <c r="U75" i="2"/>
  <c r="U76" i="2" s="1"/>
  <c r="V75" i="2"/>
  <c r="V76" i="2" s="1"/>
  <c r="U50" i="2"/>
  <c r="U49" i="2"/>
  <c r="V50" i="2"/>
  <c r="V49" i="2"/>
  <c r="U31" i="2"/>
  <c r="U27" i="2"/>
  <c r="U24" i="2" s="1"/>
  <c r="V31" i="2"/>
  <c r="V27" i="2"/>
  <c r="V24" i="2" s="1"/>
  <c r="T11" i="2"/>
  <c r="U11" i="2"/>
  <c r="V11" i="2"/>
  <c r="T9" i="2"/>
  <c r="U9" i="2"/>
  <c r="V9" i="2"/>
  <c r="U22" i="2"/>
  <c r="V22" i="2"/>
  <c r="T5" i="2"/>
  <c r="T18" i="2" s="1"/>
  <c r="U5" i="2"/>
  <c r="U18" i="2" s="1"/>
  <c r="V5" i="2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M11" i="1"/>
  <c r="M4" i="1" a="1"/>
  <c r="M4" i="1" s="1"/>
  <c r="M10" i="1"/>
  <c r="M13" i="1" s="1"/>
  <c r="H12" i="2" l="1"/>
  <c r="H20" i="2" s="1"/>
  <c r="L19" i="2"/>
  <c r="L12" i="2"/>
  <c r="L20" i="2" s="1"/>
  <c r="H14" i="2"/>
  <c r="H16" i="2" s="1"/>
  <c r="V96" i="2"/>
  <c r="V36" i="2"/>
  <c r="U96" i="2"/>
  <c r="T96" i="2"/>
  <c r="U35" i="2"/>
  <c r="U54" i="2" s="1"/>
  <c r="U36" i="2"/>
  <c r="V35" i="2"/>
  <c r="V54" i="2" s="1"/>
  <c r="T10" i="2"/>
  <c r="T19" i="2" s="1"/>
  <c r="V10" i="2"/>
  <c r="V12" i="2" s="1"/>
  <c r="V18" i="2"/>
  <c r="U10" i="2"/>
  <c r="V14" i="2" l="1"/>
  <c r="V16" i="2" s="1"/>
  <c r="V20" i="2"/>
  <c r="L14" i="2"/>
  <c r="L16" i="2" s="1"/>
  <c r="U51" i="2"/>
  <c r="U52" i="2" s="1"/>
  <c r="U55" i="2"/>
  <c r="V51" i="2"/>
  <c r="V52" i="2" s="1"/>
  <c r="V55" i="2"/>
  <c r="V59" i="2"/>
  <c r="T12" i="2"/>
  <c r="V19" i="2"/>
  <c r="U12" i="2"/>
  <c r="U19" i="2"/>
  <c r="U14" i="2" l="1"/>
  <c r="U20" i="2"/>
  <c r="T14" i="2"/>
  <c r="T16" i="2" s="1"/>
  <c r="T20" i="2"/>
  <c r="U16" i="2"/>
  <c r="U59" i="2"/>
  <c r="T5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<sst xmlns="http://schemas.openxmlformats.org/spreadsheetml/2006/main" count="121" uniqueCount="113">
  <si>
    <t>Price</t>
  </si>
  <si>
    <t>MC</t>
  </si>
  <si>
    <t>Shares</t>
  </si>
  <si>
    <t>Cash</t>
  </si>
  <si>
    <t>EV</t>
  </si>
  <si>
    <t>Debt</t>
  </si>
  <si>
    <t>Q421</t>
  </si>
  <si>
    <t>Main</t>
  </si>
  <si>
    <t>Q120</t>
  </si>
  <si>
    <t>Q220</t>
  </si>
  <si>
    <t>Q320</t>
  </si>
  <si>
    <t>Q420</t>
  </si>
  <si>
    <t>Q121</t>
  </si>
  <si>
    <t>Q221</t>
  </si>
  <si>
    <t>Q321</t>
  </si>
  <si>
    <t>Q1222</t>
  </si>
  <si>
    <t>Q222</t>
  </si>
  <si>
    <t>Q322</t>
  </si>
  <si>
    <t>Q422</t>
  </si>
  <si>
    <t>Q123</t>
  </si>
  <si>
    <t>Q223</t>
  </si>
  <si>
    <t>Q323</t>
  </si>
  <si>
    <t>Q423</t>
  </si>
  <si>
    <t>Revenue</t>
  </si>
  <si>
    <t>Gross Profit</t>
  </si>
  <si>
    <t>COGS</t>
  </si>
  <si>
    <t>Gross Margin %</t>
  </si>
  <si>
    <t>Revenue Growth Y/Y</t>
  </si>
  <si>
    <t>R&amp;D</t>
  </si>
  <si>
    <t>S&amp;M</t>
  </si>
  <si>
    <t>G&amp;A</t>
  </si>
  <si>
    <t>Operating Expenses</t>
  </si>
  <si>
    <t>Operating income</t>
  </si>
  <si>
    <t>Other Income</t>
  </si>
  <si>
    <t>Pretax Income</t>
  </si>
  <si>
    <t>Taxes</t>
  </si>
  <si>
    <t>Net Income</t>
  </si>
  <si>
    <t xml:space="preserve"> </t>
  </si>
  <si>
    <t>EPS</t>
  </si>
  <si>
    <t>Operating Margin %</t>
  </si>
  <si>
    <t>A/R</t>
  </si>
  <si>
    <t>Tax Receovable</t>
  </si>
  <si>
    <t>OCA</t>
  </si>
  <si>
    <t>Operating Lease</t>
  </si>
  <si>
    <t>PP&amp;E</t>
  </si>
  <si>
    <t>LT Investments</t>
  </si>
  <si>
    <t>Intangibles</t>
  </si>
  <si>
    <t>R/Cash + ONCA</t>
  </si>
  <si>
    <t>D/T</t>
  </si>
  <si>
    <t>Current Assets</t>
  </si>
  <si>
    <t>Total Assets</t>
  </si>
  <si>
    <t>Net Cash</t>
  </si>
  <si>
    <t>A/P</t>
  </si>
  <si>
    <t>Tax payable</t>
  </si>
  <si>
    <t>D/R</t>
  </si>
  <si>
    <t>A/Expense</t>
  </si>
  <si>
    <t>Employee Compensation</t>
  </si>
  <si>
    <t>Derivative</t>
  </si>
  <si>
    <t>LT Operating Lease</t>
  </si>
  <si>
    <t>LT A/E</t>
  </si>
  <si>
    <t>LT Employee Compensation</t>
  </si>
  <si>
    <t>Current Liabilties</t>
  </si>
  <si>
    <t>Total Liabilties</t>
  </si>
  <si>
    <t>Equity</t>
  </si>
  <si>
    <t>L + S/E</t>
  </si>
  <si>
    <t>Reported NI</t>
  </si>
  <si>
    <t>Model NI</t>
  </si>
  <si>
    <t>Depreciation</t>
  </si>
  <si>
    <t>Amoritzation</t>
  </si>
  <si>
    <t>SBC</t>
  </si>
  <si>
    <t>Fiannce Income</t>
  </si>
  <si>
    <t>Finance Costs</t>
  </si>
  <si>
    <t>Tax Expnese</t>
  </si>
  <si>
    <t>Other</t>
  </si>
  <si>
    <t>Liability Increase</t>
  </si>
  <si>
    <t>D/R Increase</t>
  </si>
  <si>
    <t>Provision Increase</t>
  </si>
  <si>
    <t>Lease Interest</t>
  </si>
  <si>
    <t>Interest received</t>
  </si>
  <si>
    <t>Income Taxes</t>
  </si>
  <si>
    <t>CFFO</t>
  </si>
  <si>
    <t>Free Cashflow</t>
  </si>
  <si>
    <t>Acquistions</t>
  </si>
  <si>
    <t>Capex</t>
  </si>
  <si>
    <t>ST Investment Purchases</t>
  </si>
  <si>
    <t>Maturity of ST Investment</t>
  </si>
  <si>
    <t>LT Investmnet Sale</t>
  </si>
  <si>
    <t>Restricted Cash Change</t>
  </si>
  <si>
    <t>CFFI</t>
  </si>
  <si>
    <t>Lease Payment</t>
  </si>
  <si>
    <t>Lease Incentives</t>
  </si>
  <si>
    <t>Ordinary Share Repurhcase</t>
  </si>
  <si>
    <t>Stock Option Exercise</t>
  </si>
  <si>
    <t>Warrant exercise</t>
  </si>
  <si>
    <t>Warrant Issuance Costs</t>
  </si>
  <si>
    <t>Note Issuance Costs</t>
  </si>
  <si>
    <t>Employee Tax</t>
  </si>
  <si>
    <t>CFFF</t>
  </si>
  <si>
    <t>CF</t>
  </si>
  <si>
    <t>Quick</t>
  </si>
  <si>
    <t>Total Debt</t>
  </si>
  <si>
    <t>Tax Rate %</t>
  </si>
  <si>
    <t xml:space="preserve">D/T </t>
  </si>
  <si>
    <t>Business</t>
  </si>
  <si>
    <t>Description</t>
  </si>
  <si>
    <t>% Of Revenue</t>
  </si>
  <si>
    <t>Competition</t>
  </si>
  <si>
    <t>Prenium</t>
  </si>
  <si>
    <t>Subscription based Model</t>
  </si>
  <si>
    <t>Ad Rev</t>
  </si>
  <si>
    <t>Advertisment</t>
  </si>
  <si>
    <t>Apple</t>
  </si>
  <si>
    <t>GOOGL,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</si>
</sst>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2"/>
    <xf numFmtId="0" fontId="2" fillId="0" borderId="0" xfId="0" applyFont="1"/>
    <xf numFmtId="9" fontId="0" fillId="0" borderId="0" xfId="0" applyNumberFormat="1"/>
    <xf numFmtId="9" fontId="0" fillId="0" borderId="0" xfId="1" applyFont="1"/>
    <xf numFmtId="3" fontId="2" fillId="0" borderId="0" xfId="0" applyNumberFormat="1" applyFont="1"/>
    <xf numFmtId="4" fontId="0" fillId="0" borderId="0" xfId="0" applyNumberFormat="1"/>
    <xf numFmtId="3" fontId="0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 applyBorder="1"/>
    <xf numFmtId="9" fontId="0" fillId="0" borderId="7" xfId="0" applyNumberForma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0</xdr:row>
      <xdr:rowOff>57150</xdr:rowOff>
    </xdr:from>
    <xdr:to>
      <xdr:col>12</xdr:col>
      <xdr:colOff>38100</xdr:colOff>
      <xdr:row>41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9C37D0E-EE48-63B9-FD7E-1F4F12B5CEF4}"/>
            </a:ext>
          </a:extLst>
        </xdr:cNvPr>
        <xdr:cNvCxnSpPr/>
      </xdr:nvCxnSpPr>
      <xdr:spPr>
        <a:xfrm>
          <a:off x="9105900" y="57150"/>
          <a:ext cx="0" cy="7410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avyt7w</v>
    <v>268435456</v>
    <v>1</v>
    <v>Powered by Refinitiv</v>
    <v>0</v>
    <v>USD/CHF</v>
    <v>2</v>
    <v>3</v>
    <v>Finance</v>
    <v>4</v>
    <v>1.0147999999999999</v>
    <v>0.90839999999999999</v>
    <v>3.0000000000000001E-3</v>
    <v>3.0409999999999999E-3</v>
    <v>CHF</v>
    <v>USD</v>
    <v>0.9929</v>
    <v>Currency Pair</v>
    <v>44861.638090277775</v>
    <v>0.98419999999999996</v>
    <v>US Dollar/Swiss Franc FX Spot Rate</v>
    <v>0.98650000000000004</v>
    <v>0.98650000000000004</v>
    <v>0.98950000000000005</v>
    <v>USDCHF</v>
    <v>USD/CHF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>_-* #,##0.00 [$CHF-fr-CH]_-;-* #,##0.00 [$CHF-fr-CH]_-;_-* "-"?? [$CHF-fr-CH]_-;_-@_-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409A-65DC-4ADD-A02A-21AAE03C415E}">
  <dimension ref="B4:N13"/>
  <sheetViews>
    <sheetView tabSelected="1" workbookViewId="0">
      <selection activeCell="I18" sqref="I18"/>
    </sheetView>
  </sheetViews>
  <sheetFormatPr defaultRowHeight="14.25" x14ac:dyDescent="0.2"/>
  <cols>
    <col min="2" max="2" width="8.5" bestFit="1" customWidth="1"/>
    <col min="3" max="3" width="22.125" bestFit="1" customWidth="1"/>
    <col min="4" max="4" width="14" customWidth="1"/>
    <col min="5" max="5" width="13.125" customWidth="1"/>
    <col min="8" max="8" width="9" style="2"/>
  </cols>
  <sheetData>
    <row r="4" spans="2:14" ht="15" thickBot="1" x14ac:dyDescent="0.25">
      <c r="B4" s="11" t="s">
        <v>103</v>
      </c>
      <c r="C4" s="12" t="s">
        <v>104</v>
      </c>
      <c r="D4" s="12" t="s">
        <v>105</v>
      </c>
      <c r="E4" s="13" t="s">
        <v>106</v>
      </c>
      <c r="L4" t="e" vm="1">
        <v>#VALUE!</v>
      </c>
      <c r="M4" s="3" cm="1">
        <f t="array" ref="M4">+_FV(L4,"Price")</f>
        <v>0.98950000000000005</v>
      </c>
      <c r="N4" s="2"/>
    </row>
    <row r="5" spans="2:14" x14ac:dyDescent="0.2">
      <c r="B5" s="14" t="s">
        <v>107</v>
      </c>
      <c r="C5" s="15" t="s">
        <v>108</v>
      </c>
      <c r="D5" s="20">
        <f>2504/D7</f>
        <v>0.87430167597765363</v>
      </c>
      <c r="E5" s="16" t="s">
        <v>111</v>
      </c>
      <c r="N5" s="2"/>
    </row>
    <row r="6" spans="2:14" x14ac:dyDescent="0.2">
      <c r="B6" s="17" t="s">
        <v>109</v>
      </c>
      <c r="C6" s="18" t="s">
        <v>110</v>
      </c>
      <c r="D6" s="21">
        <f>360/D7</f>
        <v>0.12569832402234637</v>
      </c>
      <c r="E6" s="19" t="s">
        <v>112</v>
      </c>
      <c r="N6" s="2"/>
    </row>
    <row r="7" spans="2:14" x14ac:dyDescent="0.2">
      <c r="D7" s="1">
        <f>+Model!L3</f>
        <v>2864</v>
      </c>
      <c r="N7" s="2"/>
    </row>
    <row r="8" spans="2:14" x14ac:dyDescent="0.2">
      <c r="L8" t="s">
        <v>0</v>
      </c>
      <c r="M8">
        <v>83.77</v>
      </c>
      <c r="N8" s="2"/>
    </row>
    <row r="9" spans="2:14" x14ac:dyDescent="0.2">
      <c r="L9" t="s">
        <v>2</v>
      </c>
      <c r="M9" s="1">
        <v>192.15181100000001</v>
      </c>
      <c r="N9" s="2" t="s">
        <v>6</v>
      </c>
    </row>
    <row r="10" spans="2:14" x14ac:dyDescent="0.2">
      <c r="L10" t="s">
        <v>1</v>
      </c>
      <c r="M10" s="1">
        <f>+M8*M9</f>
        <v>16096.557207469999</v>
      </c>
      <c r="N10" s="2"/>
    </row>
    <row r="11" spans="2:14" x14ac:dyDescent="0.2">
      <c r="L11" t="s">
        <v>3</v>
      </c>
      <c r="M11" s="1">
        <f>916+77+756+2744</f>
        <v>4493</v>
      </c>
      <c r="N11" s="2" t="s">
        <v>6</v>
      </c>
    </row>
    <row r="12" spans="2:14" x14ac:dyDescent="0.2">
      <c r="L12" t="s">
        <v>5</v>
      </c>
      <c r="M12" s="1">
        <v>1202</v>
      </c>
      <c r="N12" s="2" t="s">
        <v>6</v>
      </c>
    </row>
    <row r="13" spans="2:14" x14ac:dyDescent="0.2">
      <c r="L13" t="s">
        <v>4</v>
      </c>
      <c r="M13" s="1">
        <f>+M10-M11+M12</f>
        <v>12805.557207469999</v>
      </c>
      <c r="N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D3EF-3E46-4C01-A962-00B7AC30A92C}">
  <dimension ref="A1:AW9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V27" sqref="V27"/>
    </sheetView>
  </sheetViews>
  <sheetFormatPr defaultRowHeight="14.25" x14ac:dyDescent="0.2"/>
  <cols>
    <col min="1" max="1" width="4.625" bestFit="1" customWidth="1"/>
    <col min="2" max="2" width="24.375" bestFit="1" customWidth="1"/>
  </cols>
  <sheetData>
    <row r="1" spans="1:49" x14ac:dyDescent="0.2">
      <c r="A1" s="4" t="s">
        <v>7</v>
      </c>
    </row>
    <row r="2" spans="1:49" x14ac:dyDescent="0.2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6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T2">
        <v>2019</v>
      </c>
      <c r="U2">
        <f>+T2+1</f>
        <v>2020</v>
      </c>
      <c r="V2">
        <f t="shared" ref="V2:AW2" si="0">+U2+1</f>
        <v>2021</v>
      </c>
      <c r="W2">
        <f t="shared" si="0"/>
        <v>2022</v>
      </c>
      <c r="X2">
        <f t="shared" si="0"/>
        <v>2023</v>
      </c>
      <c r="Y2">
        <f t="shared" si="0"/>
        <v>2024</v>
      </c>
      <c r="Z2">
        <f t="shared" si="0"/>
        <v>2025</v>
      </c>
      <c r="AA2">
        <f t="shared" si="0"/>
        <v>2026</v>
      </c>
      <c r="AB2">
        <f t="shared" si="0"/>
        <v>2027</v>
      </c>
      <c r="AC2">
        <f t="shared" si="0"/>
        <v>2028</v>
      </c>
      <c r="AD2">
        <f t="shared" si="0"/>
        <v>2029</v>
      </c>
      <c r="AE2">
        <f t="shared" si="0"/>
        <v>2030</v>
      </c>
      <c r="AF2">
        <f t="shared" si="0"/>
        <v>2031</v>
      </c>
      <c r="AG2">
        <f t="shared" si="0"/>
        <v>2032</v>
      </c>
      <c r="AH2">
        <f t="shared" si="0"/>
        <v>2033</v>
      </c>
      <c r="AI2">
        <f t="shared" si="0"/>
        <v>2034</v>
      </c>
      <c r="AJ2">
        <f t="shared" si="0"/>
        <v>2035</v>
      </c>
      <c r="AK2">
        <f t="shared" si="0"/>
        <v>2036</v>
      </c>
      <c r="AL2">
        <f t="shared" si="0"/>
        <v>2037</v>
      </c>
      <c r="AM2">
        <f t="shared" si="0"/>
        <v>2038</v>
      </c>
      <c r="AN2">
        <f t="shared" si="0"/>
        <v>2039</v>
      </c>
      <c r="AO2">
        <f t="shared" si="0"/>
        <v>2040</v>
      </c>
      <c r="AP2">
        <f t="shared" si="0"/>
        <v>2041</v>
      </c>
      <c r="AQ2">
        <f t="shared" si="0"/>
        <v>2042</v>
      </c>
      <c r="AR2">
        <f t="shared" si="0"/>
        <v>2043</v>
      </c>
      <c r="AS2">
        <f t="shared" si="0"/>
        <v>2044</v>
      </c>
      <c r="AT2">
        <f t="shared" si="0"/>
        <v>2045</v>
      </c>
      <c r="AU2">
        <f t="shared" si="0"/>
        <v>2046</v>
      </c>
      <c r="AV2">
        <f t="shared" si="0"/>
        <v>2047</v>
      </c>
      <c r="AW2">
        <f t="shared" si="0"/>
        <v>2048</v>
      </c>
    </row>
    <row r="3" spans="1:49" s="8" customFormat="1" ht="15" x14ac:dyDescent="0.25">
      <c r="B3" s="8" t="s">
        <v>23</v>
      </c>
      <c r="H3" s="8">
        <v>2331</v>
      </c>
      <c r="L3" s="8">
        <v>2864</v>
      </c>
      <c r="T3" s="8">
        <v>6764</v>
      </c>
      <c r="U3" s="8">
        <v>7880</v>
      </c>
      <c r="V3" s="8">
        <v>9668</v>
      </c>
    </row>
    <row r="4" spans="1:49" s="1" customFormat="1" x14ac:dyDescent="0.2">
      <c r="B4" s="1" t="s">
        <v>25</v>
      </c>
      <c r="H4" s="1">
        <v>1668</v>
      </c>
      <c r="L4" s="1">
        <v>2160</v>
      </c>
      <c r="T4" s="1">
        <v>5042</v>
      </c>
      <c r="U4" s="1">
        <v>5865</v>
      </c>
      <c r="V4" s="1">
        <v>7077</v>
      </c>
    </row>
    <row r="5" spans="1:49" s="1" customFormat="1" x14ac:dyDescent="0.2">
      <c r="B5" s="1" t="s">
        <v>24</v>
      </c>
      <c r="H5" s="1">
        <f>+H3-H4</f>
        <v>663</v>
      </c>
      <c r="L5" s="1">
        <f>+L3-L4</f>
        <v>704</v>
      </c>
      <c r="T5" s="1">
        <f>+T3-T4</f>
        <v>1722</v>
      </c>
      <c r="U5" s="1">
        <f>+U3-U4</f>
        <v>2015</v>
      </c>
      <c r="V5" s="1">
        <f>+V3-V4</f>
        <v>2591</v>
      </c>
    </row>
    <row r="6" spans="1:49" s="1" customFormat="1" x14ac:dyDescent="0.2">
      <c r="B6" s="1" t="s">
        <v>28</v>
      </c>
      <c r="H6" s="1">
        <v>255</v>
      </c>
      <c r="L6" s="1">
        <v>336</v>
      </c>
      <c r="T6" s="1">
        <v>615</v>
      </c>
      <c r="U6" s="1">
        <v>837</v>
      </c>
      <c r="V6" s="1">
        <v>912</v>
      </c>
    </row>
    <row r="7" spans="1:49" s="1" customFormat="1" x14ac:dyDescent="0.2">
      <c r="B7" s="1" t="s">
        <v>29</v>
      </c>
      <c r="H7" s="1">
        <v>279</v>
      </c>
      <c r="L7" s="1">
        <v>391</v>
      </c>
      <c r="T7" s="1">
        <v>826</v>
      </c>
      <c r="U7" s="1">
        <v>1029</v>
      </c>
      <c r="V7" s="1">
        <v>1135</v>
      </c>
    </row>
    <row r="8" spans="1:49" s="1" customFormat="1" x14ac:dyDescent="0.2">
      <c r="B8" s="1" t="s">
        <v>30</v>
      </c>
      <c r="H8" s="1">
        <v>117</v>
      </c>
      <c r="L8" s="1">
        <v>171</v>
      </c>
      <c r="T8" s="1">
        <v>354</v>
      </c>
      <c r="U8" s="1">
        <v>442</v>
      </c>
      <c r="V8" s="1">
        <v>450</v>
      </c>
    </row>
    <row r="9" spans="1:49" s="1" customFormat="1" x14ac:dyDescent="0.2">
      <c r="B9" s="1" t="s">
        <v>31</v>
      </c>
      <c r="H9" s="1">
        <f>+SUM(H6:H8)</f>
        <v>651</v>
      </c>
      <c r="L9" s="1">
        <f>+SUM(L6:L8)</f>
        <v>898</v>
      </c>
      <c r="T9" s="1">
        <f>+SUM(T6:T8)</f>
        <v>1795</v>
      </c>
      <c r="U9" s="1">
        <f>+SUM(U6:U8)</f>
        <v>2308</v>
      </c>
      <c r="V9" s="1">
        <f>+SUM(V6:V8)</f>
        <v>2497</v>
      </c>
    </row>
    <row r="10" spans="1:49" s="1" customFormat="1" x14ac:dyDescent="0.2">
      <c r="B10" s="1" t="s">
        <v>32</v>
      </c>
      <c r="H10" s="1">
        <f>+H5-H9</f>
        <v>12</v>
      </c>
      <c r="L10" s="1">
        <f>+L5-L9</f>
        <v>-194</v>
      </c>
      <c r="T10" s="1">
        <f>+T5-T9</f>
        <v>-73</v>
      </c>
      <c r="U10" s="1">
        <f>+U5-U9</f>
        <v>-293</v>
      </c>
      <c r="V10" s="1">
        <f>+V5-V9</f>
        <v>94</v>
      </c>
    </row>
    <row r="11" spans="1:49" x14ac:dyDescent="0.2">
      <c r="B11" t="s">
        <v>33</v>
      </c>
      <c r="H11">
        <f>21+-25</f>
        <v>-4</v>
      </c>
      <c r="L11">
        <f>118+-14</f>
        <v>104</v>
      </c>
      <c r="T11">
        <f>275+-333</f>
        <v>-58</v>
      </c>
      <c r="U11">
        <f>94+-510</f>
        <v>-416</v>
      </c>
      <c r="V11">
        <f>246+-91</f>
        <v>155</v>
      </c>
    </row>
    <row r="12" spans="1:49" x14ac:dyDescent="0.2">
      <c r="B12" t="s">
        <v>34</v>
      </c>
      <c r="H12" s="1">
        <f>+H10+H11</f>
        <v>8</v>
      </c>
      <c r="L12" s="1">
        <f>+L10+L11</f>
        <v>-90</v>
      </c>
      <c r="T12" s="1">
        <f>+T10+T11</f>
        <v>-131</v>
      </c>
      <c r="U12" s="1">
        <f>+U10+U11</f>
        <v>-709</v>
      </c>
      <c r="V12" s="1">
        <f>+V10+V11</f>
        <v>249</v>
      </c>
    </row>
    <row r="13" spans="1:49" x14ac:dyDescent="0.2">
      <c r="B13" t="s">
        <v>35</v>
      </c>
      <c r="H13">
        <v>28</v>
      </c>
      <c r="L13">
        <v>35</v>
      </c>
      <c r="T13">
        <v>55</v>
      </c>
      <c r="U13">
        <v>-128</v>
      </c>
      <c r="V13">
        <v>283</v>
      </c>
    </row>
    <row r="14" spans="1:49" s="5" customFormat="1" ht="15" x14ac:dyDescent="0.25">
      <c r="B14" s="5" t="s">
        <v>36</v>
      </c>
      <c r="H14" s="8">
        <f>+H12-H13</f>
        <v>-20</v>
      </c>
      <c r="L14" s="8">
        <f>+L12-L13</f>
        <v>-125</v>
      </c>
      <c r="T14" s="8">
        <f>+T12-T13</f>
        <v>-186</v>
      </c>
      <c r="U14" s="8">
        <f>+U12-U13</f>
        <v>-581</v>
      </c>
      <c r="V14" s="8">
        <f>+V12-V13</f>
        <v>-34</v>
      </c>
    </row>
    <row r="15" spans="1:49" s="1" customFormat="1" x14ac:dyDescent="0.2">
      <c r="B15" s="1" t="s">
        <v>2</v>
      </c>
      <c r="H15" s="1">
        <v>194.08444600000001</v>
      </c>
      <c r="L15" s="1">
        <v>195.859532</v>
      </c>
      <c r="T15" s="1">
        <v>180.960579</v>
      </c>
      <c r="U15" s="1">
        <v>187.58330699999999</v>
      </c>
      <c r="V15" s="1">
        <v>193.943455</v>
      </c>
    </row>
    <row r="16" spans="1:49" x14ac:dyDescent="0.2">
      <c r="B16" t="s">
        <v>38</v>
      </c>
      <c r="H16" s="9">
        <f t="shared" ref="H16" si="1">+H14/H15</f>
        <v>-0.10304792791071984</v>
      </c>
      <c r="L16" s="9">
        <f t="shared" ref="L16" si="2">+L14/L15</f>
        <v>-0.63821249200166574</v>
      </c>
      <c r="T16" s="9">
        <f t="shared" ref="T16:U16" si="3">+T14/T15</f>
        <v>-1.0278481701807551</v>
      </c>
      <c r="U16" s="9">
        <f t="shared" si="3"/>
        <v>-3.0972905280958716</v>
      </c>
      <c r="V16" s="9">
        <f>+V14/V15</f>
        <v>-0.17530882906051148</v>
      </c>
    </row>
    <row r="18" spans="2:22" x14ac:dyDescent="0.2">
      <c r="B18" t="s">
        <v>26</v>
      </c>
      <c r="H18" s="7">
        <f t="shared" ref="H18" si="4">+H5/H3</f>
        <v>0.28442728442728443</v>
      </c>
      <c r="L18" s="7">
        <f t="shared" ref="L18" si="5">+L5/L3</f>
        <v>0.24581005586592178</v>
      </c>
      <c r="T18" s="7">
        <f t="shared" ref="T18:U18" si="6">+T5/T3</f>
        <v>0.25458308693081017</v>
      </c>
      <c r="U18" s="7">
        <f t="shared" si="6"/>
        <v>0.25571065989847713</v>
      </c>
      <c r="V18" s="7">
        <f>+V5/V3</f>
        <v>0.26799751758378154</v>
      </c>
    </row>
    <row r="19" spans="2:22" x14ac:dyDescent="0.2">
      <c r="B19" t="s">
        <v>39</v>
      </c>
      <c r="H19" s="6">
        <f>+H10/H3</f>
        <v>5.1480051480051478E-3</v>
      </c>
      <c r="L19" s="6">
        <f>+L10/L3</f>
        <v>-6.773743016759777E-2</v>
      </c>
      <c r="T19" s="6">
        <f>+T10/T3</f>
        <v>-1.0792430514488468E-2</v>
      </c>
      <c r="U19" s="6">
        <f>+U10/U3</f>
        <v>-3.7182741116751267E-2</v>
      </c>
      <c r="V19" s="6">
        <f>+V10/V3</f>
        <v>9.722796855606123E-3</v>
      </c>
    </row>
    <row r="20" spans="2:22" x14ac:dyDescent="0.2">
      <c r="B20" t="s">
        <v>101</v>
      </c>
      <c r="H20" s="6">
        <f>+H13/H12</f>
        <v>3.5</v>
      </c>
      <c r="L20" s="6">
        <f>+L13/L12</f>
        <v>-0.3888888888888889</v>
      </c>
      <c r="T20" s="6">
        <f>+T13/T12</f>
        <v>-0.41984732824427479</v>
      </c>
      <c r="U20" s="6">
        <f>+U13/U12</f>
        <v>0.18053596614950634</v>
      </c>
      <c r="V20" s="6">
        <f>+V13/V12</f>
        <v>1.1365461847389557</v>
      </c>
    </row>
    <row r="22" spans="2:22" x14ac:dyDescent="0.2">
      <c r="B22" t="s">
        <v>27</v>
      </c>
      <c r="L22" s="6">
        <f>+L3/H3-1</f>
        <v>0.2286572286572286</v>
      </c>
      <c r="U22" s="6">
        <f>+U3/T3-1</f>
        <v>0.16499112950916617</v>
      </c>
      <c r="V22" s="6">
        <f>+V3/U3-1</f>
        <v>0.2269035532994923</v>
      </c>
    </row>
    <row r="23" spans="2:22" x14ac:dyDescent="0.2">
      <c r="U23" s="6"/>
      <c r="V23" s="6"/>
    </row>
    <row r="24" spans="2:22" s="5" customFormat="1" ht="15" x14ac:dyDescent="0.25">
      <c r="B24" s="5" t="s">
        <v>51</v>
      </c>
      <c r="J24" s="8">
        <f>+SUM(J27,J33,J32)-J44</f>
        <v>3291</v>
      </c>
      <c r="L24" s="8">
        <f>+SUM(L27,L33,L32)-L44</f>
        <v>3245</v>
      </c>
      <c r="U24" s="8">
        <f>+SUM(U27,U33,U32)-U44</f>
        <v>4102</v>
      </c>
      <c r="V24" s="8">
        <f>+SUM(V27,V33,V32)-V44</f>
        <v>3291</v>
      </c>
    </row>
    <row r="25" spans="2:22" s="1" customFormat="1" x14ac:dyDescent="0.2">
      <c r="B25" s="1" t="s">
        <v>40</v>
      </c>
      <c r="J25" s="1">
        <v>621</v>
      </c>
      <c r="L25" s="1">
        <v>613</v>
      </c>
      <c r="U25" s="1">
        <v>464</v>
      </c>
      <c r="V25" s="1">
        <v>621</v>
      </c>
    </row>
    <row r="26" spans="2:22" s="1" customFormat="1" x14ac:dyDescent="0.2">
      <c r="B26" s="1" t="s">
        <v>41</v>
      </c>
      <c r="J26" s="1">
        <v>5</v>
      </c>
      <c r="L26" s="1">
        <v>4</v>
      </c>
      <c r="U26" s="1">
        <v>4</v>
      </c>
      <c r="V26" s="1">
        <v>5</v>
      </c>
    </row>
    <row r="27" spans="2:22" s="1" customFormat="1" x14ac:dyDescent="0.2">
      <c r="B27" s="1" t="s">
        <v>3</v>
      </c>
      <c r="J27" s="1">
        <f>756+2744</f>
        <v>3500</v>
      </c>
      <c r="L27" s="1">
        <f>782+2786</f>
        <v>3568</v>
      </c>
      <c r="U27" s="1">
        <f>596+1151</f>
        <v>1747</v>
      </c>
      <c r="V27" s="1">
        <f>756+2744</f>
        <v>3500</v>
      </c>
    </row>
    <row r="28" spans="2:22" s="1" customFormat="1" x14ac:dyDescent="0.2">
      <c r="B28" s="1" t="s">
        <v>42</v>
      </c>
      <c r="J28" s="1">
        <v>246</v>
      </c>
      <c r="L28" s="1">
        <v>337</v>
      </c>
      <c r="U28" s="1">
        <v>151</v>
      </c>
      <c r="V28" s="1">
        <v>246</v>
      </c>
    </row>
    <row r="29" spans="2:22" s="1" customFormat="1" x14ac:dyDescent="0.2">
      <c r="B29" s="1" t="s">
        <v>43</v>
      </c>
      <c r="J29" s="1">
        <v>437</v>
      </c>
      <c r="L29" s="1">
        <v>445</v>
      </c>
      <c r="U29" s="1">
        <v>444</v>
      </c>
      <c r="V29" s="1">
        <v>437</v>
      </c>
    </row>
    <row r="30" spans="2:22" s="1" customFormat="1" x14ac:dyDescent="0.2">
      <c r="B30" s="1" t="s">
        <v>44</v>
      </c>
      <c r="J30" s="1">
        <v>372</v>
      </c>
      <c r="L30" s="1">
        <v>373</v>
      </c>
      <c r="U30" s="1">
        <v>313</v>
      </c>
      <c r="V30" s="1">
        <v>372</v>
      </c>
    </row>
    <row r="31" spans="2:22" s="1" customFormat="1" x14ac:dyDescent="0.2">
      <c r="B31" s="1" t="s">
        <v>46</v>
      </c>
      <c r="J31" s="1">
        <f>894+89</f>
        <v>983</v>
      </c>
      <c r="L31" s="1">
        <f>1111+126</f>
        <v>1237</v>
      </c>
      <c r="U31" s="1">
        <f>736+97</f>
        <v>833</v>
      </c>
      <c r="V31" s="1">
        <f>894+89</f>
        <v>983</v>
      </c>
    </row>
    <row r="32" spans="2:22" s="1" customFormat="1" x14ac:dyDescent="0.2">
      <c r="B32" s="1" t="s">
        <v>45</v>
      </c>
      <c r="J32" s="1">
        <v>916</v>
      </c>
      <c r="L32" s="1">
        <v>720</v>
      </c>
      <c r="U32" s="1">
        <v>2277</v>
      </c>
      <c r="V32" s="1">
        <v>916</v>
      </c>
    </row>
    <row r="33" spans="2:22" s="1" customFormat="1" x14ac:dyDescent="0.2">
      <c r="B33" s="1" t="s">
        <v>47</v>
      </c>
      <c r="J33" s="1">
        <v>77</v>
      </c>
      <c r="L33" s="1">
        <v>84</v>
      </c>
      <c r="U33" s="1">
        <v>78</v>
      </c>
      <c r="V33" s="1">
        <v>77</v>
      </c>
    </row>
    <row r="34" spans="2:22" s="1" customFormat="1" x14ac:dyDescent="0.2">
      <c r="B34" s="1" t="s">
        <v>48</v>
      </c>
      <c r="J34" s="10">
        <v>13</v>
      </c>
      <c r="L34" s="10">
        <v>7</v>
      </c>
      <c r="U34" s="10">
        <v>15</v>
      </c>
      <c r="V34" s="10">
        <v>13</v>
      </c>
    </row>
    <row r="35" spans="2:22" s="8" customFormat="1" ht="15" x14ac:dyDescent="0.25">
      <c r="B35" s="8" t="s">
        <v>49</v>
      </c>
      <c r="J35" s="8">
        <f>+SUM(J25:J28)</f>
        <v>4372</v>
      </c>
      <c r="L35" s="8">
        <f>+SUM(L25:L28)</f>
        <v>4522</v>
      </c>
      <c r="U35" s="8">
        <f>+SUM(U25:U28)</f>
        <v>2366</v>
      </c>
      <c r="V35" s="8">
        <f>+SUM(V25:V28)</f>
        <v>4372</v>
      </c>
    </row>
    <row r="36" spans="2:22" s="8" customFormat="1" ht="15" x14ac:dyDescent="0.25">
      <c r="B36" s="8" t="s">
        <v>50</v>
      </c>
      <c r="J36" s="8">
        <f>+SUM(J25:J34)</f>
        <v>7170</v>
      </c>
      <c r="L36" s="8">
        <f>+SUM(L25:L34)</f>
        <v>7388</v>
      </c>
      <c r="U36" s="8">
        <f>+SUM(U25:U34)</f>
        <v>6326</v>
      </c>
      <c r="V36" s="8">
        <f>+SUM(V25:V34)</f>
        <v>7170</v>
      </c>
    </row>
    <row r="38" spans="2:22" s="1" customFormat="1" x14ac:dyDescent="0.2">
      <c r="B38" s="1" t="s">
        <v>52</v>
      </c>
      <c r="J38" s="1">
        <v>793</v>
      </c>
      <c r="L38" s="1">
        <v>825</v>
      </c>
      <c r="U38" s="1">
        <v>638</v>
      </c>
      <c r="V38" s="1">
        <v>793</v>
      </c>
    </row>
    <row r="39" spans="2:22" s="1" customFormat="1" x14ac:dyDescent="0.2">
      <c r="B39" s="1" t="s">
        <v>53</v>
      </c>
      <c r="J39" s="1">
        <v>23</v>
      </c>
      <c r="L39" s="1">
        <v>7</v>
      </c>
      <c r="U39" s="1">
        <v>9</v>
      </c>
      <c r="V39" s="1">
        <v>23</v>
      </c>
    </row>
    <row r="40" spans="2:22" s="1" customFormat="1" x14ac:dyDescent="0.2">
      <c r="B40" s="1" t="s">
        <v>54</v>
      </c>
      <c r="J40" s="1">
        <v>458</v>
      </c>
      <c r="L40" s="1">
        <v>489</v>
      </c>
      <c r="U40" s="1">
        <v>380</v>
      </c>
      <c r="V40" s="1">
        <v>458</v>
      </c>
    </row>
    <row r="41" spans="2:22" s="1" customFormat="1" x14ac:dyDescent="0.2">
      <c r="B41" s="1" t="s">
        <v>55</v>
      </c>
      <c r="J41" s="1">
        <v>1841</v>
      </c>
      <c r="L41" s="1">
        <v>1951</v>
      </c>
      <c r="U41" s="1">
        <v>1748</v>
      </c>
      <c r="V41" s="1">
        <v>1841</v>
      </c>
    </row>
    <row r="42" spans="2:22" s="1" customFormat="1" x14ac:dyDescent="0.2">
      <c r="B42" s="1" t="s">
        <v>56</v>
      </c>
      <c r="J42" s="1">
        <v>22</v>
      </c>
      <c r="L42" s="1">
        <v>39</v>
      </c>
      <c r="U42" s="1">
        <v>20</v>
      </c>
      <c r="V42" s="1">
        <v>22</v>
      </c>
    </row>
    <row r="43" spans="2:22" s="1" customFormat="1" x14ac:dyDescent="0.2">
      <c r="B43" s="1" t="s">
        <v>57</v>
      </c>
      <c r="J43" s="1">
        <v>89</v>
      </c>
      <c r="L43" s="1">
        <v>23</v>
      </c>
      <c r="U43" s="1">
        <v>105</v>
      </c>
      <c r="V43" s="1">
        <v>89</v>
      </c>
    </row>
    <row r="44" spans="2:22" s="1" customFormat="1" x14ac:dyDescent="0.2">
      <c r="B44" s="1" t="s">
        <v>5</v>
      </c>
      <c r="J44" s="1">
        <v>1202</v>
      </c>
      <c r="L44" s="1">
        <v>1127</v>
      </c>
      <c r="V44" s="1">
        <v>1202</v>
      </c>
    </row>
    <row r="45" spans="2:22" s="1" customFormat="1" x14ac:dyDescent="0.2">
      <c r="B45" s="1" t="s">
        <v>58</v>
      </c>
      <c r="J45" s="1">
        <v>579</v>
      </c>
      <c r="L45" s="1">
        <v>592</v>
      </c>
      <c r="U45" s="1">
        <v>577</v>
      </c>
      <c r="V45" s="1">
        <v>579</v>
      </c>
    </row>
    <row r="46" spans="2:22" s="1" customFormat="1" x14ac:dyDescent="0.2">
      <c r="B46" s="1" t="s">
        <v>59</v>
      </c>
      <c r="J46" s="1">
        <v>37</v>
      </c>
      <c r="L46" s="1">
        <v>29</v>
      </c>
      <c r="U46" s="1">
        <v>43</v>
      </c>
      <c r="V46" s="1">
        <v>37</v>
      </c>
    </row>
    <row r="47" spans="2:22" s="1" customFormat="1" x14ac:dyDescent="0.2">
      <c r="B47" s="1" t="s">
        <v>60</v>
      </c>
      <c r="J47" s="1">
        <v>7</v>
      </c>
      <c r="L47" s="1">
        <v>4</v>
      </c>
      <c r="U47" s="1">
        <v>2</v>
      </c>
      <c r="V47" s="1">
        <v>7</v>
      </c>
    </row>
    <row r="48" spans="2:22" s="1" customFormat="1" x14ac:dyDescent="0.2">
      <c r="B48" s="1" t="s">
        <v>102</v>
      </c>
      <c r="L48" s="1">
        <v>1</v>
      </c>
    </row>
    <row r="49" spans="2:22" s="8" customFormat="1" ht="15" x14ac:dyDescent="0.25">
      <c r="B49" s="8" t="s">
        <v>61</v>
      </c>
      <c r="J49" s="8">
        <f>+SUM(J38:J43)</f>
        <v>3226</v>
      </c>
      <c r="L49" s="8">
        <f>+SUM(L38:L43)</f>
        <v>3334</v>
      </c>
      <c r="U49" s="8">
        <f>+SUM(U38:U43)</f>
        <v>2900</v>
      </c>
      <c r="V49" s="8">
        <f>+SUM(V38:V43)</f>
        <v>3226</v>
      </c>
    </row>
    <row r="50" spans="2:22" s="8" customFormat="1" ht="15" x14ac:dyDescent="0.25">
      <c r="B50" s="8" t="s">
        <v>62</v>
      </c>
      <c r="J50" s="8">
        <f>+SUM(J38:J48)</f>
        <v>5051</v>
      </c>
      <c r="L50" s="8">
        <f>+SUM(L38:L48)</f>
        <v>5087</v>
      </c>
      <c r="U50" s="8">
        <f>+SUM(U38:U47)</f>
        <v>3522</v>
      </c>
      <c r="V50" s="8">
        <f>+SUM(V38:V47)</f>
        <v>5051</v>
      </c>
    </row>
    <row r="51" spans="2:22" s="1" customFormat="1" x14ac:dyDescent="0.2">
      <c r="B51" s="1" t="s">
        <v>63</v>
      </c>
      <c r="J51" s="1">
        <f>+J36-J50</f>
        <v>2119</v>
      </c>
      <c r="L51" s="1">
        <f>+L36-L50</f>
        <v>2301</v>
      </c>
      <c r="U51" s="1">
        <f>+U36-U50</f>
        <v>2804</v>
      </c>
      <c r="V51" s="1">
        <f>+V36-V50</f>
        <v>2119</v>
      </c>
    </row>
    <row r="52" spans="2:22" s="1" customFormat="1" x14ac:dyDescent="0.2">
      <c r="B52" s="1" t="s">
        <v>64</v>
      </c>
      <c r="J52" s="1">
        <f>+SUM(J50:J51)</f>
        <v>7170</v>
      </c>
      <c r="L52" s="1">
        <f>+SUM(L50:L51)</f>
        <v>7388</v>
      </c>
      <c r="U52" s="1">
        <f>+SUM(U50:U51)</f>
        <v>6326</v>
      </c>
      <c r="V52" s="1">
        <f>+SUM(V50:V51)</f>
        <v>7170</v>
      </c>
    </row>
    <row r="53" spans="2:22" s="1" customFormat="1" x14ac:dyDescent="0.2"/>
    <row r="54" spans="2:22" s="1" customFormat="1" x14ac:dyDescent="0.2">
      <c r="B54" s="1" t="s">
        <v>99</v>
      </c>
      <c r="J54" s="9">
        <f>+J35/J49</f>
        <v>1.3552386856788592</v>
      </c>
      <c r="K54" s="9"/>
      <c r="L54" s="9">
        <f t="shared" ref="K54:L54" si="7">+L35/L49</f>
        <v>1.3563287342531494</v>
      </c>
      <c r="U54" s="9">
        <f>+U35/U49</f>
        <v>0.81586206896551727</v>
      </c>
      <c r="V54" s="9">
        <f>+V35/V49</f>
        <v>1.3552386856788592</v>
      </c>
    </row>
    <row r="55" spans="2:22" s="1" customFormat="1" x14ac:dyDescent="0.2">
      <c r="B55" s="1" t="s">
        <v>100</v>
      </c>
      <c r="J55" s="6">
        <f>+J44/J36</f>
        <v>0.16764295676429566</v>
      </c>
      <c r="K55" s="6"/>
      <c r="L55" s="6">
        <f t="shared" ref="K55:L55" si="8">+L44/L36</f>
        <v>0.15254466702761235</v>
      </c>
      <c r="U55" s="6">
        <f>+U44/U36</f>
        <v>0</v>
      </c>
      <c r="V55" s="6">
        <f>+V44/V36</f>
        <v>0.16764295676429566</v>
      </c>
    </row>
    <row r="56" spans="2:22" s="1" customFormat="1" x14ac:dyDescent="0.2"/>
    <row r="57" spans="2:22" s="1" customFormat="1" x14ac:dyDescent="0.2">
      <c r="B57" s="1" t="s">
        <v>37</v>
      </c>
    </row>
    <row r="59" spans="2:22" x14ac:dyDescent="0.2">
      <c r="B59" t="s">
        <v>66</v>
      </c>
      <c r="T59" s="1">
        <f>+T14</f>
        <v>-186</v>
      </c>
      <c r="U59" s="1">
        <f>+U14</f>
        <v>-581</v>
      </c>
      <c r="V59" s="1">
        <f>+V14</f>
        <v>-34</v>
      </c>
    </row>
    <row r="60" spans="2:22" x14ac:dyDescent="0.2">
      <c r="B60" t="s">
        <v>65</v>
      </c>
      <c r="T60">
        <v>-186</v>
      </c>
      <c r="U60">
        <v>-581</v>
      </c>
      <c r="V60">
        <v>-34</v>
      </c>
    </row>
    <row r="61" spans="2:22" x14ac:dyDescent="0.2">
      <c r="B61" t="s">
        <v>67</v>
      </c>
      <c r="T61">
        <v>71</v>
      </c>
      <c r="U61">
        <v>86</v>
      </c>
      <c r="V61">
        <v>94</v>
      </c>
    </row>
    <row r="62" spans="2:22" x14ac:dyDescent="0.2">
      <c r="B62" t="s">
        <v>68</v>
      </c>
      <c r="T62">
        <v>16</v>
      </c>
      <c r="U62">
        <v>25</v>
      </c>
      <c r="V62">
        <v>33</v>
      </c>
    </row>
    <row r="63" spans="2:22" x14ac:dyDescent="0.2">
      <c r="B63" t="s">
        <v>69</v>
      </c>
      <c r="T63">
        <v>122</v>
      </c>
      <c r="U63">
        <v>176</v>
      </c>
      <c r="V63">
        <v>223</v>
      </c>
    </row>
    <row r="64" spans="2:22" x14ac:dyDescent="0.2">
      <c r="B64" t="s">
        <v>70</v>
      </c>
      <c r="T64">
        <v>-275</v>
      </c>
      <c r="U64">
        <v>-94</v>
      </c>
      <c r="V64">
        <v>-246</v>
      </c>
    </row>
    <row r="65" spans="2:22" x14ac:dyDescent="0.2">
      <c r="B65" t="s">
        <v>71</v>
      </c>
      <c r="T65">
        <v>333</v>
      </c>
      <c r="U65">
        <v>510</v>
      </c>
      <c r="V65">
        <v>91</v>
      </c>
    </row>
    <row r="66" spans="2:22" x14ac:dyDescent="0.2">
      <c r="B66" t="s">
        <v>72</v>
      </c>
      <c r="T66">
        <v>55</v>
      </c>
      <c r="U66">
        <v>-128</v>
      </c>
      <c r="V66">
        <v>283</v>
      </c>
    </row>
    <row r="67" spans="2:22" x14ac:dyDescent="0.2">
      <c r="B67" t="s">
        <v>73</v>
      </c>
      <c r="T67">
        <v>13</v>
      </c>
      <c r="U67">
        <v>7</v>
      </c>
      <c r="V67">
        <v>6</v>
      </c>
    </row>
    <row r="68" spans="2:22" x14ac:dyDescent="0.2">
      <c r="B68" t="s">
        <v>40</v>
      </c>
      <c r="T68">
        <v>-27</v>
      </c>
      <c r="U68">
        <v>-187</v>
      </c>
      <c r="V68">
        <v>-245</v>
      </c>
    </row>
    <row r="69" spans="2:22" x14ac:dyDescent="0.2">
      <c r="B69" t="s">
        <v>74</v>
      </c>
      <c r="T69">
        <v>454</v>
      </c>
      <c r="U69">
        <v>425</v>
      </c>
      <c r="V69">
        <v>137</v>
      </c>
    </row>
    <row r="70" spans="2:22" x14ac:dyDescent="0.2">
      <c r="B70" t="s">
        <v>75</v>
      </c>
      <c r="T70">
        <v>59</v>
      </c>
      <c r="U70">
        <v>73</v>
      </c>
      <c r="V70">
        <v>67</v>
      </c>
    </row>
    <row r="71" spans="2:22" x14ac:dyDescent="0.2">
      <c r="B71" t="s">
        <v>76</v>
      </c>
      <c r="T71">
        <v>-35</v>
      </c>
      <c r="U71">
        <v>6</v>
      </c>
      <c r="V71">
        <v>5</v>
      </c>
    </row>
    <row r="72" spans="2:22" x14ac:dyDescent="0.2">
      <c r="B72" t="s">
        <v>77</v>
      </c>
      <c r="T72">
        <v>-37</v>
      </c>
      <c r="U72">
        <v>-55</v>
      </c>
      <c r="V72">
        <v>-50</v>
      </c>
    </row>
    <row r="73" spans="2:22" x14ac:dyDescent="0.2">
      <c r="B73" t="s">
        <v>78</v>
      </c>
      <c r="T73">
        <v>14</v>
      </c>
      <c r="U73">
        <v>4</v>
      </c>
      <c r="V73">
        <v>3</v>
      </c>
    </row>
    <row r="74" spans="2:22" x14ac:dyDescent="0.2">
      <c r="B74" t="s">
        <v>79</v>
      </c>
      <c r="T74">
        <v>-4</v>
      </c>
      <c r="U74">
        <v>-8</v>
      </c>
      <c r="V74">
        <v>-6</v>
      </c>
    </row>
    <row r="75" spans="2:22" s="5" customFormat="1" ht="15" x14ac:dyDescent="0.25">
      <c r="B75" s="5" t="s">
        <v>80</v>
      </c>
      <c r="T75" s="8">
        <f>+SUM(T60:T74)</f>
        <v>573</v>
      </c>
      <c r="U75" s="8">
        <f>+SUM(U60:U74)</f>
        <v>259</v>
      </c>
      <c r="V75" s="8">
        <f>+SUM(V60:V74)</f>
        <v>361</v>
      </c>
    </row>
    <row r="76" spans="2:22" s="5" customFormat="1" ht="15" x14ac:dyDescent="0.25">
      <c r="B76" s="5" t="s">
        <v>81</v>
      </c>
      <c r="T76" s="8">
        <f t="shared" ref="T76:U76" si="9">+T75-T79</f>
        <v>708</v>
      </c>
      <c r="U76" s="8">
        <f t="shared" si="9"/>
        <v>337</v>
      </c>
      <c r="V76" s="8">
        <f>+V75-V79</f>
        <v>446</v>
      </c>
    </row>
    <row r="78" spans="2:22" x14ac:dyDescent="0.2">
      <c r="B78" t="s">
        <v>82</v>
      </c>
      <c r="T78">
        <v>-331</v>
      </c>
      <c r="U78">
        <v>-336</v>
      </c>
      <c r="V78">
        <v>-115</v>
      </c>
    </row>
    <row r="79" spans="2:22" x14ac:dyDescent="0.2">
      <c r="B79" t="s">
        <v>83</v>
      </c>
      <c r="T79">
        <v>-135</v>
      </c>
      <c r="U79">
        <v>-78</v>
      </c>
      <c r="V79">
        <v>-85</v>
      </c>
    </row>
    <row r="80" spans="2:22" x14ac:dyDescent="0.2">
      <c r="B80" t="s">
        <v>84</v>
      </c>
      <c r="T80">
        <v>-901</v>
      </c>
      <c r="U80">
        <v>-1354</v>
      </c>
      <c r="V80">
        <v>-497</v>
      </c>
    </row>
    <row r="81" spans="2:22" x14ac:dyDescent="0.2">
      <c r="B81" t="s">
        <v>85</v>
      </c>
      <c r="T81">
        <v>1163</v>
      </c>
      <c r="U81">
        <v>1421</v>
      </c>
      <c r="V81">
        <v>375</v>
      </c>
    </row>
    <row r="82" spans="2:22" x14ac:dyDescent="0.2">
      <c r="B82" t="s">
        <v>86</v>
      </c>
      <c r="V82">
        <v>144</v>
      </c>
    </row>
    <row r="83" spans="2:22" x14ac:dyDescent="0.2">
      <c r="B83" t="s">
        <v>87</v>
      </c>
      <c r="T83">
        <v>2</v>
      </c>
      <c r="U83">
        <v>2</v>
      </c>
      <c r="V83">
        <v>1</v>
      </c>
    </row>
    <row r="84" spans="2:22" x14ac:dyDescent="0.2">
      <c r="B84" t="s">
        <v>73</v>
      </c>
      <c r="T84">
        <v>-16</v>
      </c>
      <c r="U84">
        <v>-27</v>
      </c>
      <c r="V84">
        <v>-10</v>
      </c>
    </row>
    <row r="85" spans="2:22" s="5" customFormat="1" ht="15" x14ac:dyDescent="0.25">
      <c r="B85" s="5" t="s">
        <v>88</v>
      </c>
      <c r="T85" s="5">
        <f>+SUM(T78:T84)</f>
        <v>-218</v>
      </c>
      <c r="U85" s="5">
        <f>+SUM(U78:U84)</f>
        <v>-372</v>
      </c>
      <c r="V85" s="5">
        <f>+SUM(V78:V84)</f>
        <v>-187</v>
      </c>
    </row>
    <row r="87" spans="2:22" x14ac:dyDescent="0.2">
      <c r="B87" t="s">
        <v>89</v>
      </c>
      <c r="T87">
        <v>-17</v>
      </c>
      <c r="U87">
        <v>-24</v>
      </c>
      <c r="V87">
        <v>-35</v>
      </c>
    </row>
    <row r="88" spans="2:22" x14ac:dyDescent="0.2">
      <c r="B88" t="s">
        <v>90</v>
      </c>
      <c r="T88">
        <v>15</v>
      </c>
      <c r="U88">
        <v>20</v>
      </c>
      <c r="V88">
        <v>7</v>
      </c>
    </row>
    <row r="89" spans="2:22" x14ac:dyDescent="0.2">
      <c r="B89" t="s">
        <v>91</v>
      </c>
      <c r="T89">
        <v>-438</v>
      </c>
      <c r="V89">
        <v>-89</v>
      </c>
    </row>
    <row r="90" spans="2:22" x14ac:dyDescent="0.2">
      <c r="B90" t="s">
        <v>92</v>
      </c>
      <c r="T90">
        <v>154</v>
      </c>
      <c r="U90">
        <v>319</v>
      </c>
      <c r="V90">
        <v>167</v>
      </c>
    </row>
    <row r="91" spans="2:22" x14ac:dyDescent="0.2">
      <c r="B91" t="s">
        <v>93</v>
      </c>
      <c r="T91">
        <v>74</v>
      </c>
    </row>
    <row r="92" spans="2:22" x14ac:dyDescent="0.2">
      <c r="B92" t="s">
        <v>94</v>
      </c>
      <c r="T92">
        <v>15</v>
      </c>
      <c r="V92">
        <v>31</v>
      </c>
    </row>
    <row r="93" spans="2:22" x14ac:dyDescent="0.2">
      <c r="B93" t="s">
        <v>95</v>
      </c>
      <c r="V93">
        <v>1223</v>
      </c>
    </row>
    <row r="94" spans="2:22" x14ac:dyDescent="0.2">
      <c r="B94" t="s">
        <v>96</v>
      </c>
      <c r="T94">
        <v>-6</v>
      </c>
      <c r="U94">
        <v>-30</v>
      </c>
      <c r="V94">
        <v>-54</v>
      </c>
    </row>
    <row r="95" spans="2:22" s="5" customFormat="1" ht="15" x14ac:dyDescent="0.25">
      <c r="B95" s="5" t="s">
        <v>97</v>
      </c>
      <c r="T95" s="5">
        <f>+SUM(T87:T94)</f>
        <v>-203</v>
      </c>
      <c r="U95" s="5">
        <f>+SUM(U87:U94)</f>
        <v>285</v>
      </c>
      <c r="V95" s="5">
        <f>+SUM(V87:V94)</f>
        <v>1250</v>
      </c>
    </row>
    <row r="96" spans="2:22" s="5" customFormat="1" ht="15" x14ac:dyDescent="0.25">
      <c r="B96" s="5" t="s">
        <v>98</v>
      </c>
      <c r="T96" s="8">
        <f>+T75+T85+T95</f>
        <v>152</v>
      </c>
      <c r="U96" s="8">
        <f>+U75+U85+U95</f>
        <v>172</v>
      </c>
      <c r="V96" s="8">
        <f>+V75+V85+V95</f>
        <v>1424</v>
      </c>
    </row>
  </sheetData>
  <hyperlinks>
    <hyperlink ref="A1" location="Main!A1" display="Main" xr:uid="{3E978788-68A8-4DCB-BB75-929A7B4279D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2022-10-27T13:39:53Z</dcterms:created>
  <dcterms:modified xsi:type="dcterms:W3CDTF">2022-10-27T15:20:53Z</dcterms:modified>
</cp:coreProperties>
</file>