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5C6FE233-D965-408B-8505-E5C964AD6B18}" xr6:coauthVersionLast="47" xr6:coauthVersionMax="47" xr10:uidLastSave="{00000000-0000-0000-0000-000000000000}"/>
  <bookViews>
    <workbookView xWindow="-120" yWindow="-120" windowWidth="29040" windowHeight="15840" xr2:uid="{6BF29C4A-C030-4501-AFF8-763889A93E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D109" i="2"/>
  <c r="H109" i="2"/>
  <c r="H110" i="2" s="1"/>
  <c r="D97" i="2"/>
  <c r="H97" i="2"/>
  <c r="D81" i="2"/>
  <c r="D82" i="2" s="1"/>
  <c r="H81" i="2"/>
  <c r="H82" i="2" s="1"/>
  <c r="H35" i="2"/>
  <c r="F53" i="2"/>
  <c r="F61" i="2" s="1"/>
  <c r="F63" i="2" s="1"/>
  <c r="H61" i="2"/>
  <c r="H63" i="2" s="1"/>
  <c r="M10" i="1"/>
  <c r="H53" i="2"/>
  <c r="H60" i="2"/>
  <c r="F44" i="2"/>
  <c r="F36" i="2"/>
  <c r="F35" i="2" s="1"/>
  <c r="H44" i="2"/>
  <c r="H36" i="2"/>
  <c r="H47" i="2" s="1"/>
  <c r="D19" i="2"/>
  <c r="D17" i="2"/>
  <c r="H17" i="2"/>
  <c r="D12" i="2"/>
  <c r="H12" i="2"/>
  <c r="D7" i="2"/>
  <c r="H7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M9" i="1"/>
  <c r="M7" i="1"/>
  <c r="M8" i="1" s="1"/>
  <c r="M11" i="1" s="1"/>
  <c r="H48" i="2" l="1"/>
  <c r="D110" i="2"/>
  <c r="F48" i="2"/>
  <c r="F60" i="2"/>
  <c r="F47" i="2"/>
  <c r="H13" i="2"/>
  <c r="D13" i="2"/>
  <c r="H32" i="2"/>
  <c r="H28" i="2" l="1"/>
  <c r="H18" i="2"/>
  <c r="D18" i="2"/>
  <c r="D28" i="2"/>
  <c r="H29" i="2" l="1"/>
  <c r="H20" i="2"/>
  <c r="D29" i="2"/>
  <c r="D20" i="2"/>
  <c r="H23" i="2" l="1"/>
  <c r="H30" i="2"/>
  <c r="D30" i="2"/>
  <c r="D23" i="2"/>
  <c r="D24" i="2" l="1"/>
  <c r="D65" i="2"/>
  <c r="H24" i="2"/>
  <c r="H65" i="2"/>
</calcChain>
</file>

<file path=xl/sharedStrings.xml><?xml version="1.0" encoding="utf-8"?>
<sst xmlns="http://schemas.openxmlformats.org/spreadsheetml/2006/main" count="121" uniqueCount="112">
  <si>
    <t>Price</t>
  </si>
  <si>
    <t>Share</t>
  </si>
  <si>
    <t>MC</t>
  </si>
  <si>
    <t>Cash</t>
  </si>
  <si>
    <t>Debt</t>
  </si>
  <si>
    <t>EV</t>
  </si>
  <si>
    <t>Q222</t>
  </si>
  <si>
    <t>Main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</si>
  <si>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</si>
  <si>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</si>
  <si>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</si>
  <si>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</si>
  <si>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</si>
  <si>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</si>
  <si>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</si>
  <si>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</si>
  <si>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</si>
  <si>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</si>
  <si>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</si>
  <si>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Transcations</t>
  </si>
  <si>
    <t>Subscription</t>
  </si>
  <si>
    <t>Hardware</t>
  </si>
  <si>
    <t>Bitcoin</t>
  </si>
  <si>
    <t>Revenue</t>
  </si>
  <si>
    <t>Revenue Growth Y/Y</t>
  </si>
  <si>
    <t>Cost of Transcations</t>
  </si>
  <si>
    <t>Cost of Subscriptions</t>
  </si>
  <si>
    <t>Cost of Hardware</t>
  </si>
  <si>
    <t>Cost of BTC</t>
  </si>
  <si>
    <t>COGS</t>
  </si>
  <si>
    <t>Gross Profit</t>
  </si>
  <si>
    <t>Gross Margin %</t>
  </si>
  <si>
    <t>R&amp;D</t>
  </si>
  <si>
    <t>S&amp;M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</si>
  <si>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</si>
  <si>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</si>
  <si>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</si>
  <si>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</si>
  <si>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</si>
  <si>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</si>
  <si>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</si>
  <si>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NI</t>
  </si>
  <si>
    <t>Shares</t>
  </si>
  <si>
    <t>EPS</t>
  </si>
  <si>
    <t>Operating Margin %</t>
  </si>
  <si>
    <t>Tax Rate %</t>
  </si>
  <si>
    <t>Net Cash</t>
  </si>
  <si>
    <t>Settlment Receivables</t>
  </si>
  <si>
    <t>Deposits</t>
  </si>
  <si>
    <t>Consumer Receivables</t>
  </si>
  <si>
    <t>HOS Loans</t>
  </si>
  <si>
    <t>Held Bitcoin</t>
  </si>
  <si>
    <t>OCA</t>
  </si>
  <si>
    <t>PP&amp;E</t>
  </si>
  <si>
    <t>Intangibles</t>
  </si>
  <si>
    <t>Operating Lease</t>
  </si>
  <si>
    <t>ONCA</t>
  </si>
  <si>
    <t>Total Assets</t>
  </si>
  <si>
    <t>Total Current Assets</t>
  </si>
  <si>
    <t>Customer Payable</t>
  </si>
  <si>
    <t>Settlement Payable</t>
  </si>
  <si>
    <t>A/Expense</t>
  </si>
  <si>
    <t>Bitcoin Obligation</t>
  </si>
  <si>
    <t>D/T</t>
  </si>
  <si>
    <t>Warehouse Funding</t>
  </si>
  <si>
    <t>LT Operating Lease</t>
  </si>
  <si>
    <t>Total Liabilties</t>
  </si>
  <si>
    <t>Total Current Liabilties</t>
  </si>
  <si>
    <t>Equity</t>
  </si>
  <si>
    <t>L + S/E</t>
  </si>
  <si>
    <t>Model NI</t>
  </si>
  <si>
    <t>Reported NI</t>
  </si>
  <si>
    <t>D/A</t>
  </si>
  <si>
    <t>NC Interest</t>
  </si>
  <si>
    <t>NC Lease</t>
  </si>
  <si>
    <t>SBC</t>
  </si>
  <si>
    <t>Gain on Equity</t>
  </si>
  <si>
    <t>Receivable Losses</t>
  </si>
  <si>
    <t>Bitcoin Impairment</t>
  </si>
  <si>
    <t>Change in D/T</t>
  </si>
  <si>
    <t>Loan Purchases</t>
  </si>
  <si>
    <t>Other</t>
  </si>
  <si>
    <t>CFFO</t>
  </si>
  <si>
    <t>Loan Payments(&amp;Forgiveness?)</t>
  </si>
  <si>
    <t>Settlement Receivables</t>
  </si>
  <si>
    <t>Free Cashflow</t>
  </si>
  <si>
    <t>Bond Purchases</t>
  </si>
  <si>
    <t>Bond Maturity</t>
  </si>
  <si>
    <t>Bond Sale</t>
  </si>
  <si>
    <t>Customer Fund Purchase</t>
  </si>
  <si>
    <t>Customer Fund Maturity</t>
  </si>
  <si>
    <t>Customer Fund Sale</t>
  </si>
  <si>
    <t>Consumer Receivables Payment</t>
  </si>
  <si>
    <t>Consumer Receivable Principal</t>
  </si>
  <si>
    <t>Capex</t>
  </si>
  <si>
    <t>BTC Purchase</t>
  </si>
  <si>
    <t>Other Investments</t>
  </si>
  <si>
    <t>Equity Investment Sales</t>
  </si>
  <si>
    <t>Acquistions</t>
  </si>
  <si>
    <t>CFFI</t>
  </si>
  <si>
    <t>Senior Note Issuance</t>
  </si>
  <si>
    <t>PPP Proceeds</t>
  </si>
  <si>
    <t>PPP Repayments</t>
  </si>
  <si>
    <t>Convertible Note Redemption</t>
  </si>
  <si>
    <t>Warehouse Facilty Borrowing Proceeds</t>
  </si>
  <si>
    <t>Warehouse Facilty Borrowing Repayment</t>
  </si>
  <si>
    <t>Employee Stock Purchase Plan</t>
  </si>
  <si>
    <t>Tax Withholding(Restricted Stock)</t>
  </si>
  <si>
    <t>Bearing Deposits</t>
  </si>
  <si>
    <t>Customer Funds</t>
  </si>
  <si>
    <t>CFFF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</si>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</sst>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9B54-DAD3-4C0C-AE4A-29E6FC816E6D}">
  <dimension ref="F6:N11"/>
  <sheetViews>
    <sheetView tabSelected="1" workbookViewId="0">
      <selection activeCell="K22" sqref="K22"/>
    </sheetView>
  </sheetViews>
  <sheetFormatPr defaultRowHeight="14.25" x14ac:dyDescent="0.2"/>
  <cols>
    <col min="6" max="6" width="9" style="1"/>
  </cols>
  <sheetData>
    <row r="6" spans="12:14" x14ac:dyDescent="0.2">
      <c r="L6" t="s">
        <v>0</v>
      </c>
      <c r="M6">
        <v>56.14</v>
      </c>
      <c r="N6" s="1"/>
    </row>
    <row r="7" spans="12:14" x14ac:dyDescent="0.2">
      <c r="L7" t="s">
        <v>1</v>
      </c>
      <c r="M7" s="2">
        <f>529.53607+60.657578</f>
        <v>590.19364799999994</v>
      </c>
      <c r="N7" s="1" t="s">
        <v>6</v>
      </c>
    </row>
    <row r="8" spans="12:14" x14ac:dyDescent="0.2">
      <c r="L8" t="s">
        <v>2</v>
      </c>
      <c r="M8" s="2">
        <f>+M6*M7</f>
        <v>33133.471398719994</v>
      </c>
      <c r="N8" s="1"/>
    </row>
    <row r="9" spans="12:14" x14ac:dyDescent="0.2">
      <c r="L9" t="s">
        <v>3</v>
      </c>
      <c r="M9" s="2">
        <f>4020.466+938.998+1019.34</f>
        <v>5978.8040000000001</v>
      </c>
      <c r="N9" s="1" t="s">
        <v>6</v>
      </c>
    </row>
    <row r="10" spans="12:14" x14ac:dyDescent="0.2">
      <c r="L10" t="s">
        <v>4</v>
      </c>
      <c r="M10">
        <f>459.984+68.416+4104.664</f>
        <v>4633.0639999999994</v>
      </c>
      <c r="N10" s="1" t="s">
        <v>6</v>
      </c>
    </row>
    <row r="11" spans="12:14" x14ac:dyDescent="0.2">
      <c r="L11" t="s">
        <v>5</v>
      </c>
      <c r="M11" s="2">
        <f>+M8-M9+M10</f>
        <v>31787.731398719992</v>
      </c>
      <c r="N1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D655-4C13-42EC-A3E9-32262A2338B1}">
  <dimension ref="A1:AM1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3" sqref="J23"/>
    </sheetView>
  </sheetViews>
  <sheetFormatPr defaultRowHeight="14.25" x14ac:dyDescent="0.2"/>
  <cols>
    <col min="1" max="1" width="4.625" bestFit="1" customWidth="1"/>
    <col min="2" max="2" width="23.375" customWidth="1"/>
  </cols>
  <sheetData>
    <row r="1" spans="1:39" x14ac:dyDescent="0.2">
      <c r="A1" t="s">
        <v>7</v>
      </c>
    </row>
    <row r="2" spans="1:39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6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P2">
        <v>2019</v>
      </c>
      <c r="Q2">
        <f>+P2+1</f>
        <v>2020</v>
      </c>
      <c r="R2">
        <f t="shared" ref="R2:AM2" si="0">+Q2+1</f>
        <v>2021</v>
      </c>
      <c r="S2">
        <f t="shared" si="0"/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  <c r="AG2">
        <f t="shared" si="0"/>
        <v>2036</v>
      </c>
      <c r="AH2">
        <f t="shared" si="0"/>
        <v>2037</v>
      </c>
      <c r="AI2">
        <f t="shared" si="0"/>
        <v>2038</v>
      </c>
      <c r="AJ2">
        <f t="shared" si="0"/>
        <v>2039</v>
      </c>
      <c r="AK2">
        <f t="shared" si="0"/>
        <v>2040</v>
      </c>
      <c r="AL2">
        <f t="shared" si="0"/>
        <v>2041</v>
      </c>
      <c r="AM2">
        <f t="shared" si="0"/>
        <v>2042</v>
      </c>
    </row>
    <row r="3" spans="1:39" s="2" customFormat="1" x14ac:dyDescent="0.2">
      <c r="B3" s="2" t="s">
        <v>19</v>
      </c>
      <c r="D3" s="2">
        <v>1227.472</v>
      </c>
      <c r="H3" s="2">
        <v>1475.7070000000001</v>
      </c>
    </row>
    <row r="4" spans="1:39" s="2" customFormat="1" x14ac:dyDescent="0.2">
      <c r="B4" s="2" t="s">
        <v>20</v>
      </c>
      <c r="D4" s="2">
        <v>685.178</v>
      </c>
      <c r="H4" s="2">
        <v>1094.856</v>
      </c>
    </row>
    <row r="5" spans="1:39" s="2" customFormat="1" x14ac:dyDescent="0.2">
      <c r="B5" s="2" t="s">
        <v>21</v>
      </c>
      <c r="D5" s="2">
        <v>43.725999999999999</v>
      </c>
      <c r="H5" s="2">
        <v>48.051000000000002</v>
      </c>
    </row>
    <row r="6" spans="1:39" s="2" customFormat="1" x14ac:dyDescent="0.2">
      <c r="B6" s="2" t="s">
        <v>22</v>
      </c>
      <c r="D6" s="2">
        <v>2724.2959999999998</v>
      </c>
      <c r="H6" s="2">
        <v>1785.885</v>
      </c>
    </row>
    <row r="7" spans="1:39" s="4" customFormat="1" ht="15" x14ac:dyDescent="0.25">
      <c r="B7" s="4" t="s">
        <v>23</v>
      </c>
      <c r="D7" s="4">
        <f>+SUM(D3:D6)</f>
        <v>4680.6720000000005</v>
      </c>
      <c r="H7" s="4">
        <f>+SUM(H3:H6)</f>
        <v>4404.4989999999998</v>
      </c>
    </row>
    <row r="8" spans="1:39" x14ac:dyDescent="0.2">
      <c r="B8" s="2" t="s">
        <v>25</v>
      </c>
      <c r="D8" s="2">
        <v>682.34900000000005</v>
      </c>
      <c r="H8" s="2">
        <v>875.76199999999994</v>
      </c>
    </row>
    <row r="9" spans="1:39" x14ac:dyDescent="0.2">
      <c r="B9" s="2" t="s">
        <v>26</v>
      </c>
      <c r="D9" s="2">
        <v>120.812</v>
      </c>
      <c r="H9" s="2">
        <v>213.27099999999999</v>
      </c>
    </row>
    <row r="10" spans="1:39" x14ac:dyDescent="0.2">
      <c r="B10" s="2" t="s">
        <v>27</v>
      </c>
      <c r="D10" s="2">
        <v>61.402999999999999</v>
      </c>
      <c r="H10" s="2">
        <v>83.494</v>
      </c>
    </row>
    <row r="11" spans="1:39" x14ac:dyDescent="0.2">
      <c r="B11" s="2" t="s">
        <v>28</v>
      </c>
      <c r="D11" s="2">
        <v>2669.6410000000001</v>
      </c>
      <c r="H11" s="2">
        <v>1744.425</v>
      </c>
    </row>
    <row r="12" spans="1:39" x14ac:dyDescent="0.2">
      <c r="B12" s="2" t="s">
        <v>29</v>
      </c>
      <c r="D12" s="2">
        <f>+SUM(D8:D11)</f>
        <v>3534.2049999999999</v>
      </c>
      <c r="H12" s="2">
        <f>+SUM(H8:H11)</f>
        <v>2916.9519999999998</v>
      </c>
    </row>
    <row r="13" spans="1:39" x14ac:dyDescent="0.2">
      <c r="B13" s="2" t="s">
        <v>30</v>
      </c>
      <c r="D13" s="2">
        <f>+D7-D12</f>
        <v>1146.4670000000006</v>
      </c>
      <c r="H13" s="2">
        <f>+H7-H12</f>
        <v>1487.547</v>
      </c>
    </row>
    <row r="14" spans="1:39" x14ac:dyDescent="0.2">
      <c r="B14" s="2" t="s">
        <v>32</v>
      </c>
      <c r="D14" s="2">
        <v>324.05900000000003</v>
      </c>
      <c r="H14" s="2">
        <v>524.827</v>
      </c>
    </row>
    <row r="15" spans="1:39" x14ac:dyDescent="0.2">
      <c r="B15" s="2" t="s">
        <v>33</v>
      </c>
      <c r="D15" s="2">
        <v>373.87799999999999</v>
      </c>
      <c r="H15" s="2">
        <v>530.827</v>
      </c>
    </row>
    <row r="16" spans="1:39" x14ac:dyDescent="0.2">
      <c r="B16" s="2" t="s">
        <v>34</v>
      </c>
      <c r="D16" s="2">
        <v>220.86500000000001</v>
      </c>
      <c r="H16" s="2">
        <v>395.72</v>
      </c>
    </row>
    <row r="17" spans="2:8" x14ac:dyDescent="0.2">
      <c r="B17" s="2" t="s">
        <v>35</v>
      </c>
      <c r="D17" s="2">
        <f>+SUM(D14:D16)</f>
        <v>918.80200000000002</v>
      </c>
      <c r="H17" s="2">
        <f>+SUM(H14:H16)</f>
        <v>1451.374</v>
      </c>
    </row>
    <row r="18" spans="2:8" x14ac:dyDescent="0.2">
      <c r="B18" s="2" t="s">
        <v>36</v>
      </c>
      <c r="D18" s="2">
        <f>+D13-D17</f>
        <v>227.66500000000053</v>
      </c>
      <c r="H18" s="2">
        <f>+H13-H17</f>
        <v>36.173000000000002</v>
      </c>
    </row>
    <row r="19" spans="2:8" s="2" customFormat="1" x14ac:dyDescent="0.2">
      <c r="B19" s="2" t="s">
        <v>37</v>
      </c>
      <c r="D19" s="2">
        <f>6.464+-75.788</f>
        <v>-69.323999999999998</v>
      </c>
      <c r="H19" s="2">
        <f>12.966+-18.766</f>
        <v>-5.7999999999999989</v>
      </c>
    </row>
    <row r="20" spans="2:8" x14ac:dyDescent="0.2">
      <c r="B20" s="2" t="s">
        <v>38</v>
      </c>
      <c r="D20" s="2">
        <f>+D18-D19</f>
        <v>296.98900000000054</v>
      </c>
      <c r="H20" s="2">
        <f>+H18-H19</f>
        <v>41.972999999999999</v>
      </c>
    </row>
    <row r="21" spans="2:8" s="2" customFormat="1" x14ac:dyDescent="0.2">
      <c r="B21" s="2" t="s">
        <v>39</v>
      </c>
      <c r="D21" s="2">
        <v>-9.36</v>
      </c>
      <c r="H21" s="2">
        <v>1.304</v>
      </c>
    </row>
    <row r="22" spans="2:8" s="2" customFormat="1" x14ac:dyDescent="0.2">
      <c r="B22" s="2" t="s">
        <v>41</v>
      </c>
      <c r="D22" s="2">
        <v>0.34300000000000003</v>
      </c>
      <c r="H22" s="2">
        <v>1.2629999999999999</v>
      </c>
    </row>
    <row r="23" spans="2:8" s="3" customFormat="1" ht="15" x14ac:dyDescent="0.25">
      <c r="B23" s="4" t="s">
        <v>40</v>
      </c>
      <c r="D23" s="4">
        <f>+D20-D21+D22</f>
        <v>306.69200000000058</v>
      </c>
      <c r="H23" s="4">
        <f>+H20-H21+H22</f>
        <v>41.931999999999995</v>
      </c>
    </row>
    <row r="24" spans="2:8" x14ac:dyDescent="0.2">
      <c r="B24" s="2" t="s">
        <v>42</v>
      </c>
      <c r="D24" s="5">
        <f>+D23/D25</f>
        <v>0.58688272372736816</v>
      </c>
      <c r="H24" s="5">
        <f>+H23/H25</f>
        <v>7.2128666035950792E-2</v>
      </c>
    </row>
    <row r="25" spans="2:8" s="2" customFormat="1" x14ac:dyDescent="0.2">
      <c r="B25" s="2" t="s">
        <v>43</v>
      </c>
      <c r="D25" s="2">
        <v>522.57799999999997</v>
      </c>
      <c r="H25" s="2">
        <v>581.35</v>
      </c>
    </row>
    <row r="26" spans="2:8" x14ac:dyDescent="0.2">
      <c r="B26" s="2"/>
    </row>
    <row r="27" spans="2:8" x14ac:dyDescent="0.2">
      <c r="B27" s="2"/>
    </row>
    <row r="28" spans="2:8" s="7" customFormat="1" x14ac:dyDescent="0.2">
      <c r="B28" s="7" t="s">
        <v>31</v>
      </c>
      <c r="D28" s="8">
        <f>+D13/D7</f>
        <v>0.24493641084015297</v>
      </c>
      <c r="H28" s="8">
        <f>+H13/H7</f>
        <v>0.33773353110081306</v>
      </c>
    </row>
    <row r="29" spans="2:8" s="7" customFormat="1" x14ac:dyDescent="0.2">
      <c r="B29" s="7" t="s">
        <v>44</v>
      </c>
      <c r="D29" s="8">
        <f>+D18/D7</f>
        <v>4.8639383404776172E-2</v>
      </c>
      <c r="H29" s="8">
        <f>+H18/H7</f>
        <v>8.212738838174331E-3</v>
      </c>
    </row>
    <row r="30" spans="2:8" s="7" customFormat="1" x14ac:dyDescent="0.2">
      <c r="B30" s="7" t="s">
        <v>45</v>
      </c>
      <c r="D30" s="8">
        <f>+D21/D20</f>
        <v>-3.1516318786217613E-2</v>
      </c>
      <c r="H30" s="8">
        <f>+H21/H20</f>
        <v>3.1067591070450054E-2</v>
      </c>
    </row>
    <row r="31" spans="2:8" s="7" customFormat="1" x14ac:dyDescent="0.2"/>
    <row r="32" spans="2:8" s="7" customFormat="1" x14ac:dyDescent="0.2">
      <c r="B32" s="7" t="s">
        <v>24</v>
      </c>
      <c r="H32" s="8">
        <f>+H7/D7-1</f>
        <v>-5.9002852581851672E-2</v>
      </c>
    </row>
    <row r="35" spans="2:8" s="3" customFormat="1" ht="15" x14ac:dyDescent="0.25">
      <c r="B35" s="3" t="s">
        <v>46</v>
      </c>
      <c r="F35" s="4">
        <f>+F36-F53</f>
        <v>1782.1860000000006</v>
      </c>
      <c r="H35" s="4">
        <f>+H36-H53</f>
        <v>1345.7400000000007</v>
      </c>
    </row>
    <row r="36" spans="2:8" s="2" customFormat="1" x14ac:dyDescent="0.2">
      <c r="B36" s="2" t="s">
        <v>3</v>
      </c>
      <c r="F36" s="2">
        <f>4443.669+869.283+1526.43</f>
        <v>6839.3820000000005</v>
      </c>
      <c r="H36" s="2">
        <f>4020.466+938.998+1019.34</f>
        <v>5978.8040000000001</v>
      </c>
    </row>
    <row r="37" spans="2:8" s="2" customFormat="1" x14ac:dyDescent="0.2">
      <c r="B37" s="2" t="s">
        <v>47</v>
      </c>
      <c r="F37" s="2">
        <v>1171.6120000000001</v>
      </c>
      <c r="H37" s="2">
        <v>1472.9079999999999</v>
      </c>
    </row>
    <row r="38" spans="2:8" s="2" customFormat="1" x14ac:dyDescent="0.2">
      <c r="B38" s="2" t="s">
        <v>48</v>
      </c>
      <c r="F38" s="2">
        <v>2830.9949999999999</v>
      </c>
      <c r="H38" s="2">
        <v>2905.377</v>
      </c>
    </row>
    <row r="39" spans="2:8" s="2" customFormat="1" x14ac:dyDescent="0.2">
      <c r="B39" s="2" t="s">
        <v>49</v>
      </c>
      <c r="H39" s="2">
        <v>1264.1980000000001</v>
      </c>
    </row>
    <row r="40" spans="2:8" s="2" customFormat="1" x14ac:dyDescent="0.2">
      <c r="B40" s="2" t="s">
        <v>50</v>
      </c>
      <c r="F40" s="2">
        <v>517.94000000000005</v>
      </c>
      <c r="H40" s="2">
        <v>465.69299999999998</v>
      </c>
    </row>
    <row r="41" spans="2:8" s="2" customFormat="1" x14ac:dyDescent="0.2">
      <c r="B41" s="2" t="s">
        <v>51</v>
      </c>
      <c r="F41" s="2">
        <v>1100.596</v>
      </c>
      <c r="H41" s="2">
        <v>507.53300000000002</v>
      </c>
    </row>
    <row r="42" spans="2:8" s="2" customFormat="1" x14ac:dyDescent="0.2">
      <c r="B42" s="2" t="s">
        <v>52</v>
      </c>
      <c r="F42" s="2">
        <v>687.42899999999997</v>
      </c>
      <c r="H42" s="2">
        <v>951.16200000000003</v>
      </c>
    </row>
    <row r="43" spans="2:8" s="2" customFormat="1" x14ac:dyDescent="0.2">
      <c r="B43" s="2" t="s">
        <v>53</v>
      </c>
      <c r="F43" s="2">
        <v>282.14</v>
      </c>
      <c r="H43" s="2">
        <v>308.22199999999998</v>
      </c>
    </row>
    <row r="44" spans="2:8" s="2" customFormat="1" x14ac:dyDescent="0.2">
      <c r="B44" s="2" t="s">
        <v>54</v>
      </c>
      <c r="F44" s="2">
        <f>519.276+257.049</f>
        <v>776.32499999999993</v>
      </c>
      <c r="H44" s="2">
        <f>11982.135+2148.078</f>
        <v>14130.213</v>
      </c>
    </row>
    <row r="45" spans="2:8" s="2" customFormat="1" x14ac:dyDescent="0.2">
      <c r="B45" s="2" t="s">
        <v>55</v>
      </c>
      <c r="F45" s="2">
        <v>449.40600000000001</v>
      </c>
      <c r="H45" s="2">
        <v>446.23700000000002</v>
      </c>
    </row>
    <row r="46" spans="2:8" s="2" customFormat="1" x14ac:dyDescent="0.2">
      <c r="B46" s="2" t="s">
        <v>56</v>
      </c>
      <c r="F46" s="2">
        <v>370.53500000000003</v>
      </c>
      <c r="H46" s="2">
        <v>454.81299999999999</v>
      </c>
    </row>
    <row r="47" spans="2:8" s="4" customFormat="1" ht="15" x14ac:dyDescent="0.25">
      <c r="B47" s="4" t="s">
        <v>58</v>
      </c>
      <c r="F47" s="4">
        <f>+SUM(F36:F42)</f>
        <v>13147.954000000002</v>
      </c>
      <c r="H47" s="4">
        <f>+SUM(H36:H42)</f>
        <v>13545.674999999999</v>
      </c>
    </row>
    <row r="48" spans="2:8" s="2" customFormat="1" ht="15" x14ac:dyDescent="0.25">
      <c r="B48" s="4" t="s">
        <v>57</v>
      </c>
      <c r="F48" s="4">
        <f>+SUM(F36:F46)</f>
        <v>15026.360000000002</v>
      </c>
      <c r="H48" s="4">
        <f>+SUM(H36:H46)</f>
        <v>28885.16</v>
      </c>
    </row>
    <row r="50" spans="2:8" s="2" customFormat="1" x14ac:dyDescent="0.2">
      <c r="B50" s="2" t="s">
        <v>59</v>
      </c>
      <c r="F50" s="2">
        <v>3979.6239999999998</v>
      </c>
      <c r="H50" s="2">
        <v>4545.6750000000002</v>
      </c>
    </row>
    <row r="51" spans="2:8" s="2" customFormat="1" x14ac:dyDescent="0.2">
      <c r="B51" s="2" t="s">
        <v>60</v>
      </c>
      <c r="F51" s="2">
        <v>254.61099999999999</v>
      </c>
      <c r="H51" s="2">
        <v>264.93599999999998</v>
      </c>
    </row>
    <row r="52" spans="2:8" s="2" customFormat="1" x14ac:dyDescent="0.2">
      <c r="B52" s="2" t="s">
        <v>61</v>
      </c>
      <c r="F52" s="2">
        <v>638.85400000000004</v>
      </c>
      <c r="H52" s="2">
        <v>989.33500000000004</v>
      </c>
    </row>
    <row r="53" spans="2:8" s="2" customFormat="1" x14ac:dyDescent="0.2">
      <c r="B53" s="2" t="s">
        <v>4</v>
      </c>
      <c r="F53" s="2">
        <f>0.455+497.533+4559.208</f>
        <v>5057.1959999999999</v>
      </c>
      <c r="H53" s="2">
        <f>459.984+68.416+4104.664</f>
        <v>4633.0639999999994</v>
      </c>
    </row>
    <row r="54" spans="2:8" s="2" customFormat="1" x14ac:dyDescent="0.2">
      <c r="B54" s="2" t="s">
        <v>62</v>
      </c>
      <c r="F54" s="2">
        <v>1100.596</v>
      </c>
      <c r="H54" s="2">
        <v>507.53300000000002</v>
      </c>
    </row>
    <row r="55" spans="2:8" s="2" customFormat="1" x14ac:dyDescent="0.2">
      <c r="B55" s="2" t="s">
        <v>55</v>
      </c>
      <c r="F55" s="2">
        <v>64.027000000000001</v>
      </c>
      <c r="H55" s="2">
        <v>125.107</v>
      </c>
    </row>
    <row r="56" spans="2:8" s="2" customFormat="1" x14ac:dyDescent="0.2">
      <c r="B56" s="2" t="s">
        <v>63</v>
      </c>
      <c r="F56" s="2">
        <v>15.236000000000001</v>
      </c>
      <c r="H56" s="2">
        <v>189.19800000000001</v>
      </c>
    </row>
    <row r="57" spans="2:8" s="2" customFormat="1" x14ac:dyDescent="0.2">
      <c r="B57" s="2" t="s">
        <v>64</v>
      </c>
      <c r="H57" s="2">
        <v>192.61799999999999</v>
      </c>
    </row>
    <row r="58" spans="2:8" s="2" customFormat="1" x14ac:dyDescent="0.2">
      <c r="B58" s="2" t="s">
        <v>65</v>
      </c>
      <c r="F58" s="2">
        <v>395.017</v>
      </c>
      <c r="H58" s="2">
        <v>332.76799999999997</v>
      </c>
    </row>
    <row r="59" spans="2:8" s="2" customFormat="1" x14ac:dyDescent="0.2">
      <c r="B59" s="2" t="s">
        <v>56</v>
      </c>
      <c r="F59" s="2">
        <v>207.61</v>
      </c>
      <c r="H59" s="2">
        <v>213.51499999999999</v>
      </c>
    </row>
    <row r="60" spans="2:8" s="4" customFormat="1" ht="15" x14ac:dyDescent="0.25">
      <c r="B60" s="4" t="s">
        <v>67</v>
      </c>
      <c r="F60" s="4">
        <f>+SUM(F50:F55)</f>
        <v>11094.907999999999</v>
      </c>
      <c r="H60" s="4">
        <f>+SUM(H50:H55)</f>
        <v>11065.649999999998</v>
      </c>
    </row>
    <row r="61" spans="2:8" s="2" customFormat="1" ht="15" x14ac:dyDescent="0.25">
      <c r="B61" s="4" t="s">
        <v>66</v>
      </c>
      <c r="F61" s="4">
        <f>+SUM(F50:F59)</f>
        <v>11712.771000000001</v>
      </c>
      <c r="H61" s="4">
        <f>+SUM(H50:H59)</f>
        <v>11993.748999999998</v>
      </c>
    </row>
    <row r="62" spans="2:8" s="4" customFormat="1" ht="15" x14ac:dyDescent="0.25">
      <c r="B62" s="4" t="s">
        <v>68</v>
      </c>
      <c r="F62" s="4">
        <v>3313.5889999999999</v>
      </c>
      <c r="H62" s="4">
        <v>16891.411</v>
      </c>
    </row>
    <row r="63" spans="2:8" s="4" customFormat="1" ht="15" x14ac:dyDescent="0.25">
      <c r="B63" s="4" t="s">
        <v>69</v>
      </c>
      <c r="F63" s="4">
        <f>+SUM(F61:F62)</f>
        <v>15026.36</v>
      </c>
      <c r="H63" s="4">
        <f>+SUM(H61:H62)</f>
        <v>28885.159999999996</v>
      </c>
    </row>
    <row r="65" spans="2:8" x14ac:dyDescent="0.2">
      <c r="B65" s="2" t="s">
        <v>70</v>
      </c>
      <c r="D65" s="2">
        <f>+D23</f>
        <v>306.69200000000058</v>
      </c>
      <c r="H65" s="2">
        <f>+H23</f>
        <v>41.931999999999995</v>
      </c>
    </row>
    <row r="66" spans="2:8" s="2" customFormat="1" x14ac:dyDescent="0.2">
      <c r="B66" s="2" t="s">
        <v>71</v>
      </c>
      <c r="D66" s="2">
        <v>242.68600000000001</v>
      </c>
      <c r="H66" s="2">
        <v>-416.64</v>
      </c>
    </row>
    <row r="67" spans="2:8" s="2" customFormat="1" x14ac:dyDescent="0.2">
      <c r="B67" s="2" t="s">
        <v>72</v>
      </c>
      <c r="D67" s="2">
        <v>57.594999999999999</v>
      </c>
      <c r="H67" s="2">
        <v>160.89500000000001</v>
      </c>
    </row>
    <row r="68" spans="2:8" s="2" customFormat="1" x14ac:dyDescent="0.2">
      <c r="B68" s="2" t="s">
        <v>73</v>
      </c>
      <c r="D68" s="2">
        <v>11.324</v>
      </c>
      <c r="H68" s="2">
        <v>-218.185</v>
      </c>
    </row>
    <row r="69" spans="2:8" s="2" customFormat="1" x14ac:dyDescent="0.2">
      <c r="B69" s="2" t="s">
        <v>74</v>
      </c>
      <c r="D69" s="2">
        <v>41.046999999999997</v>
      </c>
      <c r="H69" s="2">
        <v>47.871000000000002</v>
      </c>
    </row>
    <row r="70" spans="2:8" s="2" customFormat="1" x14ac:dyDescent="0.2">
      <c r="B70" s="2" t="s">
        <v>75</v>
      </c>
      <c r="D70" s="2">
        <v>264.988</v>
      </c>
      <c r="H70" s="2">
        <v>532.06100000000004</v>
      </c>
    </row>
    <row r="71" spans="2:8" s="2" customFormat="1" x14ac:dyDescent="0.2">
      <c r="B71" s="2" t="s">
        <v>76</v>
      </c>
      <c r="D71" s="2">
        <v>-47.843000000000004</v>
      </c>
      <c r="H71" s="2">
        <v>-44.625999999999998</v>
      </c>
    </row>
    <row r="72" spans="2:8" s="2" customFormat="1" x14ac:dyDescent="0.2">
      <c r="B72" s="2" t="s">
        <v>77</v>
      </c>
      <c r="D72" s="2">
        <v>68.567999999999998</v>
      </c>
      <c r="H72" s="2">
        <v>247.84700000000001</v>
      </c>
    </row>
    <row r="73" spans="2:8" s="2" customFormat="1" x14ac:dyDescent="0.2">
      <c r="B73" s="2" t="s">
        <v>78</v>
      </c>
      <c r="D73" s="2">
        <v>65.126000000000005</v>
      </c>
      <c r="H73" s="2">
        <v>35.960999999999999</v>
      </c>
    </row>
    <row r="74" spans="2:8" s="2" customFormat="1" x14ac:dyDescent="0.2">
      <c r="B74" s="2" t="s">
        <v>79</v>
      </c>
      <c r="D74" s="2">
        <v>-0.47299999999999998</v>
      </c>
      <c r="H74" s="2">
        <v>-21.373999999999999</v>
      </c>
    </row>
    <row r="75" spans="2:8" s="2" customFormat="1" x14ac:dyDescent="0.2">
      <c r="B75" s="2" t="s">
        <v>84</v>
      </c>
      <c r="D75" s="2">
        <v>-220.97499999999999</v>
      </c>
      <c r="H75" s="2">
        <v>-428.99099999999999</v>
      </c>
    </row>
    <row r="76" spans="2:8" s="2" customFormat="1" x14ac:dyDescent="0.2">
      <c r="B76" s="2" t="s">
        <v>80</v>
      </c>
      <c r="D76" s="2">
        <v>-1664.0160000000001</v>
      </c>
      <c r="H76" s="2">
        <v>-2382.2950000000001</v>
      </c>
    </row>
    <row r="77" spans="2:8" s="2" customFormat="1" x14ac:dyDescent="0.2">
      <c r="B77" s="2" t="s">
        <v>83</v>
      </c>
      <c r="D77" s="2">
        <v>1284.077</v>
      </c>
      <c r="H77" s="2">
        <v>2411.683</v>
      </c>
    </row>
    <row r="78" spans="2:8" s="2" customFormat="1" x14ac:dyDescent="0.2">
      <c r="B78" s="2" t="s">
        <v>59</v>
      </c>
      <c r="D78" s="2">
        <v>175.67699999999999</v>
      </c>
      <c r="H78" s="2">
        <v>332.827</v>
      </c>
    </row>
    <row r="79" spans="2:8" s="2" customFormat="1" x14ac:dyDescent="0.2">
      <c r="B79" s="2" t="s">
        <v>60</v>
      </c>
      <c r="D79" s="2">
        <v>17.646000000000001</v>
      </c>
      <c r="H79" s="2">
        <v>10.324999999999999</v>
      </c>
    </row>
    <row r="80" spans="2:8" s="2" customFormat="1" x14ac:dyDescent="0.2">
      <c r="B80" s="2" t="s">
        <v>81</v>
      </c>
      <c r="D80" s="2">
        <v>-49.273000000000003</v>
      </c>
      <c r="H80" s="2">
        <v>-152.56200000000001</v>
      </c>
    </row>
    <row r="81" spans="2:8" s="4" customFormat="1" ht="15" x14ac:dyDescent="0.25">
      <c r="B81" s="4" t="s">
        <v>82</v>
      </c>
      <c r="D81" s="4">
        <f>+SUM(D66:D80)</f>
        <v>246.15400000000008</v>
      </c>
      <c r="H81" s="4">
        <f>+SUM(H66:H80)</f>
        <v>114.79699999999985</v>
      </c>
    </row>
    <row r="82" spans="2:8" s="3" customFormat="1" ht="15" x14ac:dyDescent="0.25">
      <c r="B82" s="4" t="s">
        <v>85</v>
      </c>
      <c r="D82" s="4">
        <f>+D81-D92</f>
        <v>312.7820000000001</v>
      </c>
      <c r="H82" s="4">
        <f>+H81-H92</f>
        <v>200.21699999999987</v>
      </c>
    </row>
    <row r="84" spans="2:8" s="2" customFormat="1" x14ac:dyDescent="0.2">
      <c r="B84" s="2" t="s">
        <v>86</v>
      </c>
      <c r="D84" s="2">
        <v>-1482.4860000000001</v>
      </c>
      <c r="H84" s="2">
        <v>-383.37200000000001</v>
      </c>
    </row>
    <row r="85" spans="2:8" s="2" customFormat="1" x14ac:dyDescent="0.2">
      <c r="B85" s="2" t="s">
        <v>87</v>
      </c>
      <c r="D85" s="2">
        <v>296.08199999999999</v>
      </c>
      <c r="H85" s="2">
        <v>540.91399999999999</v>
      </c>
    </row>
    <row r="86" spans="2:8" s="2" customFormat="1" x14ac:dyDescent="0.2">
      <c r="B86" s="2" t="s">
        <v>88</v>
      </c>
      <c r="D86" s="2">
        <v>374.76</v>
      </c>
      <c r="H86" s="2">
        <v>234.142</v>
      </c>
    </row>
    <row r="87" spans="2:8" s="2" customFormat="1" x14ac:dyDescent="0.2">
      <c r="B87" s="2" t="s">
        <v>89</v>
      </c>
      <c r="D87" s="2">
        <v>-387.46300000000002</v>
      </c>
    </row>
    <row r="88" spans="2:8" s="2" customFormat="1" x14ac:dyDescent="0.2">
      <c r="B88" s="2" t="s">
        <v>90</v>
      </c>
      <c r="D88" s="2">
        <v>334.2</v>
      </c>
      <c r="H88" s="2">
        <v>73</v>
      </c>
    </row>
    <row r="89" spans="2:8" s="2" customFormat="1" x14ac:dyDescent="0.2">
      <c r="B89" s="2" t="s">
        <v>91</v>
      </c>
      <c r="H89" s="2">
        <v>316.57600000000002</v>
      </c>
    </row>
    <row r="90" spans="2:8" s="2" customFormat="1" x14ac:dyDescent="0.2">
      <c r="B90" s="2" t="s">
        <v>92</v>
      </c>
      <c r="H90" s="2">
        <v>-7543.9960000000001</v>
      </c>
    </row>
    <row r="91" spans="2:8" s="2" customFormat="1" x14ac:dyDescent="0.2">
      <c r="B91" s="2" t="s">
        <v>93</v>
      </c>
      <c r="H91" s="2">
        <v>7688.4129999999996</v>
      </c>
    </row>
    <row r="92" spans="2:8" s="2" customFormat="1" x14ac:dyDescent="0.2">
      <c r="B92" s="2" t="s">
        <v>94</v>
      </c>
      <c r="D92" s="2">
        <v>-66.628</v>
      </c>
      <c r="H92" s="2">
        <v>-85.42</v>
      </c>
    </row>
    <row r="93" spans="2:8" s="2" customFormat="1" x14ac:dyDescent="0.2">
      <c r="B93" s="2" t="s">
        <v>95</v>
      </c>
      <c r="D93" s="2">
        <v>-170</v>
      </c>
    </row>
    <row r="94" spans="2:8" s="2" customFormat="1" x14ac:dyDescent="0.2">
      <c r="B94" s="2" t="s">
        <v>96</v>
      </c>
      <c r="D94" s="2">
        <v>-45.424999999999997</v>
      </c>
      <c r="H94" s="2">
        <v>-39.448</v>
      </c>
    </row>
    <row r="95" spans="2:8" s="2" customFormat="1" x14ac:dyDescent="0.2">
      <c r="B95" s="2" t="s">
        <v>97</v>
      </c>
      <c r="D95" s="2">
        <v>378.22500000000002</v>
      </c>
    </row>
    <row r="96" spans="2:8" s="2" customFormat="1" x14ac:dyDescent="0.2">
      <c r="B96" s="2" t="s">
        <v>98</v>
      </c>
      <c r="D96" s="2">
        <v>-164.304</v>
      </c>
      <c r="H96" s="2">
        <v>539.47400000000005</v>
      </c>
    </row>
    <row r="97" spans="2:8" s="4" customFormat="1" ht="15" x14ac:dyDescent="0.25">
      <c r="B97" s="4" t="s">
        <v>99</v>
      </c>
      <c r="D97" s="4">
        <f>+SUM(D84:D96)</f>
        <v>-933.03899999999976</v>
      </c>
      <c r="H97" s="4">
        <f>+SUM(H84:H96)</f>
        <v>1340.2829999999999</v>
      </c>
    </row>
    <row r="99" spans="2:8" s="2" customFormat="1" x14ac:dyDescent="0.2">
      <c r="B99" s="2" t="s">
        <v>100</v>
      </c>
      <c r="D99" s="2">
        <v>1971.828</v>
      </c>
    </row>
    <row r="100" spans="2:8" s="2" customFormat="1" x14ac:dyDescent="0.2">
      <c r="B100" s="2" t="s">
        <v>101</v>
      </c>
      <c r="D100" s="2">
        <v>681.54200000000003</v>
      </c>
    </row>
    <row r="101" spans="2:8" s="2" customFormat="1" x14ac:dyDescent="0.2">
      <c r="B101" s="2" t="s">
        <v>102</v>
      </c>
      <c r="D101" s="2">
        <v>-321.95299999999997</v>
      </c>
      <c r="H101" s="2">
        <v>-429.11700000000002</v>
      </c>
    </row>
    <row r="102" spans="2:8" s="2" customFormat="1" x14ac:dyDescent="0.2">
      <c r="B102" s="2" t="s">
        <v>103</v>
      </c>
      <c r="H102" s="2">
        <v>-1071.788</v>
      </c>
    </row>
    <row r="103" spans="2:8" s="2" customFormat="1" x14ac:dyDescent="0.2">
      <c r="B103" s="2" t="s">
        <v>104</v>
      </c>
      <c r="H103" s="2">
        <v>376.21899999999999</v>
      </c>
    </row>
    <row r="104" spans="2:8" s="2" customFormat="1" x14ac:dyDescent="0.2">
      <c r="B104" s="2" t="s">
        <v>105</v>
      </c>
      <c r="H104" s="2">
        <v>-282.55</v>
      </c>
    </row>
    <row r="105" spans="2:8" s="2" customFormat="1" x14ac:dyDescent="0.2">
      <c r="B105" s="2" t="s">
        <v>106</v>
      </c>
      <c r="D105" s="2">
        <v>72.155000000000001</v>
      </c>
      <c r="H105" s="2">
        <v>43.116999999999997</v>
      </c>
    </row>
    <row r="106" spans="2:8" s="2" customFormat="1" x14ac:dyDescent="0.2">
      <c r="B106" s="2" t="s">
        <v>107</v>
      </c>
      <c r="D106" s="2">
        <v>-292.22500000000002</v>
      </c>
      <c r="H106" s="2">
        <v>-4.2530000000000001</v>
      </c>
    </row>
    <row r="107" spans="2:8" s="2" customFormat="1" x14ac:dyDescent="0.2">
      <c r="B107" s="2" t="s">
        <v>108</v>
      </c>
      <c r="H107" s="2">
        <v>53.790999999999997</v>
      </c>
    </row>
    <row r="108" spans="2:8" s="2" customFormat="1" x14ac:dyDescent="0.2">
      <c r="B108" s="2" t="s">
        <v>109</v>
      </c>
      <c r="D108" s="2">
        <v>809.64499999999998</v>
      </c>
      <c r="H108" s="2">
        <v>74.382000000000005</v>
      </c>
    </row>
    <row r="109" spans="2:8" s="3" customFormat="1" ht="15" x14ac:dyDescent="0.25">
      <c r="B109" s="4" t="s">
        <v>110</v>
      </c>
      <c r="D109" s="4">
        <f>+SUM(D99:D108)</f>
        <v>2920.9920000000002</v>
      </c>
      <c r="H109" s="3">
        <f>+SUM(H101:H108)</f>
        <v>-1240.1989999999998</v>
      </c>
    </row>
    <row r="110" spans="2:8" s="3" customFormat="1" ht="15" x14ac:dyDescent="0.25">
      <c r="B110" s="4" t="s">
        <v>111</v>
      </c>
      <c r="D110" s="4">
        <f>+D109+D97+D81</f>
        <v>2234.1070000000004</v>
      </c>
      <c r="H110" s="4">
        <f>+H109+H97+H81</f>
        <v>214.88099999999991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2022-10-13T00:45:17Z</dcterms:created>
  <dcterms:modified xsi:type="dcterms:W3CDTF">2022-10-18T19:17:14Z</dcterms:modified>
</cp:coreProperties>
</file>