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15E4EA62-9500-4669-AFF7-27B1E8F27CB4}" xr6:coauthVersionLast="47" xr6:coauthVersionMax="47" xr10:uidLastSave="{00000000-0000-0000-0000-000000000000}"/>
  <bookViews>
    <workbookView xWindow="13020" yWindow="690" windowWidth="12570" windowHeight="14280" xr2:uid="{87F1C3EE-E525-434A-A69C-75BBB2475A79}"/>
  </bookViews>
  <sheets>
    <sheet name="Main" sheetId="1" r:id="rId1"/>
    <sheet name="Model" sheetId="2" r:id="rId2"/>
    <sheet name="Regre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0" i="2" l="1"/>
  <c r="K60" i="2"/>
  <c r="J60" i="2"/>
  <c r="I60" i="2"/>
  <c r="H60" i="2"/>
  <c r="G60" i="2"/>
  <c r="F60" i="2"/>
  <c r="E60" i="2"/>
  <c r="K18" i="1" l="1"/>
  <c r="K17" i="1"/>
  <c r="L108" i="2"/>
  <c r="L88" i="2"/>
  <c r="L96" i="2"/>
  <c r="L56" i="2"/>
  <c r="L46" i="2"/>
  <c r="L38" i="2"/>
  <c r="L61" i="2"/>
  <c r="L35" i="2"/>
  <c r="L34" i="2"/>
  <c r="L33" i="2"/>
  <c r="L31" i="2"/>
  <c r="L30" i="2"/>
  <c r="L16" i="2"/>
  <c r="L10" i="2"/>
  <c r="L66" i="2" s="1"/>
  <c r="L14" i="2"/>
  <c r="L6" i="2"/>
  <c r="L65" i="2" s="1"/>
  <c r="M3" i="2"/>
  <c r="L37" i="2" l="1"/>
  <c r="L47" i="2"/>
  <c r="L109" i="2"/>
  <c r="L48" i="2"/>
  <c r="L62" i="2" s="1"/>
  <c r="L63" i="2" s="1"/>
  <c r="L11" i="2"/>
  <c r="R48" i="2"/>
  <c r="L15" i="2" l="1"/>
  <c r="L24" i="2"/>
  <c r="R45" i="2"/>
  <c r="V22" i="2"/>
  <c r="V19" i="2"/>
  <c r="O7" i="2"/>
  <c r="M7" i="2"/>
  <c r="N7" i="2"/>
  <c r="N33" i="2" s="1"/>
  <c r="N8" i="2"/>
  <c r="O8" i="2" s="1"/>
  <c r="O34" i="2" s="1"/>
  <c r="M13" i="2"/>
  <c r="N13" i="2" s="1"/>
  <c r="O12" i="2"/>
  <c r="O35" i="2" s="1"/>
  <c r="N12" i="2"/>
  <c r="N35" i="2" s="1"/>
  <c r="M12" i="2"/>
  <c r="M35" i="2" s="1"/>
  <c r="I35" i="2"/>
  <c r="J35" i="2"/>
  <c r="H35" i="2"/>
  <c r="G35" i="2"/>
  <c r="K35" i="2"/>
  <c r="M8" i="2"/>
  <c r="M34" i="2" s="1"/>
  <c r="M9" i="2"/>
  <c r="K34" i="2"/>
  <c r="J34" i="2"/>
  <c r="I34" i="2"/>
  <c r="H34" i="2"/>
  <c r="G34" i="2"/>
  <c r="J33" i="2"/>
  <c r="I33" i="2"/>
  <c r="H33" i="2"/>
  <c r="G33" i="2"/>
  <c r="K33" i="2"/>
  <c r="M5" i="2"/>
  <c r="N5" i="2" s="1"/>
  <c r="O4" i="2"/>
  <c r="O31" i="2" s="1"/>
  <c r="N4" i="2"/>
  <c r="N31" i="2" s="1"/>
  <c r="M4" i="2"/>
  <c r="M31" i="2" s="1"/>
  <c r="I31" i="2"/>
  <c r="J31" i="2"/>
  <c r="H31" i="2"/>
  <c r="G31" i="2"/>
  <c r="K31" i="2"/>
  <c r="J30" i="2"/>
  <c r="I30" i="2"/>
  <c r="H30" i="2"/>
  <c r="G30" i="2"/>
  <c r="K30" i="2"/>
  <c r="O3" i="2"/>
  <c r="O30" i="2" s="1"/>
  <c r="N3" i="2"/>
  <c r="E56" i="2"/>
  <c r="E61" i="2" s="1"/>
  <c r="E46" i="2"/>
  <c r="E38" i="2"/>
  <c r="E47" i="2" s="1"/>
  <c r="E96" i="2"/>
  <c r="F108" i="2"/>
  <c r="F96" i="2"/>
  <c r="F88" i="2"/>
  <c r="F56" i="2"/>
  <c r="F61" i="2" s="1"/>
  <c r="F46" i="2"/>
  <c r="F38" i="2"/>
  <c r="F47" i="2" s="1"/>
  <c r="D4" i="1"/>
  <c r="T22" i="2"/>
  <c r="T19" i="2"/>
  <c r="T18" i="2"/>
  <c r="T13" i="2"/>
  <c r="T12" i="2"/>
  <c r="T9" i="2"/>
  <c r="T8" i="2"/>
  <c r="T7" i="2"/>
  <c r="T5" i="2"/>
  <c r="T4" i="2"/>
  <c r="U22" i="2"/>
  <c r="U19" i="2"/>
  <c r="U18" i="2"/>
  <c r="U13" i="2"/>
  <c r="U12" i="2"/>
  <c r="U9" i="2"/>
  <c r="U8" i="2"/>
  <c r="U7" i="2"/>
  <c r="U5" i="2"/>
  <c r="U4" i="2"/>
  <c r="U3" i="2"/>
  <c r="C16" i="2"/>
  <c r="C14" i="2"/>
  <c r="C10" i="2"/>
  <c r="C6" i="2"/>
  <c r="G56" i="2"/>
  <c r="G46" i="2"/>
  <c r="G38" i="2"/>
  <c r="G47" i="2" s="1"/>
  <c r="D108" i="2"/>
  <c r="D96" i="2"/>
  <c r="D88" i="2"/>
  <c r="H108" i="2"/>
  <c r="H96" i="2"/>
  <c r="H88" i="2"/>
  <c r="H56" i="2"/>
  <c r="H61" i="2" s="1"/>
  <c r="H46" i="2"/>
  <c r="H38" i="2"/>
  <c r="H47" i="2" s="1"/>
  <c r="D16" i="2"/>
  <c r="D14" i="2"/>
  <c r="D10" i="2"/>
  <c r="D6" i="2"/>
  <c r="H16" i="2"/>
  <c r="H14" i="2"/>
  <c r="H10" i="2"/>
  <c r="H66" i="2" s="1"/>
  <c r="H6" i="2"/>
  <c r="E108" i="2"/>
  <c r="E88" i="2"/>
  <c r="I108" i="2"/>
  <c r="I96" i="2"/>
  <c r="I88" i="2"/>
  <c r="I56" i="2"/>
  <c r="I61" i="2" s="1"/>
  <c r="I46" i="2"/>
  <c r="I38" i="2"/>
  <c r="I47" i="2" s="1"/>
  <c r="E16" i="2"/>
  <c r="E14" i="2"/>
  <c r="E10" i="2"/>
  <c r="E6" i="2"/>
  <c r="I16" i="2"/>
  <c r="I14" i="2"/>
  <c r="I10" i="2"/>
  <c r="I66" i="2" s="1"/>
  <c r="I6" i="2"/>
  <c r="I65" i="2" s="1"/>
  <c r="J88" i="2"/>
  <c r="J108" i="2"/>
  <c r="J96" i="2"/>
  <c r="J56" i="2"/>
  <c r="J61" i="2" s="1"/>
  <c r="J46" i="2"/>
  <c r="J38" i="2"/>
  <c r="J47" i="2" s="1"/>
  <c r="F16" i="2"/>
  <c r="F14" i="2"/>
  <c r="F10" i="2"/>
  <c r="F6" i="2"/>
  <c r="J16" i="2"/>
  <c r="J14" i="2"/>
  <c r="J10" i="2"/>
  <c r="J66" i="2" s="1"/>
  <c r="J6" i="2"/>
  <c r="J65" i="2" s="1"/>
  <c r="G108" i="2"/>
  <c r="G96" i="2"/>
  <c r="G88" i="2"/>
  <c r="K108" i="2"/>
  <c r="K96" i="2"/>
  <c r="K88" i="2"/>
  <c r="K56" i="2"/>
  <c r="K61" i="2"/>
  <c r="K46" i="2"/>
  <c r="K38" i="2"/>
  <c r="K47" i="2" s="1"/>
  <c r="G16" i="2"/>
  <c r="G14" i="2"/>
  <c r="G10" i="2"/>
  <c r="G66" i="2" s="1"/>
  <c r="G6" i="2"/>
  <c r="K16" i="2"/>
  <c r="M16" i="2" s="1"/>
  <c r="N16" i="2" s="1"/>
  <c r="O16" i="2" s="1"/>
  <c r="K14" i="2"/>
  <c r="K10" i="2"/>
  <c r="K66" i="2" s="1"/>
  <c r="K6" i="2"/>
  <c r="K65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K16" i="1"/>
  <c r="G28" i="2" l="1"/>
  <c r="G65" i="2"/>
  <c r="L28" i="2"/>
  <c r="H65" i="2"/>
  <c r="V3" i="2"/>
  <c r="N34" i="2"/>
  <c r="N30" i="2"/>
  <c r="V12" i="2"/>
  <c r="V4" i="2"/>
  <c r="M10" i="2"/>
  <c r="M33" i="2"/>
  <c r="L17" i="2"/>
  <c r="L25" i="2"/>
  <c r="N9" i="2"/>
  <c r="O9" i="2" s="1"/>
  <c r="O10" i="2" s="1"/>
  <c r="V16" i="2"/>
  <c r="V7" i="2"/>
  <c r="V8" i="2"/>
  <c r="M6" i="2"/>
  <c r="K37" i="2"/>
  <c r="I28" i="2"/>
  <c r="O13" i="2"/>
  <c r="O14" i="2" s="1"/>
  <c r="N14" i="2"/>
  <c r="M14" i="2"/>
  <c r="O33" i="2"/>
  <c r="O5" i="2"/>
  <c r="O6" i="2" s="1"/>
  <c r="N6" i="2"/>
  <c r="N28" i="2" s="1"/>
  <c r="E48" i="2"/>
  <c r="E62" i="2" s="1"/>
  <c r="E63" i="2" s="1"/>
  <c r="M30" i="2"/>
  <c r="F37" i="2"/>
  <c r="H48" i="2"/>
  <c r="H62" i="2" s="1"/>
  <c r="H63" i="2" s="1"/>
  <c r="J48" i="2"/>
  <c r="J62" i="2" s="1"/>
  <c r="J63" i="2" s="1"/>
  <c r="C11" i="2"/>
  <c r="C24" i="2" s="1"/>
  <c r="U14" i="2"/>
  <c r="T10" i="2"/>
  <c r="T14" i="2"/>
  <c r="U10" i="2"/>
  <c r="U16" i="2"/>
  <c r="U6" i="2"/>
  <c r="H28" i="2"/>
  <c r="T16" i="2"/>
  <c r="T6" i="2"/>
  <c r="I48" i="2"/>
  <c r="I62" i="2" s="1"/>
  <c r="I63" i="2" s="1"/>
  <c r="F48" i="2"/>
  <c r="F62" i="2" s="1"/>
  <c r="F63" i="2" s="1"/>
  <c r="E37" i="2"/>
  <c r="F109" i="2"/>
  <c r="G48" i="2"/>
  <c r="G37" i="2"/>
  <c r="G61" i="2"/>
  <c r="D109" i="2"/>
  <c r="H109" i="2"/>
  <c r="H37" i="2"/>
  <c r="D11" i="2"/>
  <c r="H11" i="2"/>
  <c r="I37" i="2"/>
  <c r="J28" i="2"/>
  <c r="I109" i="2"/>
  <c r="E109" i="2"/>
  <c r="E11" i="2"/>
  <c r="I11" i="2"/>
  <c r="K19" i="1"/>
  <c r="K11" i="2"/>
  <c r="K15" i="2" s="1"/>
  <c r="K25" i="2" s="1"/>
  <c r="K48" i="2"/>
  <c r="K62" i="2" s="1"/>
  <c r="K63" i="2" s="1"/>
  <c r="J37" i="2"/>
  <c r="J109" i="2"/>
  <c r="K109" i="2"/>
  <c r="F11" i="2"/>
  <c r="J11" i="2"/>
  <c r="G109" i="2"/>
  <c r="K28" i="2"/>
  <c r="G11" i="2"/>
  <c r="G62" i="2" l="1"/>
  <c r="G63" i="2" s="1"/>
  <c r="N10" i="2"/>
  <c r="V10" i="2" s="1"/>
  <c r="L20" i="2"/>
  <c r="L26" i="2"/>
  <c r="M28" i="2"/>
  <c r="V6" i="2"/>
  <c r="V28" i="2" s="1"/>
  <c r="V9" i="2"/>
  <c r="V5" i="2"/>
  <c r="O11" i="2"/>
  <c r="O24" i="2" s="1"/>
  <c r="O28" i="2"/>
  <c r="V14" i="2"/>
  <c r="V13" i="2"/>
  <c r="M11" i="2"/>
  <c r="M24" i="2" s="1"/>
  <c r="C15" i="2"/>
  <c r="C17" i="2" s="1"/>
  <c r="U28" i="2"/>
  <c r="H15" i="2"/>
  <c r="H24" i="2"/>
  <c r="U11" i="2"/>
  <c r="U24" i="2" s="1"/>
  <c r="D15" i="2"/>
  <c r="D24" i="2"/>
  <c r="T11" i="2"/>
  <c r="T24" i="2" s="1"/>
  <c r="K24" i="2"/>
  <c r="I15" i="2"/>
  <c r="I24" i="2"/>
  <c r="E15" i="2"/>
  <c r="E24" i="2"/>
  <c r="K17" i="2"/>
  <c r="K20" i="2" s="1"/>
  <c r="F15" i="2"/>
  <c r="F24" i="2"/>
  <c r="J15" i="2"/>
  <c r="J24" i="2"/>
  <c r="G15" i="2"/>
  <c r="G24" i="2"/>
  <c r="L21" i="2" l="1"/>
  <c r="L69" i="2"/>
  <c r="N11" i="2"/>
  <c r="V11" i="2" s="1"/>
  <c r="V24" i="2" s="1"/>
  <c r="M15" i="2"/>
  <c r="O15" i="2"/>
  <c r="O25" i="2" s="1"/>
  <c r="O17" i="2"/>
  <c r="O18" i="2" s="1"/>
  <c r="C25" i="2"/>
  <c r="U15" i="2"/>
  <c r="U25" i="2" s="1"/>
  <c r="D17" i="2"/>
  <c r="D25" i="2"/>
  <c r="C20" i="2"/>
  <c r="C26" i="2"/>
  <c r="T15" i="2"/>
  <c r="T25" i="2" s="1"/>
  <c r="H17" i="2"/>
  <c r="H25" i="2"/>
  <c r="K26" i="2"/>
  <c r="E17" i="2"/>
  <c r="E25" i="2"/>
  <c r="I17" i="2"/>
  <c r="I25" i="2"/>
  <c r="K21" i="2"/>
  <c r="K69" i="2"/>
  <c r="J17" i="2"/>
  <c r="J25" i="2"/>
  <c r="F17" i="2"/>
  <c r="F25" i="2"/>
  <c r="G17" i="2"/>
  <c r="G25" i="2"/>
  <c r="N15" i="2" l="1"/>
  <c r="N25" i="2" s="1"/>
  <c r="N24" i="2"/>
  <c r="M17" i="2"/>
  <c r="M18" i="2" s="1"/>
  <c r="M25" i="2"/>
  <c r="V15" i="2"/>
  <c r="V25" i="2" s="1"/>
  <c r="O20" i="2"/>
  <c r="O21" i="2" s="1"/>
  <c r="O26" i="2"/>
  <c r="T17" i="2"/>
  <c r="T26" i="2" s="1"/>
  <c r="H20" i="2"/>
  <c r="H26" i="2"/>
  <c r="U17" i="2"/>
  <c r="U26" i="2" s="1"/>
  <c r="C21" i="2"/>
  <c r="D20" i="2"/>
  <c r="D26" i="2"/>
  <c r="I20" i="2"/>
  <c r="I26" i="2"/>
  <c r="E20" i="2"/>
  <c r="E26" i="2"/>
  <c r="F20" i="2"/>
  <c r="F26" i="2"/>
  <c r="J20" i="2"/>
  <c r="J26" i="2"/>
  <c r="G20" i="2"/>
  <c r="G26" i="2"/>
  <c r="N17" i="2" l="1"/>
  <c r="V17" i="2" s="1"/>
  <c r="M20" i="2"/>
  <c r="M37" i="2" s="1"/>
  <c r="U20" i="2"/>
  <c r="D21" i="2"/>
  <c r="D69" i="2"/>
  <c r="T20" i="2"/>
  <c r="F21" i="2"/>
  <c r="F69" i="2"/>
  <c r="H21" i="2"/>
  <c r="H69" i="2"/>
  <c r="E21" i="2"/>
  <c r="E69" i="2"/>
  <c r="I21" i="2"/>
  <c r="I69" i="2"/>
  <c r="J21" i="2"/>
  <c r="J69" i="2"/>
  <c r="G21" i="2"/>
  <c r="G69" i="2"/>
  <c r="N18" i="2" l="1"/>
  <c r="N20" i="2" s="1"/>
  <c r="N21" i="2" s="1"/>
  <c r="U21" i="2"/>
  <c r="M21" i="2"/>
  <c r="M26" i="2"/>
  <c r="T21" i="2"/>
  <c r="V18" i="2" l="1"/>
  <c r="V26" i="2" s="1"/>
  <c r="N26" i="2"/>
  <c r="N37" i="2"/>
  <c r="O37" i="2" s="1"/>
  <c r="V20" i="2"/>
  <c r="V21" i="2"/>
  <c r="W20" i="2" l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R44" i="2" l="1"/>
  <c r="R46" i="2" s="1"/>
  <c r="R49" i="2" s="1"/>
</calcChain>
</file>

<file path=xl/sharedStrings.xml><?xml version="1.0" encoding="utf-8"?>
<sst xmlns="http://schemas.openxmlformats.org/spreadsheetml/2006/main" count="152" uniqueCount="133">
  <si>
    <t>Shares</t>
  </si>
  <si>
    <t>MC</t>
  </si>
  <si>
    <t>Cash</t>
  </si>
  <si>
    <t>Debt</t>
  </si>
  <si>
    <t>EV</t>
  </si>
  <si>
    <t>Price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</si>
  <si>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</si>
  <si>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</si>
  <si>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</si>
  <si>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</si>
  <si>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</si>
  <si>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</si>
  <si>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</si>
  <si>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</si>
  <si>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</si>
  <si>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</si>
  <si>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</si>
  <si>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</si>
  <si>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</si>
  <si>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Company Operated Stores</t>
  </si>
  <si>
    <t>Licnesed Stores</t>
  </si>
  <si>
    <t>Other</t>
  </si>
  <si>
    <t>Revenue</t>
  </si>
  <si>
    <t>Product &amp; Distribution</t>
  </si>
  <si>
    <t>Store Operating Expenses</t>
  </si>
  <si>
    <t>Other Expenses</t>
  </si>
  <si>
    <t>COGS</t>
  </si>
  <si>
    <t>Gross Profit</t>
  </si>
  <si>
    <t>G&amp;A</t>
  </si>
  <si>
    <t>Operating Profit</t>
  </si>
  <si>
    <t>Operating Expenses</t>
  </si>
  <si>
    <t>Investments(Income)</t>
  </si>
  <si>
    <t>Interest Income</t>
  </si>
  <si>
    <t>Pretax Income</t>
  </si>
  <si>
    <t>Taxes</t>
  </si>
  <si>
    <t>NI</t>
  </si>
  <si>
    <t>Net Income</t>
  </si>
  <si>
    <t>EPS</t>
  </si>
  <si>
    <t>Gross Margin %</t>
  </si>
  <si>
    <t>Operating Margin %</t>
  </si>
  <si>
    <t>Tax Rate %</t>
  </si>
  <si>
    <t xml:space="preserve">Revenue Y/Y </t>
  </si>
  <si>
    <t>A/R</t>
  </si>
  <si>
    <t>Inventory</t>
  </si>
  <si>
    <t>Prepaids</t>
  </si>
  <si>
    <t>PP&amp;E</t>
  </si>
  <si>
    <t>Operating Lease</t>
  </si>
  <si>
    <t>D/T</t>
  </si>
  <si>
    <t>OLTA</t>
  </si>
  <si>
    <t>Intangibles</t>
  </si>
  <si>
    <t>Total Assets</t>
  </si>
  <si>
    <t>Net Cash</t>
  </si>
  <si>
    <t>Accounts Payable</t>
  </si>
  <si>
    <t>Accured Liabilties</t>
  </si>
  <si>
    <t>Pension</t>
  </si>
  <si>
    <t>Deferred Revenue</t>
  </si>
  <si>
    <t>LT Deferred Revenue</t>
  </si>
  <si>
    <t>OLTL</t>
  </si>
  <si>
    <t>Total Liabilties</t>
  </si>
  <si>
    <t>Model NI</t>
  </si>
  <si>
    <t>Reported NI</t>
  </si>
  <si>
    <t>D&amp;A</t>
  </si>
  <si>
    <t>Income Earned Investment</t>
  </si>
  <si>
    <t>Distribution Received Investment</t>
  </si>
  <si>
    <t>SBC</t>
  </si>
  <si>
    <t>Non Cash Lease</t>
  </si>
  <si>
    <t>Retirement</t>
  </si>
  <si>
    <t>A/P</t>
  </si>
  <si>
    <t>Deferred revenue</t>
  </si>
  <si>
    <t>Operating lease</t>
  </si>
  <si>
    <t>CFFO</t>
  </si>
  <si>
    <t>Investment Purhcases</t>
  </si>
  <si>
    <t>Investment Sales</t>
  </si>
  <si>
    <t>Investment Maturity</t>
  </si>
  <si>
    <t>Capex</t>
  </si>
  <si>
    <t>CFFI</t>
  </si>
  <si>
    <t>Issuance of Commercial Paper</t>
  </si>
  <si>
    <t>Issuance of ST Debt</t>
  </si>
  <si>
    <t>Repayment of ST Debt</t>
  </si>
  <si>
    <t>Repayment of LT Debt</t>
  </si>
  <si>
    <t>Repurchase of Common Stock</t>
  </si>
  <si>
    <t>SB Awards Tax Withholdings</t>
  </si>
  <si>
    <t>CFFF</t>
  </si>
  <si>
    <t>CF</t>
  </si>
  <si>
    <t>Cash Dividends paid</t>
  </si>
  <si>
    <t>Starbucks is the premier roaster, marketer and retailer of specialty coffee in the world, operating in 84 markets</t>
  </si>
  <si>
    <t>Rachel A Gonzalez - VP &amp; General Counsel since April 2018</t>
  </si>
  <si>
    <t>Rachel Ruggeri - VP, CFO since Feburary 2021</t>
  </si>
  <si>
    <t>Angela Lis - VP, CPO since November 2020</t>
  </si>
  <si>
    <t>John Culver -  CFO since July 2021</t>
  </si>
  <si>
    <t>Michael Conway - International &amp; Channel Development since June 2021</t>
  </si>
  <si>
    <t>Gina Woods - VP, Public Affairs since Janurary 2021</t>
  </si>
  <si>
    <t xml:space="preserve">Kevin R Johnson - President &amp; CEO since April 2017, resigning April 4th </t>
  </si>
  <si>
    <t>Howard Schultz - Current CEO, since 1987</t>
  </si>
  <si>
    <t>Tax Payable</t>
  </si>
  <si>
    <t>Diverstiture of Certain Operations</t>
  </si>
  <si>
    <t>Divertisture of Operations</t>
  </si>
  <si>
    <t>Issuance of LT Debt</t>
  </si>
  <si>
    <t>Issuance of Common Stock</t>
  </si>
  <si>
    <t>Business</t>
  </si>
  <si>
    <t>Description</t>
  </si>
  <si>
    <t>% of Revenue</t>
  </si>
  <si>
    <t>Competition</t>
  </si>
  <si>
    <t>Company-Operated Stores</t>
  </si>
  <si>
    <t>Licensed Stores</t>
  </si>
  <si>
    <t>NA</t>
  </si>
  <si>
    <t>International</t>
  </si>
  <si>
    <t xml:space="preserve"> Beverages</t>
  </si>
  <si>
    <t xml:space="preserve"> Food</t>
  </si>
  <si>
    <t xml:space="preserve"> Other</t>
  </si>
  <si>
    <t>Cookies, Cakepops</t>
  </si>
  <si>
    <t>Shitty Breakfast Sandwiches</t>
  </si>
  <si>
    <t>Everything Starbucks</t>
  </si>
  <si>
    <t>ROCI</t>
  </si>
  <si>
    <t>Maturity</t>
  </si>
  <si>
    <t>Discount</t>
  </si>
  <si>
    <t>Company Operated Stores Y/Y</t>
  </si>
  <si>
    <t>Licensed Stores Y/Y</t>
  </si>
  <si>
    <t>Cost of Production Y/Y</t>
  </si>
  <si>
    <t>Cost of Operations Y/y</t>
  </si>
  <si>
    <t>G&amp;A Y/Y</t>
  </si>
  <si>
    <t>NPV</t>
  </si>
  <si>
    <t>shares</t>
  </si>
  <si>
    <t>per share</t>
  </si>
  <si>
    <t>cur share</t>
  </si>
  <si>
    <t xml:space="preserve"> </t>
  </si>
  <si>
    <t>Actual</t>
  </si>
  <si>
    <t>S/E</t>
  </si>
  <si>
    <t>L + S/E</t>
  </si>
  <si>
    <t>Cash Paid to Suppliers</t>
  </si>
  <si>
    <t>Cash Received From Customers</t>
  </si>
  <si>
    <t>Current Assets</t>
  </si>
  <si>
    <t>Current Liabilties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</si>
</sst>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1" fillId="0" borderId="0" xfId="0" applyNumberFormat="1" applyFont="1"/>
    <xf numFmtId="18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28575</xdr:rowOff>
    </xdr:from>
    <xdr:to>
      <xdr:col>12</xdr:col>
      <xdr:colOff>28575</xdr:colOff>
      <xdr:row>52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110B5D-F3F5-4721-8FFE-2A4426CF0694}"/>
            </a:ext>
          </a:extLst>
        </xdr:cNvPr>
        <xdr:cNvCxnSpPr/>
      </xdr:nvCxnSpPr>
      <xdr:spPr>
        <a:xfrm>
          <a:off x="8686800" y="28575"/>
          <a:ext cx="0" cy="810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0</xdr:row>
      <xdr:rowOff>28575</xdr:rowOff>
    </xdr:from>
    <xdr:to>
      <xdr:col>21</xdr:col>
      <xdr:colOff>9525</xdr:colOff>
      <xdr:row>49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EACAEE6-90D4-4DAA-B7D5-EA3B3959269B}"/>
            </a:ext>
          </a:extLst>
        </xdr:cNvPr>
        <xdr:cNvCxnSpPr/>
      </xdr:nvCxnSpPr>
      <xdr:spPr>
        <a:xfrm>
          <a:off x="14839950" y="28575"/>
          <a:ext cx="0" cy="7581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B038-EBFE-4132-B01A-C079FB8963C5}">
  <dimension ref="B2:L34"/>
  <sheetViews>
    <sheetView tabSelected="1" topLeftCell="E1" zoomScaleNormal="100" workbookViewId="0">
      <selection activeCell="M25" sqref="M25"/>
    </sheetView>
  </sheetViews>
  <sheetFormatPr defaultRowHeight="14.25" x14ac:dyDescent="0.2"/>
  <cols>
    <col min="2" max="2" width="23.25" bestFit="1" customWidth="1"/>
    <col min="3" max="4" width="8.5" customWidth="1"/>
    <col min="5" max="5" width="24.5" bestFit="1" customWidth="1"/>
    <col min="6" max="6" width="12.25" bestFit="1" customWidth="1"/>
    <col min="7" max="7" width="10.625" bestFit="1" customWidth="1"/>
    <col min="10" max="10" width="9" style="8"/>
  </cols>
  <sheetData>
    <row r="2" spans="2:12" ht="15" thickBot="1" x14ac:dyDescent="0.25"/>
    <row r="3" spans="2:12" ht="15" thickBot="1" x14ac:dyDescent="0.25">
      <c r="B3" s="15" t="s">
        <v>99</v>
      </c>
      <c r="C3" s="16" t="s">
        <v>105</v>
      </c>
      <c r="D3" s="16" t="s">
        <v>106</v>
      </c>
      <c r="E3" s="16" t="s">
        <v>100</v>
      </c>
      <c r="F3" s="16" t="s">
        <v>101</v>
      </c>
      <c r="G3" s="17" t="s">
        <v>102</v>
      </c>
    </row>
    <row r="4" spans="2:12" x14ac:dyDescent="0.2">
      <c r="B4" s="10" t="s">
        <v>103</v>
      </c>
      <c r="C4">
        <v>8941</v>
      </c>
      <c r="D4">
        <f>1159+9+6528</f>
        <v>7696</v>
      </c>
      <c r="G4" s="11"/>
    </row>
    <row r="5" spans="2:12" x14ac:dyDescent="0.2">
      <c r="B5" s="10" t="s">
        <v>107</v>
      </c>
      <c r="E5" t="s">
        <v>112</v>
      </c>
      <c r="G5" s="11"/>
    </row>
    <row r="6" spans="2:12" x14ac:dyDescent="0.2">
      <c r="B6" s="10" t="s">
        <v>108</v>
      </c>
      <c r="E6" t="s">
        <v>111</v>
      </c>
      <c r="G6" s="11"/>
    </row>
    <row r="7" spans="2:12" x14ac:dyDescent="0.2">
      <c r="B7" s="10" t="s">
        <v>109</v>
      </c>
      <c r="E7" t="s">
        <v>110</v>
      </c>
      <c r="G7" s="11"/>
    </row>
    <row r="8" spans="2:12" x14ac:dyDescent="0.2">
      <c r="B8" s="10" t="s">
        <v>104</v>
      </c>
      <c r="G8" s="11"/>
    </row>
    <row r="9" spans="2:12" x14ac:dyDescent="0.2">
      <c r="B9" s="12" t="s">
        <v>21</v>
      </c>
      <c r="C9" s="13"/>
      <c r="D9" s="13"/>
      <c r="E9" s="13"/>
      <c r="F9" s="13"/>
      <c r="G9" s="14"/>
    </row>
    <row r="14" spans="2:12" x14ac:dyDescent="0.2">
      <c r="J14" t="s">
        <v>5</v>
      </c>
      <c r="K14">
        <v>83.36</v>
      </c>
      <c r="L14" s="8"/>
    </row>
    <row r="15" spans="2:12" x14ac:dyDescent="0.2">
      <c r="J15" t="s">
        <v>0</v>
      </c>
      <c r="K15" s="1">
        <v>1147.4000000000001</v>
      </c>
      <c r="L15" s="8" t="s">
        <v>15</v>
      </c>
    </row>
    <row r="16" spans="2:12" x14ac:dyDescent="0.2">
      <c r="J16" t="s">
        <v>1</v>
      </c>
      <c r="K16" s="1">
        <f>+K14*K15</f>
        <v>95647.26400000001</v>
      </c>
      <c r="L16" s="8"/>
    </row>
    <row r="17" spans="10:12" x14ac:dyDescent="0.2">
      <c r="J17" t="s">
        <v>2</v>
      </c>
      <c r="K17" s="1">
        <f>3177.5+76.9+302.7+292.5</f>
        <v>3849.6</v>
      </c>
      <c r="L17" s="8" t="s">
        <v>15</v>
      </c>
    </row>
    <row r="18" spans="10:12" x14ac:dyDescent="0.2">
      <c r="J18" t="s">
        <v>3</v>
      </c>
      <c r="K18" s="1">
        <f>200+999.1+13930.8</f>
        <v>15129.9</v>
      </c>
      <c r="L18" s="8" t="s">
        <v>15</v>
      </c>
    </row>
    <row r="19" spans="10:12" x14ac:dyDescent="0.2">
      <c r="J19" t="s">
        <v>4</v>
      </c>
      <c r="K19" s="1">
        <f>+K16-K17+K18</f>
        <v>106927.564</v>
      </c>
      <c r="L19" s="8"/>
    </row>
    <row r="20" spans="10:12" x14ac:dyDescent="0.2">
      <c r="J20"/>
    </row>
    <row r="21" spans="10:12" x14ac:dyDescent="0.2">
      <c r="J21"/>
    </row>
    <row r="22" spans="10:12" x14ac:dyDescent="0.2">
      <c r="J22"/>
    </row>
    <row r="23" spans="10:12" x14ac:dyDescent="0.2">
      <c r="J23"/>
    </row>
    <row r="24" spans="10:12" x14ac:dyDescent="0.2">
      <c r="J24" t="s">
        <v>85</v>
      </c>
    </row>
    <row r="25" spans="10:12" x14ac:dyDescent="0.2">
      <c r="J25"/>
    </row>
    <row r="26" spans="10:12" x14ac:dyDescent="0.2">
      <c r="J26"/>
    </row>
    <row r="27" spans="10:12" x14ac:dyDescent="0.2">
      <c r="J27" t="s">
        <v>92</v>
      </c>
    </row>
    <row r="28" spans="10:12" x14ac:dyDescent="0.2">
      <c r="J28" t="s">
        <v>93</v>
      </c>
    </row>
    <row r="29" spans="10:12" x14ac:dyDescent="0.2">
      <c r="J29" t="s">
        <v>89</v>
      </c>
    </row>
    <row r="30" spans="10:12" x14ac:dyDescent="0.2">
      <c r="J30" t="s">
        <v>90</v>
      </c>
    </row>
    <row r="31" spans="10:12" x14ac:dyDescent="0.2">
      <c r="J31" t="s">
        <v>86</v>
      </c>
    </row>
    <row r="32" spans="10:12" x14ac:dyDescent="0.2">
      <c r="J32" t="s">
        <v>87</v>
      </c>
    </row>
    <row r="33" spans="10:10" x14ac:dyDescent="0.2">
      <c r="J33" t="s">
        <v>88</v>
      </c>
    </row>
    <row r="34" spans="10:10" x14ac:dyDescent="0.2">
      <c r="J34" t="s">
        <v>91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442A-F364-4F93-8234-860C22B47BB9}">
  <dimension ref="A1:CC109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RowHeight="14.25" x14ac:dyDescent="0.2"/>
  <cols>
    <col min="1" max="1" width="4.625" bestFit="1" customWidth="1"/>
    <col min="2" max="2" width="28" bestFit="1" customWidth="1"/>
    <col min="18" max="18" width="17.125" bestFit="1" customWidth="1"/>
  </cols>
  <sheetData>
    <row r="1" spans="1:33" ht="15" x14ac:dyDescent="0.25">
      <c r="A1" s="2" t="s">
        <v>18</v>
      </c>
      <c r="L1" s="3" t="s">
        <v>126</v>
      </c>
    </row>
    <row r="2" spans="1:33" x14ac:dyDescent="0.2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15</v>
      </c>
      <c r="N2" t="s">
        <v>16</v>
      </c>
      <c r="O2" t="s">
        <v>17</v>
      </c>
      <c r="R2" s="9">
        <v>2018</v>
      </c>
      <c r="S2" s="9">
        <f>+R2+1</f>
        <v>2019</v>
      </c>
      <c r="T2" s="9">
        <f t="shared" ref="T2:AG2" si="0">+S2+1</f>
        <v>2020</v>
      </c>
      <c r="U2" s="9">
        <f t="shared" si="0"/>
        <v>2021</v>
      </c>
      <c r="V2" s="9">
        <f t="shared" si="0"/>
        <v>2022</v>
      </c>
      <c r="W2" s="9">
        <f t="shared" si="0"/>
        <v>2023</v>
      </c>
      <c r="X2" s="9">
        <f t="shared" si="0"/>
        <v>2024</v>
      </c>
      <c r="Y2" s="9">
        <f t="shared" si="0"/>
        <v>2025</v>
      </c>
      <c r="Z2" s="9">
        <f t="shared" si="0"/>
        <v>2026</v>
      </c>
      <c r="AA2" s="9">
        <f t="shared" si="0"/>
        <v>2027</v>
      </c>
      <c r="AB2" s="9">
        <f t="shared" si="0"/>
        <v>2028</v>
      </c>
      <c r="AC2" s="9">
        <f t="shared" si="0"/>
        <v>2029</v>
      </c>
      <c r="AD2" s="9">
        <f t="shared" si="0"/>
        <v>2030</v>
      </c>
      <c r="AE2" s="9">
        <f t="shared" si="0"/>
        <v>2031</v>
      </c>
      <c r="AF2" s="9">
        <f t="shared" si="0"/>
        <v>2032</v>
      </c>
      <c r="AG2" s="9">
        <f t="shared" si="0"/>
        <v>2033</v>
      </c>
    </row>
    <row r="3" spans="1:33" x14ac:dyDescent="0.2">
      <c r="B3" t="s">
        <v>19</v>
      </c>
      <c r="C3" s="1">
        <v>5780.7</v>
      </c>
      <c r="D3" s="1">
        <v>4766</v>
      </c>
      <c r="E3" s="1">
        <v>3444.4</v>
      </c>
      <c r="F3" s="1">
        <v>5173.6000000000004</v>
      </c>
      <c r="G3" s="1">
        <v>5726.5</v>
      </c>
      <c r="H3" s="1">
        <v>5653.1</v>
      </c>
      <c r="I3" s="1">
        <v>6363</v>
      </c>
      <c r="J3" s="1">
        <v>6864.3</v>
      </c>
      <c r="K3" s="1">
        <v>6722.4</v>
      </c>
      <c r="L3" s="1">
        <v>6276.7</v>
      </c>
      <c r="M3">
        <f>+H3*1.09</f>
        <v>6161.8790000000008</v>
      </c>
      <c r="N3">
        <f>+I3*1.11</f>
        <v>7062.93</v>
      </c>
      <c r="O3">
        <f>+J3*1.11</f>
        <v>7619.3730000000005</v>
      </c>
      <c r="T3" s="1" t="s">
        <v>125</v>
      </c>
      <c r="U3" s="1">
        <f>+SUM(G3:J3)</f>
        <v>24606.899999999998</v>
      </c>
      <c r="V3" s="1">
        <f>+SUM(K3:O3)</f>
        <v>33843.281999999999</v>
      </c>
    </row>
    <row r="4" spans="1:33" x14ac:dyDescent="0.2">
      <c r="B4" t="s">
        <v>20</v>
      </c>
      <c r="C4" s="1">
        <v>792</v>
      </c>
      <c r="D4" s="1">
        <v>689.8</v>
      </c>
      <c r="E4" s="1">
        <v>300.5</v>
      </c>
      <c r="F4" s="1">
        <v>544.6</v>
      </c>
      <c r="G4" s="1">
        <v>613.79999999999995</v>
      </c>
      <c r="H4" s="1">
        <v>595</v>
      </c>
      <c r="I4" s="1">
        <v>680.2</v>
      </c>
      <c r="J4" s="1">
        <v>794.5</v>
      </c>
      <c r="K4" s="1">
        <v>850.8</v>
      </c>
      <c r="L4" s="1">
        <v>849.5</v>
      </c>
      <c r="M4">
        <f>+H4*1.22</f>
        <v>725.9</v>
      </c>
      <c r="N4">
        <f>+I4*1.08</f>
        <v>734.6160000000001</v>
      </c>
      <c r="O4">
        <f>+J4*1.08</f>
        <v>858.06000000000006</v>
      </c>
      <c r="T4" s="1">
        <f t="shared" ref="T4:T20" si="1">+SUM(C4:F4)</f>
        <v>2326.9</v>
      </c>
      <c r="U4" s="1">
        <f t="shared" ref="U4:U20" si="2">+SUM(G4:J4)</f>
        <v>2683.5</v>
      </c>
      <c r="V4" s="1">
        <f t="shared" ref="V4:V20" si="3">+SUM(K4:O4)</f>
        <v>4018.8759999999997</v>
      </c>
    </row>
    <row r="5" spans="1:33" x14ac:dyDescent="0.2">
      <c r="B5" t="s">
        <v>21</v>
      </c>
      <c r="C5" s="1">
        <v>524.4</v>
      </c>
      <c r="D5" s="1">
        <v>539.9</v>
      </c>
      <c r="E5" s="1">
        <v>477.2</v>
      </c>
      <c r="F5" s="1">
        <v>484.9</v>
      </c>
      <c r="G5" s="1">
        <v>409.1</v>
      </c>
      <c r="H5" s="1">
        <v>419.9</v>
      </c>
      <c r="I5" s="1">
        <v>453.2</v>
      </c>
      <c r="J5" s="1">
        <v>487.9</v>
      </c>
      <c r="K5" s="1">
        <v>477.2</v>
      </c>
      <c r="L5" s="1">
        <v>509.4</v>
      </c>
      <c r="M5">
        <f>+K5*1.01</f>
        <v>481.97199999999998</v>
      </c>
      <c r="N5">
        <f t="shared" ref="N5:O5" si="4">+M5*1.01</f>
        <v>486.79172</v>
      </c>
      <c r="O5">
        <f t="shared" si="4"/>
        <v>491.65963720000002</v>
      </c>
      <c r="T5" s="1">
        <f t="shared" si="1"/>
        <v>2026.4</v>
      </c>
      <c r="U5" s="1">
        <f t="shared" si="2"/>
        <v>1770.1</v>
      </c>
      <c r="V5" s="1">
        <f t="shared" si="3"/>
        <v>2447.0233571999997</v>
      </c>
    </row>
    <row r="6" spans="1:33" s="3" customFormat="1" ht="15" x14ac:dyDescent="0.25">
      <c r="B6" s="3" t="s">
        <v>22</v>
      </c>
      <c r="C6" s="5">
        <f t="shared" ref="C6:O6" si="5">+SUM(C3:C5)</f>
        <v>7097.0999999999995</v>
      </c>
      <c r="D6" s="5">
        <f t="shared" si="5"/>
        <v>5995.7</v>
      </c>
      <c r="E6" s="5">
        <f t="shared" si="5"/>
        <v>4222.1000000000004</v>
      </c>
      <c r="F6" s="5">
        <f t="shared" si="5"/>
        <v>6203.1</v>
      </c>
      <c r="G6" s="5">
        <f t="shared" si="5"/>
        <v>6749.4000000000005</v>
      </c>
      <c r="H6" s="5">
        <f t="shared" si="5"/>
        <v>6668</v>
      </c>
      <c r="I6" s="5">
        <f t="shared" si="5"/>
        <v>7496.4</v>
      </c>
      <c r="J6" s="5">
        <f t="shared" si="5"/>
        <v>8146.7</v>
      </c>
      <c r="K6" s="5">
        <f t="shared" si="5"/>
        <v>8050.4</v>
      </c>
      <c r="L6" s="5">
        <f t="shared" ref="L6" si="6">+SUM(L3:L5)</f>
        <v>7635.5999999999995</v>
      </c>
      <c r="M6" s="5">
        <f>+SUM(M3:M5)</f>
        <v>7369.7510000000002</v>
      </c>
      <c r="N6" s="5">
        <f t="shared" si="5"/>
        <v>8284.3377199999995</v>
      </c>
      <c r="O6" s="5">
        <f t="shared" si="5"/>
        <v>8969.0926372000013</v>
      </c>
      <c r="T6" s="5">
        <f t="shared" si="1"/>
        <v>23518</v>
      </c>
      <c r="U6" s="5">
        <f t="shared" si="2"/>
        <v>29060.500000000004</v>
      </c>
      <c r="V6" s="5">
        <f t="shared" si="3"/>
        <v>40309.181357200003</v>
      </c>
    </row>
    <row r="7" spans="1:33" x14ac:dyDescent="0.2">
      <c r="B7" t="s">
        <v>23</v>
      </c>
      <c r="C7" s="1">
        <v>2236.4</v>
      </c>
      <c r="D7" s="1">
        <v>1997.7</v>
      </c>
      <c r="E7" s="1">
        <v>1484</v>
      </c>
      <c r="F7" s="1">
        <v>1976.8</v>
      </c>
      <c r="G7" s="1">
        <v>2049.1</v>
      </c>
      <c r="H7" s="1">
        <v>1992.4</v>
      </c>
      <c r="I7" s="1">
        <v>2206</v>
      </c>
      <c r="J7" s="1">
        <v>2491.1</v>
      </c>
      <c r="K7" s="1">
        <v>2526.9</v>
      </c>
      <c r="L7" s="1">
        <v>2465.8000000000002</v>
      </c>
      <c r="M7">
        <f>+H7*1.2</f>
        <v>2390.88</v>
      </c>
      <c r="N7">
        <f>+I7*1.19</f>
        <v>2625.14</v>
      </c>
      <c r="O7">
        <f>+J7*1.23</f>
        <v>3064.0529999999999</v>
      </c>
      <c r="T7" s="1">
        <f t="shared" si="1"/>
        <v>7694.9000000000005</v>
      </c>
      <c r="U7" s="1">
        <f t="shared" si="2"/>
        <v>8738.6</v>
      </c>
      <c r="V7" s="1">
        <f t="shared" si="3"/>
        <v>13072.773000000001</v>
      </c>
    </row>
    <row r="8" spans="1:33" x14ac:dyDescent="0.2">
      <c r="B8" t="s">
        <v>24</v>
      </c>
      <c r="C8" s="1">
        <v>2821.5</v>
      </c>
      <c r="D8" s="1">
        <v>2721.4</v>
      </c>
      <c r="E8" s="1">
        <v>2537.8000000000002</v>
      </c>
      <c r="F8" s="1">
        <v>2683.4</v>
      </c>
      <c r="G8" s="1">
        <v>2867.3</v>
      </c>
      <c r="H8" s="1">
        <v>2823.3</v>
      </c>
      <c r="I8" s="1">
        <v>2966.9</v>
      </c>
      <c r="J8" s="1">
        <v>3273.4</v>
      </c>
      <c r="K8" s="1">
        <v>3400</v>
      </c>
      <c r="L8" s="1">
        <v>3314.7</v>
      </c>
      <c r="M8">
        <f>+H8*1.09</f>
        <v>3077.3970000000004</v>
      </c>
      <c r="N8">
        <f>+I8*1.09</f>
        <v>3233.9210000000003</v>
      </c>
      <c r="O8">
        <f>+N8*1.07</f>
        <v>3460.2954700000005</v>
      </c>
      <c r="T8" s="1">
        <f t="shared" si="1"/>
        <v>10764.1</v>
      </c>
      <c r="U8" s="1">
        <f t="shared" si="2"/>
        <v>11930.9</v>
      </c>
      <c r="V8" s="1">
        <f t="shared" si="3"/>
        <v>16486.313470000001</v>
      </c>
    </row>
    <row r="9" spans="1:33" x14ac:dyDescent="0.2">
      <c r="B9" t="s">
        <v>25</v>
      </c>
      <c r="C9" s="1">
        <v>101.8</v>
      </c>
      <c r="D9" s="1">
        <v>95</v>
      </c>
      <c r="E9" s="1">
        <v>133.6</v>
      </c>
      <c r="F9" s="1">
        <v>99.9</v>
      </c>
      <c r="G9" s="1">
        <v>91.8</v>
      </c>
      <c r="H9" s="1">
        <v>87.7</v>
      </c>
      <c r="I9" s="1">
        <v>71.400000000000006</v>
      </c>
      <c r="J9" s="1">
        <v>108.6</v>
      </c>
      <c r="K9" s="1">
        <v>101.7</v>
      </c>
      <c r="L9" s="1">
        <v>101.7</v>
      </c>
      <c r="M9">
        <f>+K9*1.01</f>
        <v>102.717</v>
      </c>
      <c r="N9">
        <f>+M9*1.01</f>
        <v>103.74417</v>
      </c>
      <c r="O9">
        <f t="shared" ref="O9" si="7">+N9*1.01</f>
        <v>104.7816117</v>
      </c>
      <c r="T9" s="1">
        <f t="shared" si="1"/>
        <v>430.29999999999995</v>
      </c>
      <c r="U9" s="1">
        <f t="shared" si="2"/>
        <v>359.5</v>
      </c>
      <c r="V9" s="1">
        <f t="shared" si="3"/>
        <v>514.6427817</v>
      </c>
    </row>
    <row r="10" spans="1:33" x14ac:dyDescent="0.2">
      <c r="B10" t="s">
        <v>26</v>
      </c>
      <c r="C10" s="1">
        <f t="shared" ref="C10:K10" si="8">+SUM(C7:C9)</f>
        <v>5159.7</v>
      </c>
      <c r="D10" s="1">
        <f t="shared" si="8"/>
        <v>4814.1000000000004</v>
      </c>
      <c r="E10" s="1">
        <f t="shared" si="8"/>
        <v>4155.4000000000005</v>
      </c>
      <c r="F10" s="1">
        <f t="shared" si="8"/>
        <v>4760.0999999999995</v>
      </c>
      <c r="G10" s="1">
        <f t="shared" si="8"/>
        <v>5008.2</v>
      </c>
      <c r="H10" s="1">
        <f t="shared" si="8"/>
        <v>4903.4000000000005</v>
      </c>
      <c r="I10" s="1">
        <f t="shared" si="8"/>
        <v>5244.2999999999993</v>
      </c>
      <c r="J10" s="1">
        <f t="shared" si="8"/>
        <v>5873.1</v>
      </c>
      <c r="K10" s="1">
        <f t="shared" si="8"/>
        <v>6028.5999999999995</v>
      </c>
      <c r="L10" s="1">
        <f>+SUM(L7:L9)</f>
        <v>5882.2</v>
      </c>
      <c r="M10" s="1">
        <f t="shared" ref="M10:O10" si="9">+SUM(M7:M9)</f>
        <v>5570.9939999999997</v>
      </c>
      <c r="N10" s="1">
        <f t="shared" si="9"/>
        <v>5962.8051699999996</v>
      </c>
      <c r="O10" s="1">
        <f t="shared" si="9"/>
        <v>6629.130081700001</v>
      </c>
      <c r="T10" s="1">
        <f t="shared" si="1"/>
        <v>18889.3</v>
      </c>
      <c r="U10" s="1">
        <f t="shared" si="2"/>
        <v>21029</v>
      </c>
      <c r="V10" s="1">
        <f t="shared" si="3"/>
        <v>30073.729251699999</v>
      </c>
    </row>
    <row r="11" spans="1:33" x14ac:dyDescent="0.2">
      <c r="B11" t="s">
        <v>27</v>
      </c>
      <c r="C11" s="1">
        <f t="shared" ref="C11:K11" si="10">+C6-C10</f>
        <v>1937.3999999999996</v>
      </c>
      <c r="D11" s="1">
        <f t="shared" si="10"/>
        <v>1181.5999999999995</v>
      </c>
      <c r="E11" s="1">
        <f t="shared" si="10"/>
        <v>66.699999999999818</v>
      </c>
      <c r="F11" s="1">
        <f t="shared" si="10"/>
        <v>1443.0000000000009</v>
      </c>
      <c r="G11" s="1">
        <f t="shared" si="10"/>
        <v>1741.2000000000007</v>
      </c>
      <c r="H11" s="1">
        <f t="shared" si="10"/>
        <v>1764.5999999999995</v>
      </c>
      <c r="I11" s="1">
        <f t="shared" si="10"/>
        <v>2252.1000000000004</v>
      </c>
      <c r="J11" s="1">
        <f t="shared" si="10"/>
        <v>2273.5999999999995</v>
      </c>
      <c r="K11" s="1">
        <f t="shared" si="10"/>
        <v>2021.8000000000002</v>
      </c>
      <c r="L11" s="1">
        <f t="shared" ref="L11" si="11">+L6-L10</f>
        <v>1753.3999999999996</v>
      </c>
      <c r="M11" s="1">
        <f>+M6-M10</f>
        <v>1798.7570000000005</v>
      </c>
      <c r="N11" s="1">
        <f t="shared" ref="N11:O11" si="12">+N6-N10</f>
        <v>2321.5325499999999</v>
      </c>
      <c r="O11" s="1">
        <f t="shared" si="12"/>
        <v>2339.9625555000002</v>
      </c>
      <c r="T11" s="1">
        <f t="shared" si="1"/>
        <v>4628.7</v>
      </c>
      <c r="U11" s="1">
        <f t="shared" si="2"/>
        <v>8031.5</v>
      </c>
      <c r="V11" s="1">
        <f t="shared" si="3"/>
        <v>10235.4521055</v>
      </c>
    </row>
    <row r="12" spans="1:33" x14ac:dyDescent="0.2">
      <c r="B12" t="s">
        <v>28</v>
      </c>
      <c r="C12" s="1">
        <v>434.2</v>
      </c>
      <c r="D12" s="1">
        <v>406.5</v>
      </c>
      <c r="E12" s="1">
        <v>399.9</v>
      </c>
      <c r="F12" s="1">
        <v>439</v>
      </c>
      <c r="G12" s="1">
        <v>472.1</v>
      </c>
      <c r="H12" s="1">
        <v>464.4</v>
      </c>
      <c r="I12" s="1">
        <v>19.8</v>
      </c>
      <c r="J12" s="1">
        <v>501.2</v>
      </c>
      <c r="K12" s="1">
        <v>525.79999999999995</v>
      </c>
      <c r="L12" s="1">
        <v>481.5</v>
      </c>
      <c r="M12">
        <f>+H12*1.1</f>
        <v>510.84000000000003</v>
      </c>
      <c r="N12">
        <f>+I12*1.1</f>
        <v>21.78</v>
      </c>
      <c r="O12">
        <f>+J12*1.1</f>
        <v>551.32000000000005</v>
      </c>
      <c r="T12" s="1">
        <f t="shared" si="1"/>
        <v>1679.6</v>
      </c>
      <c r="U12" s="1">
        <f t="shared" si="2"/>
        <v>1457.5</v>
      </c>
      <c r="V12" s="1">
        <f t="shared" si="3"/>
        <v>2091.2399999999998</v>
      </c>
    </row>
    <row r="13" spans="1:33" x14ac:dyDescent="0.2">
      <c r="B13" t="s">
        <v>31</v>
      </c>
      <c r="C13" s="1">
        <v>73.900000000000006</v>
      </c>
      <c r="D13" s="1">
        <v>67.900000000000006</v>
      </c>
      <c r="E13" s="1">
        <v>68.400000000000006</v>
      </c>
      <c r="F13" s="1">
        <v>112.2</v>
      </c>
      <c r="G13" s="1">
        <v>82.7</v>
      </c>
      <c r="H13" s="1">
        <v>77.099999999999994</v>
      </c>
      <c r="I13" s="1">
        <v>105.5</v>
      </c>
      <c r="J13" s="1">
        <v>120</v>
      </c>
      <c r="K13" s="1">
        <v>40.299999999999997</v>
      </c>
      <c r="L13" s="1">
        <v>49.1</v>
      </c>
      <c r="M13">
        <f>+K13*(1+$R$41)</f>
        <v>39.090999999999994</v>
      </c>
      <c r="N13">
        <f>+M13*(1+$R$41)</f>
        <v>37.918269999999993</v>
      </c>
      <c r="O13">
        <f>+N13*(1+0.03)</f>
        <v>39.055818099999996</v>
      </c>
      <c r="T13" s="1">
        <f t="shared" si="1"/>
        <v>322.40000000000003</v>
      </c>
      <c r="U13" s="1">
        <f t="shared" si="2"/>
        <v>385.3</v>
      </c>
      <c r="V13" s="1">
        <f t="shared" si="3"/>
        <v>205.4650881</v>
      </c>
    </row>
    <row r="14" spans="1:33" x14ac:dyDescent="0.2">
      <c r="B14" t="s">
        <v>30</v>
      </c>
      <c r="C14" s="1">
        <f t="shared" ref="C14:K14" si="13">+C12-C13</f>
        <v>360.29999999999995</v>
      </c>
      <c r="D14" s="1">
        <f t="shared" si="13"/>
        <v>338.6</v>
      </c>
      <c r="E14" s="1">
        <f t="shared" si="13"/>
        <v>331.5</v>
      </c>
      <c r="F14" s="1">
        <f t="shared" si="13"/>
        <v>326.8</v>
      </c>
      <c r="G14" s="1">
        <f t="shared" si="13"/>
        <v>389.40000000000003</v>
      </c>
      <c r="H14" s="1">
        <f t="shared" si="13"/>
        <v>387.29999999999995</v>
      </c>
      <c r="I14" s="1">
        <f t="shared" si="13"/>
        <v>-85.7</v>
      </c>
      <c r="J14" s="1">
        <f t="shared" si="13"/>
        <v>381.2</v>
      </c>
      <c r="K14" s="1">
        <f t="shared" si="13"/>
        <v>485.49999999999994</v>
      </c>
      <c r="L14" s="1">
        <f t="shared" ref="L14" si="14">+L12-L13</f>
        <v>432.4</v>
      </c>
      <c r="M14" s="1">
        <f t="shared" ref="M14:N14" si="15">+M12-M13</f>
        <v>471.74900000000002</v>
      </c>
      <c r="N14" s="1">
        <f t="shared" si="15"/>
        <v>-16.138269999999991</v>
      </c>
      <c r="O14" s="1">
        <f>+O12-O13</f>
        <v>512.26418190000004</v>
      </c>
      <c r="T14" s="1">
        <f t="shared" si="1"/>
        <v>1357.2</v>
      </c>
      <c r="U14" s="1">
        <f t="shared" si="2"/>
        <v>1072.2</v>
      </c>
      <c r="V14" s="1">
        <f t="shared" si="3"/>
        <v>1885.7749119</v>
      </c>
    </row>
    <row r="15" spans="1:33" x14ac:dyDescent="0.2">
      <c r="B15" t="s">
        <v>29</v>
      </c>
      <c r="C15" s="1">
        <f t="shared" ref="C15:K15" si="16">+C11-C14</f>
        <v>1577.0999999999997</v>
      </c>
      <c r="D15" s="1">
        <f t="shared" si="16"/>
        <v>842.99999999999943</v>
      </c>
      <c r="E15" s="1">
        <f t="shared" si="16"/>
        <v>-264.80000000000018</v>
      </c>
      <c r="F15" s="1">
        <f t="shared" si="16"/>
        <v>1116.200000000001</v>
      </c>
      <c r="G15" s="1">
        <f t="shared" si="16"/>
        <v>1351.8000000000006</v>
      </c>
      <c r="H15" s="1">
        <f t="shared" si="16"/>
        <v>1377.2999999999995</v>
      </c>
      <c r="I15" s="1">
        <f t="shared" si="16"/>
        <v>2337.8000000000002</v>
      </c>
      <c r="J15" s="1">
        <f t="shared" si="16"/>
        <v>1892.3999999999994</v>
      </c>
      <c r="K15" s="1">
        <f t="shared" si="16"/>
        <v>1536.3000000000002</v>
      </c>
      <c r="L15" s="1">
        <f t="shared" ref="L15" si="17">+L11-L14</f>
        <v>1320.9999999999995</v>
      </c>
      <c r="M15" s="1">
        <f t="shared" ref="M15:O15" si="18">+M11-M14</f>
        <v>1327.0080000000005</v>
      </c>
      <c r="N15" s="1">
        <f t="shared" si="18"/>
        <v>2337.6708199999998</v>
      </c>
      <c r="O15" s="1">
        <f t="shared" si="18"/>
        <v>1827.6983736000002</v>
      </c>
      <c r="T15" s="1">
        <f t="shared" si="1"/>
        <v>3271.5</v>
      </c>
      <c r="U15" s="1">
        <f t="shared" si="2"/>
        <v>6959.3</v>
      </c>
      <c r="V15" s="1">
        <f t="shared" si="3"/>
        <v>8349.6771936000005</v>
      </c>
    </row>
    <row r="16" spans="1:33" x14ac:dyDescent="0.2">
      <c r="B16" t="s">
        <v>32</v>
      </c>
      <c r="C16" s="1">
        <f>15.9+-91.9</f>
        <v>-76</v>
      </c>
      <c r="D16" s="1">
        <f>2+-99.2</f>
        <v>-97.2</v>
      </c>
      <c r="E16" s="1">
        <f>12.7+-120.8</f>
        <v>-108.1</v>
      </c>
      <c r="F16" s="1">
        <f>9.1+-125</f>
        <v>-115.9</v>
      </c>
      <c r="G16" s="1">
        <f>15.5+-120.7</f>
        <v>-105.2</v>
      </c>
      <c r="H16" s="1">
        <f>17.3+-115</f>
        <v>-97.7</v>
      </c>
      <c r="I16" s="1">
        <f>36+-113.4</f>
        <v>-77.400000000000006</v>
      </c>
      <c r="J16" s="1">
        <f>21.5+-120.6</f>
        <v>-99.1</v>
      </c>
      <c r="K16" s="1">
        <f>+-0.1+-115.3</f>
        <v>-115.39999999999999</v>
      </c>
      <c r="L16" s="1">
        <f>46.3+-119.1</f>
        <v>-72.8</v>
      </c>
      <c r="M16">
        <f>+K16*(1+$R$41)</f>
        <v>-111.93799999999999</v>
      </c>
      <c r="N16">
        <f>+M16*(1+$R$41)</f>
        <v>-108.57985999999998</v>
      </c>
      <c r="O16">
        <f>+N16*(1+$R$41)</f>
        <v>-105.32246419999998</v>
      </c>
      <c r="T16" s="1">
        <f t="shared" si="1"/>
        <v>-397.19999999999993</v>
      </c>
      <c r="U16" s="1">
        <f t="shared" si="2"/>
        <v>-379.4</v>
      </c>
      <c r="V16" s="1">
        <f t="shared" si="3"/>
        <v>-514.04032419999999</v>
      </c>
    </row>
    <row r="17" spans="2:81" x14ac:dyDescent="0.2">
      <c r="B17" t="s">
        <v>33</v>
      </c>
      <c r="C17" s="1">
        <f t="shared" ref="C17:O17" si="19">+C15+C16</f>
        <v>1501.0999999999997</v>
      </c>
      <c r="D17" s="1">
        <f t="shared" si="19"/>
        <v>745.79999999999939</v>
      </c>
      <c r="E17" s="1">
        <f t="shared" si="19"/>
        <v>-372.9000000000002</v>
      </c>
      <c r="F17" s="1">
        <f t="shared" si="19"/>
        <v>1000.300000000001</v>
      </c>
      <c r="G17" s="1">
        <f t="shared" si="19"/>
        <v>1246.6000000000006</v>
      </c>
      <c r="H17" s="1">
        <f t="shared" si="19"/>
        <v>1279.5999999999995</v>
      </c>
      <c r="I17" s="1">
        <f t="shared" si="19"/>
        <v>2260.4</v>
      </c>
      <c r="J17" s="1">
        <f t="shared" si="19"/>
        <v>1793.2999999999995</v>
      </c>
      <c r="K17" s="1">
        <f t="shared" si="19"/>
        <v>1420.9</v>
      </c>
      <c r="L17" s="1">
        <f t="shared" ref="L17" si="20">+L15+L16</f>
        <v>1248.1999999999996</v>
      </c>
      <c r="M17" s="1">
        <f t="shared" si="19"/>
        <v>1215.0700000000006</v>
      </c>
      <c r="N17" s="1">
        <f t="shared" si="19"/>
        <v>2229.09096</v>
      </c>
      <c r="O17" s="1">
        <f t="shared" si="19"/>
        <v>1722.3759094000002</v>
      </c>
      <c r="T17" s="1">
        <f t="shared" si="1"/>
        <v>2874.3</v>
      </c>
      <c r="U17" s="1">
        <f t="shared" si="2"/>
        <v>6579.9</v>
      </c>
      <c r="V17" s="1">
        <f t="shared" si="3"/>
        <v>7835.6368693999993</v>
      </c>
    </row>
    <row r="18" spans="2:81" x14ac:dyDescent="0.2">
      <c r="B18" t="s">
        <v>34</v>
      </c>
      <c r="C18" s="1">
        <v>258.5</v>
      </c>
      <c r="D18" s="1">
        <v>65.400000000000006</v>
      </c>
      <c r="E18" s="1">
        <v>-133.9</v>
      </c>
      <c r="F18" s="1">
        <v>49.7</v>
      </c>
      <c r="G18" s="1">
        <v>186.1</v>
      </c>
      <c r="H18" s="1">
        <v>230.5</v>
      </c>
      <c r="I18" s="1">
        <v>257.10000000000002</v>
      </c>
      <c r="J18" s="1">
        <v>483</v>
      </c>
      <c r="K18" s="1">
        <v>246.3</v>
      </c>
      <c r="L18" s="1">
        <v>201.1</v>
      </c>
      <c r="M18">
        <f>+M17*0.14</f>
        <v>170.10980000000009</v>
      </c>
      <c r="N18">
        <f t="shared" ref="N18:O18" si="21">+N17*0.14</f>
        <v>312.0727344</v>
      </c>
      <c r="O18">
        <f t="shared" si="21"/>
        <v>241.13262731600005</v>
      </c>
      <c r="T18" s="1">
        <f t="shared" si="1"/>
        <v>239.7</v>
      </c>
      <c r="U18" s="1">
        <f t="shared" si="2"/>
        <v>1156.7</v>
      </c>
      <c r="V18" s="1">
        <f t="shared" si="3"/>
        <v>1170.715161716</v>
      </c>
    </row>
    <row r="19" spans="2:81" x14ac:dyDescent="0.2">
      <c r="B19" t="s">
        <v>35</v>
      </c>
      <c r="C19" s="1">
        <v>0.4</v>
      </c>
      <c r="D19" s="1">
        <v>3.6</v>
      </c>
      <c r="E19" s="1">
        <v>0.3</v>
      </c>
      <c r="F19" s="1">
        <v>0.1</v>
      </c>
      <c r="G19" s="1">
        <v>0</v>
      </c>
      <c r="H19" s="1"/>
      <c r="I19" s="1">
        <v>0.8</v>
      </c>
      <c r="J19" s="1">
        <v>0.2</v>
      </c>
      <c r="K19" s="1">
        <v>0.2</v>
      </c>
      <c r="L19" s="1">
        <v>0.5</v>
      </c>
      <c r="T19" s="1">
        <f t="shared" si="1"/>
        <v>4.3999999999999995</v>
      </c>
      <c r="U19" s="4">
        <f t="shared" si="2"/>
        <v>1</v>
      </c>
      <c r="V19" s="1">
        <f t="shared" si="3"/>
        <v>0.7</v>
      </c>
    </row>
    <row r="20" spans="2:81" s="3" customFormat="1" ht="15" x14ac:dyDescent="0.25">
      <c r="B20" s="3" t="s">
        <v>36</v>
      </c>
      <c r="C20" s="5">
        <f t="shared" ref="C20:K20" si="22">+C17-C18-C19</f>
        <v>1242.1999999999996</v>
      </c>
      <c r="D20" s="5">
        <f t="shared" si="22"/>
        <v>676.79999999999939</v>
      </c>
      <c r="E20" s="5">
        <f t="shared" si="22"/>
        <v>-239.30000000000021</v>
      </c>
      <c r="F20" s="5">
        <f t="shared" si="22"/>
        <v>950.50000000000091</v>
      </c>
      <c r="G20" s="5">
        <f t="shared" si="22"/>
        <v>1060.5000000000007</v>
      </c>
      <c r="H20" s="5">
        <f t="shared" si="22"/>
        <v>1049.0999999999995</v>
      </c>
      <c r="I20" s="5">
        <f t="shared" si="22"/>
        <v>2002.5000000000002</v>
      </c>
      <c r="J20" s="5">
        <f t="shared" si="22"/>
        <v>1310.0999999999995</v>
      </c>
      <c r="K20" s="5">
        <f t="shared" si="22"/>
        <v>1174.4000000000001</v>
      </c>
      <c r="L20" s="5">
        <f t="shared" ref="L20" si="23">+L17-L18-L19</f>
        <v>1046.5999999999997</v>
      </c>
      <c r="M20" s="5">
        <f>+M17-M18-M19</f>
        <v>1044.9602000000004</v>
      </c>
      <c r="N20" s="5">
        <f>+N17-N18-N19</f>
        <v>1917.0182256000001</v>
      </c>
      <c r="O20" s="5">
        <f>+O17-O18-O19</f>
        <v>1481.2432820840002</v>
      </c>
      <c r="T20" s="5">
        <f t="shared" si="1"/>
        <v>2630.2</v>
      </c>
      <c r="U20" s="5">
        <f t="shared" si="2"/>
        <v>5422.2</v>
      </c>
      <c r="V20" s="5">
        <f t="shared" si="3"/>
        <v>6664.2217076840006</v>
      </c>
      <c r="W20" s="3">
        <f>+V20*1.02</f>
        <v>6797.5061418376808</v>
      </c>
      <c r="X20" s="3">
        <f t="shared" ref="X20:AG20" si="24">+W20*1.01</f>
        <v>6865.4812032560576</v>
      </c>
      <c r="Y20" s="3">
        <f t="shared" si="24"/>
        <v>6934.1360152886182</v>
      </c>
      <c r="Z20" s="3">
        <f t="shared" si="24"/>
        <v>7003.4773754415046</v>
      </c>
      <c r="AA20" s="3">
        <f t="shared" si="24"/>
        <v>7073.5121491959198</v>
      </c>
      <c r="AB20" s="3">
        <f t="shared" si="24"/>
        <v>7144.2472706878789</v>
      </c>
      <c r="AC20" s="3">
        <f t="shared" si="24"/>
        <v>7215.6897433947579</v>
      </c>
      <c r="AD20" s="3">
        <f t="shared" si="24"/>
        <v>7287.8466408287059</v>
      </c>
      <c r="AE20" s="3">
        <f t="shared" si="24"/>
        <v>7360.7251072369927</v>
      </c>
      <c r="AF20" s="3">
        <f t="shared" si="24"/>
        <v>7434.3323583093625</v>
      </c>
      <c r="AG20" s="3">
        <f t="shared" si="24"/>
        <v>7508.6756818924559</v>
      </c>
      <c r="AH20" s="3">
        <f>+AG20*(1+$R$42)</f>
        <v>7170.7852762072953</v>
      </c>
      <c r="AI20" s="3">
        <f t="shared" ref="AI20:CC20" si="25">+AH20*(1+$R$42)</f>
        <v>6848.0999387779666</v>
      </c>
      <c r="AJ20" s="3">
        <f t="shared" si="25"/>
        <v>6539.9354415329581</v>
      </c>
      <c r="AK20" s="3">
        <f t="shared" si="25"/>
        <v>6245.6383466639745</v>
      </c>
      <c r="AL20" s="3">
        <f t="shared" si="25"/>
        <v>5964.5846210640957</v>
      </c>
      <c r="AM20" s="3">
        <f t="shared" si="25"/>
        <v>5696.178313116211</v>
      </c>
      <c r="AN20" s="3">
        <f t="shared" si="25"/>
        <v>5439.8502890259815</v>
      </c>
      <c r="AO20" s="3">
        <f t="shared" si="25"/>
        <v>5195.0570260198119</v>
      </c>
      <c r="AP20" s="3">
        <f t="shared" si="25"/>
        <v>4961.2794598489199</v>
      </c>
      <c r="AQ20" s="3">
        <f t="shared" si="25"/>
        <v>4738.021884155718</v>
      </c>
      <c r="AR20" s="3">
        <f t="shared" si="25"/>
        <v>4524.8108993687101</v>
      </c>
      <c r="AS20" s="3">
        <f t="shared" si="25"/>
        <v>4321.1944088971177</v>
      </c>
      <c r="AT20" s="3">
        <f t="shared" si="25"/>
        <v>4126.7406604967473</v>
      </c>
      <c r="AU20" s="3">
        <f t="shared" si="25"/>
        <v>3941.0373307743935</v>
      </c>
      <c r="AV20" s="3">
        <f t="shared" si="25"/>
        <v>3763.6906508895454</v>
      </c>
      <c r="AW20" s="3">
        <f t="shared" si="25"/>
        <v>3594.3245715995158</v>
      </c>
      <c r="AX20" s="3">
        <f t="shared" si="25"/>
        <v>3432.5799658775377</v>
      </c>
      <c r="AY20" s="3">
        <f t="shared" si="25"/>
        <v>3278.1138674130484</v>
      </c>
      <c r="AZ20" s="3">
        <f t="shared" si="25"/>
        <v>3130.5987433794612</v>
      </c>
      <c r="BA20" s="3">
        <f t="shared" si="25"/>
        <v>2989.7217999273853</v>
      </c>
      <c r="BB20" s="3">
        <f t="shared" si="25"/>
        <v>2855.1843189306528</v>
      </c>
      <c r="BC20" s="3">
        <f t="shared" si="25"/>
        <v>2726.7010245787733</v>
      </c>
      <c r="BD20" s="3">
        <f t="shared" si="25"/>
        <v>2603.9994784727282</v>
      </c>
      <c r="BE20" s="3">
        <f t="shared" si="25"/>
        <v>2486.8195019414552</v>
      </c>
      <c r="BF20" s="3">
        <f t="shared" si="25"/>
        <v>2374.9126243540895</v>
      </c>
      <c r="BG20" s="3">
        <f t="shared" si="25"/>
        <v>2268.0415562581552</v>
      </c>
      <c r="BH20" s="3">
        <f t="shared" si="25"/>
        <v>2165.979686226538</v>
      </c>
      <c r="BI20" s="3">
        <f t="shared" si="25"/>
        <v>2068.5106003463438</v>
      </c>
      <c r="BJ20" s="3">
        <f t="shared" si="25"/>
        <v>1975.4276233307583</v>
      </c>
      <c r="BK20" s="3">
        <f t="shared" si="25"/>
        <v>1886.5333802808741</v>
      </c>
      <c r="BL20" s="3">
        <f t="shared" si="25"/>
        <v>1801.6393781682348</v>
      </c>
      <c r="BM20" s="3">
        <f t="shared" si="25"/>
        <v>1720.5656061506641</v>
      </c>
      <c r="BN20" s="3">
        <f t="shared" si="25"/>
        <v>1643.1401538738842</v>
      </c>
      <c r="BO20" s="3">
        <f t="shared" si="25"/>
        <v>1569.1988469495593</v>
      </c>
      <c r="BP20" s="3">
        <f t="shared" si="25"/>
        <v>1498.5848988368291</v>
      </c>
      <c r="BQ20" s="3">
        <f t="shared" si="25"/>
        <v>1431.1485783891717</v>
      </c>
      <c r="BR20" s="3">
        <f t="shared" si="25"/>
        <v>1366.7468923616589</v>
      </c>
      <c r="BS20" s="3">
        <f t="shared" si="25"/>
        <v>1305.243282205384</v>
      </c>
      <c r="BT20" s="3">
        <f t="shared" si="25"/>
        <v>1246.5073345061417</v>
      </c>
      <c r="BU20" s="3">
        <f t="shared" si="25"/>
        <v>1190.4145044533652</v>
      </c>
      <c r="BV20" s="3">
        <f t="shared" si="25"/>
        <v>1136.8458517529637</v>
      </c>
      <c r="BW20" s="3">
        <f t="shared" si="25"/>
        <v>1085.6877884240803</v>
      </c>
      <c r="BX20" s="3">
        <f t="shared" si="25"/>
        <v>1036.8318379449966</v>
      </c>
      <c r="BY20" s="3">
        <f t="shared" si="25"/>
        <v>990.17440523747166</v>
      </c>
      <c r="BZ20" s="3">
        <f t="shared" si="25"/>
        <v>945.6165570017854</v>
      </c>
      <c r="CA20" s="3">
        <f t="shared" si="25"/>
        <v>903.06381193670506</v>
      </c>
      <c r="CB20" s="3">
        <f t="shared" si="25"/>
        <v>862.42594039955327</v>
      </c>
      <c r="CC20" s="3">
        <f t="shared" si="25"/>
        <v>823.61677308157334</v>
      </c>
    </row>
    <row r="21" spans="2:81" x14ac:dyDescent="0.2">
      <c r="B21" t="s">
        <v>37</v>
      </c>
      <c r="C21" s="4">
        <f t="shared" ref="C21:O21" si="26">+C20/C22</f>
        <v>1.0429890848026864</v>
      </c>
      <c r="D21" s="4">
        <f t="shared" si="26"/>
        <v>0.57321927670026196</v>
      </c>
      <c r="E21" s="4">
        <f t="shared" si="26"/>
        <v>-0.20479246897732153</v>
      </c>
      <c r="F21" s="4">
        <f t="shared" si="26"/>
        <v>0.80619168787107798</v>
      </c>
      <c r="G21" s="4">
        <f t="shared" si="26"/>
        <v>0.89644970414201242</v>
      </c>
      <c r="H21" s="4">
        <f t="shared" si="26"/>
        <v>0.88546590141796044</v>
      </c>
      <c r="I21" s="4">
        <f t="shared" si="26"/>
        <v>1.6881638846737483</v>
      </c>
      <c r="J21" s="4">
        <f t="shared" si="26"/>
        <v>1.102870612004377</v>
      </c>
      <c r="K21" s="4">
        <f t="shared" si="26"/>
        <v>0.99813020567737565</v>
      </c>
      <c r="L21" s="4">
        <f t="shared" ref="L21" si="27">+L20/L22</f>
        <v>0.90701100615304586</v>
      </c>
      <c r="M21" s="4">
        <f t="shared" si="26"/>
        <v>0.88811847696753399</v>
      </c>
      <c r="N21" s="4">
        <f t="shared" si="26"/>
        <v>1.6292862702702704</v>
      </c>
      <c r="O21" s="4">
        <f t="shared" si="26"/>
        <v>1.2589183087574369</v>
      </c>
      <c r="T21" s="4">
        <f>+AVERAGE(C21:F21)</f>
        <v>0.55440189509917626</v>
      </c>
      <c r="U21" s="4">
        <f>+AVERAGE(G21:J21)</f>
        <v>1.1432375255595246</v>
      </c>
      <c r="V21" s="4">
        <f>+AVERAGE(K21:O21)</f>
        <v>1.1362928535651327</v>
      </c>
    </row>
    <row r="22" spans="2:81" x14ac:dyDescent="0.2">
      <c r="B22" t="s">
        <v>0</v>
      </c>
      <c r="C22" s="1">
        <v>1191</v>
      </c>
      <c r="D22" s="1">
        <v>1180.7</v>
      </c>
      <c r="E22" s="1">
        <v>1168.5</v>
      </c>
      <c r="F22" s="1">
        <v>1179</v>
      </c>
      <c r="G22" s="1">
        <v>1183</v>
      </c>
      <c r="H22" s="1">
        <v>1184.8</v>
      </c>
      <c r="I22" s="1">
        <v>1186.2</v>
      </c>
      <c r="J22" s="1">
        <v>1187.9000000000001</v>
      </c>
      <c r="K22" s="1">
        <v>1176.5999999999999</v>
      </c>
      <c r="L22" s="1">
        <v>1153.9000000000001</v>
      </c>
      <c r="M22" s="1">
        <v>1176.5999999999999</v>
      </c>
      <c r="N22" s="1">
        <v>1176.5999999999999</v>
      </c>
      <c r="O22" s="1">
        <v>1176.5999999999999</v>
      </c>
      <c r="T22" s="1">
        <f>+AVERAGE(C22:F22)</f>
        <v>1179.8</v>
      </c>
      <c r="U22" s="1">
        <f>+AVERAGE(G22:J22)</f>
        <v>1185.4749999999999</v>
      </c>
      <c r="V22" s="4">
        <f>+AVERAGE(K22:O22)</f>
        <v>1172.06</v>
      </c>
    </row>
    <row r="24" spans="2:81" s="22" customFormat="1" x14ac:dyDescent="0.2">
      <c r="B24" s="22" t="s">
        <v>38</v>
      </c>
      <c r="C24" s="23">
        <f t="shared" ref="C24:O24" si="28">+C11/C6</f>
        <v>0.27298474024601593</v>
      </c>
      <c r="D24" s="23">
        <f t="shared" si="28"/>
        <v>0.19707457010857773</v>
      </c>
      <c r="E24" s="23">
        <f t="shared" si="28"/>
        <v>1.5797825726534143E-2</v>
      </c>
      <c r="F24" s="23">
        <f t="shared" si="28"/>
        <v>0.23262562267253484</v>
      </c>
      <c r="G24" s="23">
        <f t="shared" si="28"/>
        <v>0.25797848697662024</v>
      </c>
      <c r="H24" s="23">
        <f t="shared" si="28"/>
        <v>0.2646370725854828</v>
      </c>
      <c r="I24" s="23">
        <f t="shared" si="28"/>
        <v>0.30042420361773658</v>
      </c>
      <c r="J24" s="23">
        <f t="shared" si="28"/>
        <v>0.27908232781371595</v>
      </c>
      <c r="K24" s="23">
        <f t="shared" si="28"/>
        <v>0.25114280035774622</v>
      </c>
      <c r="L24" s="23">
        <f t="shared" ref="L24" si="29">+L11/L6</f>
        <v>0.22963486824872961</v>
      </c>
      <c r="M24" s="23">
        <f>+M11/M6</f>
        <v>0.2440729680012256</v>
      </c>
      <c r="N24" s="23">
        <f>+N11/N6</f>
        <v>0.28023151982268535</v>
      </c>
      <c r="O24" s="23">
        <f t="shared" si="28"/>
        <v>0.26089178138207936</v>
      </c>
      <c r="T24" s="23">
        <f>+T11/T6</f>
        <v>0.19681520537460667</v>
      </c>
      <c r="U24" s="23">
        <f>+U11/U6</f>
        <v>0.27637170730028732</v>
      </c>
      <c r="V24" s="23">
        <f>+V11/V6</f>
        <v>0.25392359162044231</v>
      </c>
    </row>
    <row r="25" spans="2:81" s="22" customFormat="1" x14ac:dyDescent="0.2">
      <c r="B25" s="22" t="s">
        <v>39</v>
      </c>
      <c r="C25" s="23">
        <f t="shared" ref="C25:O25" si="30">+C15/C6</f>
        <v>0.22221752546814894</v>
      </c>
      <c r="D25" s="23">
        <f t="shared" si="30"/>
        <v>0.14060076388078113</v>
      </c>
      <c r="E25" s="23">
        <f t="shared" si="30"/>
        <v>-6.2717604983302186E-2</v>
      </c>
      <c r="F25" s="23">
        <f t="shared" si="30"/>
        <v>0.17994228692105574</v>
      </c>
      <c r="G25" s="23">
        <f t="shared" si="30"/>
        <v>0.20028446973064279</v>
      </c>
      <c r="H25" s="23">
        <f t="shared" si="30"/>
        <v>0.20655368926214748</v>
      </c>
      <c r="I25" s="23">
        <f t="shared" si="30"/>
        <v>0.3118563577183715</v>
      </c>
      <c r="J25" s="23">
        <f t="shared" si="30"/>
        <v>0.23229037524396376</v>
      </c>
      <c r="K25" s="23">
        <f t="shared" si="30"/>
        <v>0.19083523800059626</v>
      </c>
      <c r="L25" s="23">
        <f t="shared" ref="L25" si="31">+L15/L6</f>
        <v>0.17300539577767296</v>
      </c>
      <c r="M25" s="23">
        <f t="shared" si="30"/>
        <v>0.18006144305282504</v>
      </c>
      <c r="N25" s="23">
        <f t="shared" si="30"/>
        <v>0.28217956570703395</v>
      </c>
      <c r="O25" s="23">
        <f t="shared" si="30"/>
        <v>0.20377739951302104</v>
      </c>
      <c r="T25" s="23">
        <f>+T15/T6</f>
        <v>0.13910621651500979</v>
      </c>
      <c r="U25" s="23">
        <f>+U15/U6</f>
        <v>0.23947626503329258</v>
      </c>
      <c r="V25" s="23">
        <f>+V15/V6</f>
        <v>0.20714082778336024</v>
      </c>
    </row>
    <row r="26" spans="2:81" s="22" customFormat="1" x14ac:dyDescent="0.2">
      <c r="B26" s="22" t="s">
        <v>40</v>
      </c>
      <c r="C26" s="23">
        <f t="shared" ref="C26:O26" si="32">+C18/C17</f>
        <v>0.17220704816467927</v>
      </c>
      <c r="D26" s="23">
        <f t="shared" si="32"/>
        <v>8.7691069991955028E-2</v>
      </c>
      <c r="E26" s="23">
        <f t="shared" si="32"/>
        <v>0.35907750067042082</v>
      </c>
      <c r="F26" s="23">
        <f t="shared" si="32"/>
        <v>4.9685094471658454E-2</v>
      </c>
      <c r="G26" s="23">
        <f t="shared" si="32"/>
        <v>0.14928605807797202</v>
      </c>
      <c r="H26" s="23">
        <f t="shared" si="32"/>
        <v>0.18013441700531424</v>
      </c>
      <c r="I26" s="23">
        <f t="shared" si="32"/>
        <v>0.11374093080870643</v>
      </c>
      <c r="J26" s="23">
        <f t="shared" si="32"/>
        <v>0.26933586126136183</v>
      </c>
      <c r="K26" s="23">
        <f t="shared" si="32"/>
        <v>0.17334084031247801</v>
      </c>
      <c r="L26" s="23">
        <f t="shared" ref="L26" si="33">+L18/L17</f>
        <v>0.16111200128184591</v>
      </c>
      <c r="M26" s="23">
        <f t="shared" si="32"/>
        <v>0.14000000000000001</v>
      </c>
      <c r="N26" s="23">
        <f t="shared" si="32"/>
        <v>0.14000000000000001</v>
      </c>
      <c r="O26" s="23">
        <f t="shared" si="32"/>
        <v>0.14000000000000001</v>
      </c>
      <c r="T26" s="23">
        <f>+T18/T17</f>
        <v>8.3394217722575922E-2</v>
      </c>
      <c r="U26" s="23">
        <f>+U18/U17</f>
        <v>0.17579294518153774</v>
      </c>
      <c r="V26" s="23">
        <f>+V18/V17</f>
        <v>0.14940906287884748</v>
      </c>
    </row>
    <row r="27" spans="2:81" s="22" customFormat="1" x14ac:dyDescent="0.2"/>
    <row r="28" spans="2:81" s="22" customFormat="1" x14ac:dyDescent="0.2">
      <c r="B28" s="22" t="s">
        <v>41</v>
      </c>
      <c r="F28" s="23"/>
      <c r="G28" s="23">
        <f t="shared" ref="G28:L28" si="34">+G6/C6-1</f>
        <v>-4.8991841738174613E-2</v>
      </c>
      <c r="H28" s="23">
        <f t="shared" si="34"/>
        <v>0.11213036009139876</v>
      </c>
      <c r="I28" s="23">
        <f t="shared" si="34"/>
        <v>0.77551455436867878</v>
      </c>
      <c r="J28" s="23">
        <f t="shared" si="34"/>
        <v>0.31332720736405983</v>
      </c>
      <c r="K28" s="23">
        <f t="shared" si="34"/>
        <v>0.19275787477405393</v>
      </c>
      <c r="L28" s="23">
        <f t="shared" si="34"/>
        <v>0.14511097780443905</v>
      </c>
      <c r="M28" s="23">
        <f>+M6/H6-1</f>
        <v>0.10524160167966401</v>
      </c>
      <c r="N28" s="23">
        <f>+N6/I6-1</f>
        <v>0.10510881489781765</v>
      </c>
      <c r="O28" s="23">
        <f>+O6/J6-1</f>
        <v>0.10094794667779605</v>
      </c>
      <c r="U28" s="23">
        <f>+U6/T6-1</f>
        <v>0.23567055021685523</v>
      </c>
      <c r="V28" s="23">
        <f>+V6/U6-1</f>
        <v>0.38707803916656625</v>
      </c>
    </row>
    <row r="29" spans="2:81" s="22" customFormat="1" x14ac:dyDescent="0.2">
      <c r="F29" s="23"/>
      <c r="G29" s="23"/>
      <c r="H29" s="23"/>
      <c r="I29" s="23"/>
      <c r="J29" s="23"/>
      <c r="K29" s="23"/>
      <c r="L29" s="23"/>
      <c r="U29" s="23"/>
    </row>
    <row r="30" spans="2:81" s="22" customFormat="1" x14ac:dyDescent="0.2">
      <c r="B30" s="22" t="s">
        <v>116</v>
      </c>
      <c r="F30" s="23"/>
      <c r="G30" s="23">
        <f t="shared" ref="G30:J30" si="35">+G3/C3-1</f>
        <v>-9.3760271247426141E-3</v>
      </c>
      <c r="H30" s="23">
        <f t="shared" si="35"/>
        <v>0.18613092740243409</v>
      </c>
      <c r="I30" s="23">
        <f t="shared" si="35"/>
        <v>0.84734641737312733</v>
      </c>
      <c r="J30" s="23">
        <f t="shared" si="35"/>
        <v>0.32679372197309409</v>
      </c>
      <c r="K30" s="23">
        <f>+K3/G3-1</f>
        <v>0.17391076573823439</v>
      </c>
      <c r="L30" s="23">
        <f>+L3/H3-1</f>
        <v>0.11031115671047731</v>
      </c>
      <c r="M30" s="23">
        <f t="shared" ref="M30:O31" si="36">+M3/H3-1</f>
        <v>9.000000000000008E-2</v>
      </c>
      <c r="N30" s="23">
        <f t="shared" si="36"/>
        <v>0.1100000000000001</v>
      </c>
      <c r="O30" s="23">
        <f t="shared" si="36"/>
        <v>0.1100000000000001</v>
      </c>
      <c r="U30" s="23"/>
    </row>
    <row r="31" spans="2:81" s="22" customFormat="1" x14ac:dyDescent="0.2">
      <c r="B31" s="22" t="s">
        <v>117</v>
      </c>
      <c r="F31" s="23"/>
      <c r="G31" s="23">
        <f t="shared" ref="G31:J31" si="37">+G4/C4-1</f>
        <v>-0.22500000000000009</v>
      </c>
      <c r="H31" s="23">
        <f t="shared" si="37"/>
        <v>-0.13743113946071317</v>
      </c>
      <c r="I31" s="23">
        <f>+I4/E4-1</f>
        <v>1.2635607321131448</v>
      </c>
      <c r="J31" s="23">
        <f t="shared" si="37"/>
        <v>0.45886889460154245</v>
      </c>
      <c r="K31" s="23">
        <f>+K4/G4-1</f>
        <v>0.38611925708699912</v>
      </c>
      <c r="L31" s="23">
        <f>+L4/H4-1</f>
        <v>0.42773109243697482</v>
      </c>
      <c r="M31" s="23">
        <f t="shared" si="36"/>
        <v>0.21999999999999997</v>
      </c>
      <c r="N31" s="23">
        <f t="shared" si="36"/>
        <v>8.0000000000000071E-2</v>
      </c>
      <c r="O31" s="23">
        <f t="shared" si="36"/>
        <v>8.0000000000000071E-2</v>
      </c>
      <c r="U31" s="23"/>
    </row>
    <row r="32" spans="2:81" s="22" customFormat="1" x14ac:dyDescent="0.2">
      <c r="F32" s="23"/>
      <c r="G32" s="23"/>
      <c r="H32" s="23"/>
      <c r="I32" s="23"/>
      <c r="J32" s="23"/>
      <c r="K32" s="23"/>
      <c r="L32" s="23"/>
      <c r="U32" s="23"/>
    </row>
    <row r="33" spans="2:21" s="22" customFormat="1" x14ac:dyDescent="0.2">
      <c r="B33" s="22" t="s">
        <v>118</v>
      </c>
      <c r="D33" s="23"/>
      <c r="E33" s="23"/>
      <c r="F33" s="23"/>
      <c r="G33" s="23">
        <f t="shared" ref="G33:J33" si="38">+G7/C7-1</f>
        <v>-8.3750670720801335E-2</v>
      </c>
      <c r="H33" s="23">
        <f t="shared" si="38"/>
        <v>-2.653051008659979E-3</v>
      </c>
      <c r="I33" s="23">
        <f t="shared" si="38"/>
        <v>0.48652291105121304</v>
      </c>
      <c r="J33" s="23">
        <f t="shared" si="38"/>
        <v>0.26016794819910971</v>
      </c>
      <c r="K33" s="23">
        <f>+K7/G7-1</f>
        <v>0.23317554048118705</v>
      </c>
      <c r="L33" s="23">
        <f>+L7/H7-1</f>
        <v>0.23760289098574594</v>
      </c>
      <c r="M33" s="23">
        <f t="shared" ref="M33:O34" si="39">+M7/H7-1</f>
        <v>0.19999999999999996</v>
      </c>
      <c r="N33" s="23">
        <f t="shared" si="39"/>
        <v>0.18999999999999995</v>
      </c>
      <c r="O33" s="23">
        <f t="shared" si="39"/>
        <v>0.22999999999999998</v>
      </c>
      <c r="U33" s="23"/>
    </row>
    <row r="34" spans="2:21" s="22" customFormat="1" x14ac:dyDescent="0.2">
      <c r="B34" s="22" t="s">
        <v>119</v>
      </c>
      <c r="D34" s="23"/>
      <c r="E34" s="23"/>
      <c r="F34" s="23"/>
      <c r="G34" s="23">
        <f t="shared" ref="G34" si="40">+G8/C8-1</f>
        <v>1.623250044302682E-2</v>
      </c>
      <c r="H34" s="23">
        <f t="shared" ref="H34" si="41">+H8/D8-1</f>
        <v>3.744396266627481E-2</v>
      </c>
      <c r="I34" s="23">
        <f t="shared" ref="I34" si="42">+I8/E8-1</f>
        <v>0.16908345811332648</v>
      </c>
      <c r="J34" s="23">
        <f t="shared" ref="J34" si="43">+J8/F8-1</f>
        <v>0.21987031378102406</v>
      </c>
      <c r="K34" s="23">
        <f>+K8/G8-1</f>
        <v>0.1857845359746102</v>
      </c>
      <c r="L34" s="23">
        <f>+L8/H8-1</f>
        <v>0.17405164169588772</v>
      </c>
      <c r="M34" s="23">
        <f t="shared" si="39"/>
        <v>9.000000000000008E-2</v>
      </c>
      <c r="N34" s="23">
        <f t="shared" si="39"/>
        <v>9.000000000000008E-2</v>
      </c>
      <c r="O34" s="23">
        <f t="shared" si="39"/>
        <v>5.7095212928453654E-2</v>
      </c>
      <c r="U34" s="23"/>
    </row>
    <row r="35" spans="2:21" s="22" customFormat="1" x14ac:dyDescent="0.2">
      <c r="B35" s="22" t="s">
        <v>120</v>
      </c>
      <c r="D35" s="23"/>
      <c r="E35" s="23"/>
      <c r="F35" s="23"/>
      <c r="G35" s="23">
        <f t="shared" ref="G35:J35" si="44">+G12/C12-1</f>
        <v>8.7286964532473643E-2</v>
      </c>
      <c r="H35" s="23">
        <f t="shared" si="44"/>
        <v>0.14243542435424339</v>
      </c>
      <c r="I35" s="23">
        <f>+I12/E12-1</f>
        <v>-0.95048762190547631</v>
      </c>
      <c r="J35" s="23">
        <f t="shared" si="44"/>
        <v>0.14168564920273341</v>
      </c>
      <c r="K35" s="23">
        <f>+K12/G12-1</f>
        <v>0.11374708748146567</v>
      </c>
      <c r="L35" s="23">
        <f>+L12/H12-1</f>
        <v>3.6821705426356655E-2</v>
      </c>
      <c r="M35" s="23">
        <f>+M12/H12-1</f>
        <v>0.10000000000000009</v>
      </c>
      <c r="N35" s="23">
        <f>+N12/I12-1</f>
        <v>0.10000000000000009</v>
      </c>
      <c r="O35" s="23">
        <f>+O12/J12-1</f>
        <v>0.10000000000000009</v>
      </c>
      <c r="U35" s="23"/>
    </row>
    <row r="36" spans="2:21" x14ac:dyDescent="0.2">
      <c r="K36" s="6"/>
      <c r="L36" s="6"/>
    </row>
    <row r="37" spans="2:21" s="3" customFormat="1" ht="15" x14ac:dyDescent="0.25">
      <c r="B37" s="3" t="s">
        <v>51</v>
      </c>
      <c r="E37" s="5">
        <f t="shared" ref="E37:J37" si="45">+E38-E56</f>
        <v>-11986.400000000001</v>
      </c>
      <c r="F37" s="5">
        <f t="shared" si="45"/>
        <v>-7447.7</v>
      </c>
      <c r="G37" s="5">
        <f t="shared" si="45"/>
        <v>-9965.6</v>
      </c>
      <c r="H37" s="5">
        <f t="shared" si="45"/>
        <v>-9860.6999999999989</v>
      </c>
      <c r="I37" s="5">
        <f t="shared" si="45"/>
        <v>-8890.2000000000007</v>
      </c>
      <c r="J37" s="5">
        <f t="shared" si="45"/>
        <v>-7447.7</v>
      </c>
      <c r="K37" s="5">
        <f>+K38-K56</f>
        <v>-10177.299999999999</v>
      </c>
      <c r="L37" s="5">
        <f>+L38-L56</f>
        <v>-11461.099999999999</v>
      </c>
      <c r="M37" s="5">
        <f>+K37+M20</f>
        <v>-9132.3397999999979</v>
      </c>
      <c r="N37" s="5">
        <f>+M37+N20</f>
        <v>-7215.3215743999981</v>
      </c>
      <c r="O37" s="5">
        <f>+N37+O20</f>
        <v>-5734.0782923159977</v>
      </c>
    </row>
    <row r="38" spans="2:21" x14ac:dyDescent="0.2">
      <c r="B38" t="s">
        <v>2</v>
      </c>
      <c r="E38" s="1">
        <f>3965.9+229.9+223.4+426.1</f>
        <v>4845.3</v>
      </c>
      <c r="F38" s="1">
        <f>6455.7+162.2+281.7+268.5</f>
        <v>7168.0999999999995</v>
      </c>
      <c r="G38" s="1">
        <f>5028.1+235.5+190.9+496</f>
        <v>5950.5</v>
      </c>
      <c r="H38" s="1">
        <f>3880.7+123+284.8+499.4</f>
        <v>4787.8999999999996</v>
      </c>
      <c r="I38" s="1">
        <f>4753.1+153.6+285.9+535.3</f>
        <v>5727.9000000000005</v>
      </c>
      <c r="J38" s="1">
        <f>6455.7+162.2+281.7+268.5</f>
        <v>7168.0999999999995</v>
      </c>
      <c r="K38" s="1">
        <f>3969.4+87.4+299.6+251.9</f>
        <v>4608.3</v>
      </c>
      <c r="L38" s="1">
        <f>3913.4+82.1+285.6+270.8</f>
        <v>4551.9000000000005</v>
      </c>
    </row>
    <row r="39" spans="2:21" x14ac:dyDescent="0.2">
      <c r="B39" t="s">
        <v>42</v>
      </c>
      <c r="E39" s="1">
        <v>881.1</v>
      </c>
      <c r="F39" s="1">
        <v>940</v>
      </c>
      <c r="G39" s="1">
        <v>888</v>
      </c>
      <c r="H39" s="1">
        <v>880.2</v>
      </c>
      <c r="I39" s="1">
        <v>911.2</v>
      </c>
      <c r="J39" s="1">
        <v>940</v>
      </c>
      <c r="K39" s="1">
        <v>1031.0999999999999</v>
      </c>
      <c r="L39" s="1">
        <v>1001.9</v>
      </c>
    </row>
    <row r="40" spans="2:21" x14ac:dyDescent="0.2">
      <c r="B40" t="s">
        <v>43</v>
      </c>
      <c r="E40" s="1">
        <v>1583.8</v>
      </c>
      <c r="F40" s="1">
        <v>1603.9</v>
      </c>
      <c r="G40" s="1">
        <v>1471.5</v>
      </c>
      <c r="H40" s="1">
        <v>1503.6</v>
      </c>
      <c r="I40" s="1">
        <v>1548.2</v>
      </c>
      <c r="J40" s="1">
        <v>1603.9</v>
      </c>
      <c r="K40" s="1">
        <v>1637.1</v>
      </c>
      <c r="L40" s="1">
        <v>1920</v>
      </c>
    </row>
    <row r="41" spans="2:21" ht="15" x14ac:dyDescent="0.25">
      <c r="B41" t="s">
        <v>44</v>
      </c>
      <c r="E41" s="1">
        <v>920.3</v>
      </c>
      <c r="F41" s="1">
        <v>594.4</v>
      </c>
      <c r="G41" s="1">
        <v>734.4</v>
      </c>
      <c r="H41" s="1">
        <v>592</v>
      </c>
      <c r="I41" s="1">
        <v>565.6</v>
      </c>
      <c r="J41" s="1">
        <v>594.6</v>
      </c>
      <c r="K41" s="1">
        <v>530.1</v>
      </c>
      <c r="L41" s="1">
        <v>623.70000000000005</v>
      </c>
      <c r="Q41" t="s">
        <v>113</v>
      </c>
      <c r="R41" s="18">
        <v>-0.03</v>
      </c>
    </row>
    <row r="42" spans="2:21" x14ac:dyDescent="0.2">
      <c r="B42" t="s">
        <v>45</v>
      </c>
      <c r="E42" s="1">
        <v>6295.6</v>
      </c>
      <c r="F42" s="1">
        <v>6369.5</v>
      </c>
      <c r="G42" s="1">
        <v>6177.9</v>
      </c>
      <c r="H42" s="1">
        <v>6123.1</v>
      </c>
      <c r="I42" s="1">
        <v>6151.4</v>
      </c>
      <c r="J42" s="1">
        <v>6369.5</v>
      </c>
      <c r="K42" s="1">
        <v>6398</v>
      </c>
      <c r="L42" s="1">
        <v>6460.8</v>
      </c>
      <c r="Q42" t="s">
        <v>114</v>
      </c>
      <c r="R42" s="6">
        <v>-4.4999999999999998E-2</v>
      </c>
    </row>
    <row r="43" spans="2:21" x14ac:dyDescent="0.2">
      <c r="B43" t="s">
        <v>46</v>
      </c>
      <c r="E43" s="1">
        <v>8214</v>
      </c>
      <c r="F43" s="1">
        <v>8236</v>
      </c>
      <c r="G43" s="1">
        <v>8199.4</v>
      </c>
      <c r="H43" s="1">
        <v>8036.8</v>
      </c>
      <c r="I43" s="1">
        <v>8065.2</v>
      </c>
      <c r="J43" s="1">
        <v>8236</v>
      </c>
      <c r="K43" s="1">
        <v>8203.4</v>
      </c>
      <c r="L43" s="1">
        <v>8170.2</v>
      </c>
      <c r="Q43" t="s">
        <v>115</v>
      </c>
      <c r="R43" s="6">
        <v>0.05</v>
      </c>
    </row>
    <row r="44" spans="2:21" x14ac:dyDescent="0.2">
      <c r="B44" t="s">
        <v>47</v>
      </c>
      <c r="E44" s="1">
        <v>1740</v>
      </c>
      <c r="F44" s="1">
        <v>1874.8</v>
      </c>
      <c r="G44" s="1">
        <v>1792.4</v>
      </c>
      <c r="H44" s="1">
        <v>1770</v>
      </c>
      <c r="I44" s="1">
        <v>1851</v>
      </c>
      <c r="J44" s="1">
        <v>1874.8</v>
      </c>
      <c r="K44" s="1">
        <v>1859.7</v>
      </c>
      <c r="L44" s="1">
        <v>1809.4</v>
      </c>
      <c r="Q44" t="s">
        <v>121</v>
      </c>
      <c r="R44" s="20">
        <f>+NPV(R43,V20:CC20)+U20</f>
        <v>109629.32082136533</v>
      </c>
    </row>
    <row r="45" spans="2:21" x14ac:dyDescent="0.2">
      <c r="B45" t="s">
        <v>48</v>
      </c>
      <c r="E45" s="1">
        <v>550.79999999999995</v>
      </c>
      <c r="F45" s="1">
        <v>578.5</v>
      </c>
      <c r="G45" s="1">
        <v>541.1</v>
      </c>
      <c r="H45" s="1">
        <v>574.9</v>
      </c>
      <c r="I45" s="1">
        <v>586.29999999999995</v>
      </c>
      <c r="J45" s="1">
        <v>578.5</v>
      </c>
      <c r="K45" s="1">
        <v>588</v>
      </c>
      <c r="L45" s="1">
        <v>582.79999999999995</v>
      </c>
      <c r="Q45" t="s">
        <v>122</v>
      </c>
      <c r="R45" s="1">
        <f>+Main!K15</f>
        <v>1147.4000000000001</v>
      </c>
    </row>
    <row r="46" spans="2:21" x14ac:dyDescent="0.2">
      <c r="B46" t="s">
        <v>49</v>
      </c>
      <c r="E46" s="1">
        <f>599.6+3510.1</f>
        <v>4109.7</v>
      </c>
      <c r="F46" s="1">
        <f>349.9+3677</f>
        <v>4026.9</v>
      </c>
      <c r="G46" s="1">
        <f>506.4+3706.8</f>
        <v>4213.2</v>
      </c>
      <c r="H46" s="1">
        <f>444.3+3658.9</f>
        <v>4103.2</v>
      </c>
      <c r="I46" s="1">
        <f>398+3672</f>
        <v>4070</v>
      </c>
      <c r="J46" s="1">
        <f>349.9+3677.3</f>
        <v>4027.2000000000003</v>
      </c>
      <c r="K46" s="1">
        <f>302.5+3675.7</f>
        <v>3978.2</v>
      </c>
      <c r="L46" s="1">
        <f>254.7+3646.1</f>
        <v>3900.7999999999997</v>
      </c>
      <c r="Q46" t="s">
        <v>123</v>
      </c>
      <c r="R46" s="4">
        <f>+R44/R45</f>
        <v>95.54586092153157</v>
      </c>
    </row>
    <row r="47" spans="2:21" s="3" customFormat="1" ht="15" x14ac:dyDescent="0.25">
      <c r="B47" s="3" t="s">
        <v>131</v>
      </c>
      <c r="E47" s="5">
        <f>+SUM(E38:E41)</f>
        <v>8230.5</v>
      </c>
      <c r="F47" s="5">
        <f t="shared" ref="F47:L47" si="46">+SUM(F38:F41)</f>
        <v>10306.4</v>
      </c>
      <c r="G47" s="5">
        <f t="shared" si="46"/>
        <v>9044.4</v>
      </c>
      <c r="H47" s="5">
        <f t="shared" si="46"/>
        <v>7763.6999999999989</v>
      </c>
      <c r="I47" s="5">
        <f t="shared" si="46"/>
        <v>8752.9</v>
      </c>
      <c r="J47" s="5">
        <f t="shared" si="46"/>
        <v>10306.6</v>
      </c>
      <c r="K47" s="5">
        <f t="shared" si="46"/>
        <v>7806.6</v>
      </c>
      <c r="L47" s="5">
        <f t="shared" si="46"/>
        <v>8097.5</v>
      </c>
      <c r="R47" s="25"/>
    </row>
    <row r="48" spans="2:21" s="3" customFormat="1" ht="15" x14ac:dyDescent="0.25">
      <c r="B48" s="3" t="s">
        <v>50</v>
      </c>
      <c r="E48" s="5">
        <f t="shared" ref="E48:K48" si="47">+SUM(E38:E46)</f>
        <v>29140.6</v>
      </c>
      <c r="F48" s="5">
        <f t="shared" si="47"/>
        <v>31392.100000000002</v>
      </c>
      <c r="G48" s="5">
        <f t="shared" si="47"/>
        <v>29968.399999999998</v>
      </c>
      <c r="H48" s="5">
        <f t="shared" si="47"/>
        <v>28371.7</v>
      </c>
      <c r="I48" s="5">
        <f t="shared" si="47"/>
        <v>29476.799999999999</v>
      </c>
      <c r="J48" s="5">
        <f t="shared" si="47"/>
        <v>31392.6</v>
      </c>
      <c r="K48" s="5">
        <f t="shared" si="47"/>
        <v>28833.9</v>
      </c>
      <c r="L48" s="5">
        <f t="shared" ref="L48" si="48">+SUM(L38:L46)</f>
        <v>29021.5</v>
      </c>
      <c r="Q48" s="3" t="s">
        <v>124</v>
      </c>
      <c r="R48" s="3">
        <f>+Main!K14</f>
        <v>83.36</v>
      </c>
    </row>
    <row r="49" spans="2:18" x14ac:dyDescent="0.2">
      <c r="R49" s="6">
        <f>+R46/R48-1</f>
        <v>0.14618355232163593</v>
      </c>
    </row>
    <row r="50" spans="2:18" x14ac:dyDescent="0.2">
      <c r="B50" t="s">
        <v>52</v>
      </c>
      <c r="E50" s="1">
        <v>860.8</v>
      </c>
      <c r="F50" s="1">
        <v>1211.5999999999999</v>
      </c>
      <c r="G50" s="1">
        <v>1050.5999999999999</v>
      </c>
      <c r="H50" s="1">
        <v>1033.5999999999999</v>
      </c>
      <c r="I50" s="1">
        <v>1127</v>
      </c>
      <c r="J50" s="1">
        <v>1211.5999999999999</v>
      </c>
      <c r="K50" s="1">
        <v>1289.4000000000001</v>
      </c>
      <c r="L50" s="1">
        <v>1329.5</v>
      </c>
    </row>
    <row r="51" spans="2:18" x14ac:dyDescent="0.2">
      <c r="B51" t="s">
        <v>53</v>
      </c>
      <c r="E51" s="1">
        <v>1511.7</v>
      </c>
      <c r="F51" s="1">
        <v>1973.2</v>
      </c>
      <c r="G51" s="1">
        <v>1616.9</v>
      </c>
      <c r="H51" s="1">
        <v>1771.6</v>
      </c>
      <c r="I51" s="1">
        <v>1791.4</v>
      </c>
      <c r="J51" s="1">
        <v>1973.2</v>
      </c>
      <c r="K51" s="1">
        <v>2444.3000000000002</v>
      </c>
      <c r="L51" s="1">
        <v>2092.4</v>
      </c>
    </row>
    <row r="52" spans="2:18" x14ac:dyDescent="0.2">
      <c r="B52" t="s">
        <v>54</v>
      </c>
      <c r="E52" s="1">
        <v>652.1</v>
      </c>
      <c r="F52" s="1">
        <v>772.3</v>
      </c>
      <c r="G52" s="1">
        <v>685.3</v>
      </c>
      <c r="H52" s="1">
        <v>646.1</v>
      </c>
      <c r="I52" s="1">
        <v>741</v>
      </c>
      <c r="J52" s="1">
        <v>772.3</v>
      </c>
      <c r="K52" s="1">
        <v>664.1</v>
      </c>
      <c r="L52" s="1">
        <v>665.9</v>
      </c>
    </row>
    <row r="53" spans="2:18" x14ac:dyDescent="0.2">
      <c r="B53" t="s">
        <v>94</v>
      </c>
      <c r="E53" s="1">
        <v>90.9</v>
      </c>
      <c r="F53" s="1">
        <v>348</v>
      </c>
      <c r="G53" s="1">
        <v>149.69999999999999</v>
      </c>
      <c r="H53" s="1">
        <v>117</v>
      </c>
      <c r="I53" s="1">
        <v>204.8</v>
      </c>
      <c r="J53" s="1">
        <v>348</v>
      </c>
      <c r="K53" s="1"/>
      <c r="L53" s="1"/>
    </row>
    <row r="54" spans="2:18" x14ac:dyDescent="0.2">
      <c r="B54" t="s">
        <v>46</v>
      </c>
      <c r="E54" s="1">
        <v>1237.0999999999999</v>
      </c>
      <c r="F54" s="1">
        <v>1251.3</v>
      </c>
      <c r="G54" s="1">
        <v>1267.5999999999999</v>
      </c>
      <c r="H54" s="1">
        <v>1296.4000000000001</v>
      </c>
      <c r="I54" s="1">
        <v>1308.4000000000001</v>
      </c>
      <c r="J54" s="1">
        <v>1251.3</v>
      </c>
      <c r="K54" s="1">
        <v>1253.3</v>
      </c>
      <c r="L54" s="1">
        <v>1236.3</v>
      </c>
    </row>
    <row r="55" spans="2:18" x14ac:dyDescent="0.2">
      <c r="B55" t="s">
        <v>55</v>
      </c>
      <c r="E55" s="1">
        <v>1463.3</v>
      </c>
      <c r="F55" s="1">
        <v>1596.1</v>
      </c>
      <c r="G55" s="1">
        <v>1871.2</v>
      </c>
      <c r="H55" s="1">
        <v>1622.1</v>
      </c>
      <c r="I55" s="1">
        <v>1628.3</v>
      </c>
      <c r="J55" s="1">
        <v>1596.1</v>
      </c>
      <c r="K55" s="1">
        <v>2070.6999999999998</v>
      </c>
      <c r="L55" s="1">
        <v>1781.6</v>
      </c>
    </row>
    <row r="56" spans="2:18" x14ac:dyDescent="0.2">
      <c r="B56" t="s">
        <v>3</v>
      </c>
      <c r="E56" s="1">
        <f>936.5+1249.6+14645.6</f>
        <v>16831.7</v>
      </c>
      <c r="F56" s="1">
        <f>998.9+13616.9</f>
        <v>14615.8</v>
      </c>
      <c r="G56" s="1">
        <f>492.6+750+14673.5</f>
        <v>15916.1</v>
      </c>
      <c r="H56" s="1">
        <f>18.3+14630.3</f>
        <v>14648.599999999999</v>
      </c>
      <c r="I56" s="1">
        <f>998.9+13619.2</f>
        <v>14618.1</v>
      </c>
      <c r="J56" s="1">
        <f>0+998.9+13616.9</f>
        <v>14615.8</v>
      </c>
      <c r="K56" s="1">
        <f>200+999.3+13586.3</f>
        <v>14785.599999999999</v>
      </c>
      <c r="L56" s="1">
        <f>1998.6+14014.4</f>
        <v>16013</v>
      </c>
    </row>
    <row r="57" spans="2:18" x14ac:dyDescent="0.2">
      <c r="B57" t="s">
        <v>46</v>
      </c>
      <c r="E57" s="1">
        <v>7653.6</v>
      </c>
      <c r="F57" s="1">
        <v>7738</v>
      </c>
      <c r="G57" s="1">
        <v>7754.5</v>
      </c>
      <c r="H57" s="1">
        <v>7577.7</v>
      </c>
      <c r="I57" s="1">
        <v>7597.8</v>
      </c>
      <c r="J57" s="1">
        <v>7738</v>
      </c>
      <c r="K57" s="1">
        <v>7708</v>
      </c>
      <c r="L57" s="1">
        <v>7668.5</v>
      </c>
    </row>
    <row r="58" spans="2:18" x14ac:dyDescent="0.2">
      <c r="B58" t="s">
        <v>56</v>
      </c>
      <c r="E58" s="1">
        <v>6642.6</v>
      </c>
      <c r="F58" s="1">
        <v>6463</v>
      </c>
      <c r="G58" s="1">
        <v>6597.7</v>
      </c>
      <c r="H58" s="1">
        <v>6532.1</v>
      </c>
      <c r="I58" s="1">
        <v>6491.4</v>
      </c>
      <c r="J58" s="1">
        <v>6463</v>
      </c>
      <c r="K58" s="1">
        <v>6447.7</v>
      </c>
      <c r="L58" s="1">
        <v>6381.9</v>
      </c>
    </row>
    <row r="59" spans="2:18" x14ac:dyDescent="0.2">
      <c r="B59" t="s">
        <v>57</v>
      </c>
      <c r="E59" s="1">
        <v>821.1</v>
      </c>
      <c r="F59" s="1">
        <v>737.8</v>
      </c>
      <c r="G59" s="1">
        <v>962.8</v>
      </c>
      <c r="H59" s="1">
        <v>774.8</v>
      </c>
      <c r="I59" s="1">
        <v>762.9</v>
      </c>
      <c r="J59" s="1">
        <v>737.8</v>
      </c>
      <c r="K59" s="1">
        <v>621.1</v>
      </c>
      <c r="L59" s="1">
        <v>613.6</v>
      </c>
    </row>
    <row r="60" spans="2:18" s="3" customFormat="1" ht="15" x14ac:dyDescent="0.25">
      <c r="B60" s="3" t="s">
        <v>132</v>
      </c>
      <c r="E60" s="5">
        <f>+SUM(E50:E53)</f>
        <v>3115.5</v>
      </c>
      <c r="F60" s="5">
        <f t="shared" ref="F60:L60" si="49">+SUM(F50:F53)</f>
        <v>4305.1000000000004</v>
      </c>
      <c r="G60" s="5">
        <f t="shared" si="49"/>
        <v>3502.5</v>
      </c>
      <c r="H60" s="5">
        <f t="shared" si="49"/>
        <v>3568.2999999999997</v>
      </c>
      <c r="I60" s="5">
        <f t="shared" si="49"/>
        <v>3864.2000000000003</v>
      </c>
      <c r="J60" s="5">
        <f t="shared" si="49"/>
        <v>4305.1000000000004</v>
      </c>
      <c r="K60" s="5">
        <f t="shared" si="49"/>
        <v>4397.8</v>
      </c>
      <c r="L60" s="5">
        <f t="shared" si="49"/>
        <v>4087.8</v>
      </c>
    </row>
    <row r="61" spans="2:18" s="3" customFormat="1" ht="15" x14ac:dyDescent="0.25">
      <c r="B61" s="3" t="s">
        <v>58</v>
      </c>
      <c r="E61" s="5">
        <f t="shared" ref="E61:K61" si="50">+SUM(E50:E59)</f>
        <v>37764.9</v>
      </c>
      <c r="F61" s="5">
        <f t="shared" si="50"/>
        <v>36707.100000000006</v>
      </c>
      <c r="G61" s="5">
        <f t="shared" si="50"/>
        <v>37872.400000000001</v>
      </c>
      <c r="H61" s="5">
        <f t="shared" si="50"/>
        <v>36020</v>
      </c>
      <c r="I61" s="5">
        <f t="shared" si="50"/>
        <v>36271.1</v>
      </c>
      <c r="J61" s="5">
        <f t="shared" si="50"/>
        <v>36707.100000000006</v>
      </c>
      <c r="K61" s="5">
        <f t="shared" si="50"/>
        <v>37284.199999999997</v>
      </c>
      <c r="L61" s="5">
        <f t="shared" ref="L61" si="51">+SUM(L50:L59)</f>
        <v>37782.699999999997</v>
      </c>
    </row>
    <row r="62" spans="2:18" x14ac:dyDescent="0.2">
      <c r="B62" s="21" t="s">
        <v>127</v>
      </c>
      <c r="E62" s="1">
        <f t="shared" ref="E62:K62" si="52">+E48-E61</f>
        <v>-8624.3000000000029</v>
      </c>
      <c r="F62" s="1">
        <f t="shared" si="52"/>
        <v>-5315.0000000000036</v>
      </c>
      <c r="G62" s="1">
        <f t="shared" si="52"/>
        <v>-7904.0000000000036</v>
      </c>
      <c r="H62" s="1">
        <f t="shared" si="52"/>
        <v>-7648.2999999999993</v>
      </c>
      <c r="I62" s="1">
        <f t="shared" si="52"/>
        <v>-6794.2999999999993</v>
      </c>
      <c r="J62" s="1">
        <f>+J48-J61</f>
        <v>-5314.5000000000073</v>
      </c>
      <c r="K62" s="1">
        <f t="shared" si="52"/>
        <v>-8450.2999999999956</v>
      </c>
      <c r="L62" s="1">
        <f>+L48-L61</f>
        <v>-8761.1999999999971</v>
      </c>
    </row>
    <row r="63" spans="2:18" x14ac:dyDescent="0.2">
      <c r="B63" t="s">
        <v>128</v>
      </c>
      <c r="E63" s="1">
        <f t="shared" ref="E63:K63" si="53">+E61+E62</f>
        <v>29140.6</v>
      </c>
      <c r="F63" s="1">
        <f t="shared" si="53"/>
        <v>31392.100000000002</v>
      </c>
      <c r="G63" s="1">
        <f t="shared" si="53"/>
        <v>29968.399999999998</v>
      </c>
      <c r="H63" s="1">
        <f t="shared" si="53"/>
        <v>28371.7</v>
      </c>
      <c r="I63" s="1">
        <f t="shared" si="53"/>
        <v>29476.799999999999</v>
      </c>
      <c r="J63" s="1">
        <f t="shared" si="53"/>
        <v>31392.6</v>
      </c>
      <c r="K63" s="1">
        <f t="shared" si="53"/>
        <v>28833.9</v>
      </c>
      <c r="L63" s="1">
        <f>+L61+L62</f>
        <v>29021.5</v>
      </c>
    </row>
    <row r="64" spans="2:18" x14ac:dyDescent="0.2">
      <c r="E64" s="1"/>
      <c r="F64" s="1"/>
      <c r="G64" s="1"/>
      <c r="H64" s="1"/>
      <c r="I64" s="1"/>
      <c r="J64" s="1"/>
      <c r="K64" s="1"/>
      <c r="L64" s="1"/>
    </row>
    <row r="65" spans="2:12" s="22" customFormat="1" x14ac:dyDescent="0.2">
      <c r="B65" s="22" t="s">
        <v>130</v>
      </c>
      <c r="E65" s="24"/>
      <c r="F65" s="24"/>
      <c r="G65" s="24">
        <f>+G6+G80+G85</f>
        <v>7167.9000000000005</v>
      </c>
      <c r="H65" s="24">
        <f t="shared" ref="H65:L65" si="54">+H6+H80+H85</f>
        <v>6770.6</v>
      </c>
      <c r="I65" s="24">
        <f t="shared" si="54"/>
        <v>7535.6999999999989</v>
      </c>
      <c r="J65" s="24">
        <f t="shared" si="54"/>
        <v>8097.5999999999995</v>
      </c>
      <c r="K65" s="24">
        <f t="shared" si="54"/>
        <v>8420.0999999999985</v>
      </c>
      <c r="L65" s="24">
        <f t="shared" si="54"/>
        <v>7683.6999999999989</v>
      </c>
    </row>
    <row r="66" spans="2:12" s="22" customFormat="1" x14ac:dyDescent="0.2">
      <c r="B66" s="22" t="s">
        <v>129</v>
      </c>
      <c r="E66" s="24"/>
      <c r="F66" s="24"/>
      <c r="G66" s="24">
        <f>+G10-G81+G84</f>
        <v>4942.8999999999996</v>
      </c>
      <c r="H66" s="24">
        <f>+H10-H81+H84</f>
        <v>4873.4000000000005</v>
      </c>
      <c r="I66" s="24">
        <f>+I10-I81+I84</f>
        <v>5344.0999999999995</v>
      </c>
      <c r="J66" s="24">
        <f>+J10-J81+J84</f>
        <v>6112.8</v>
      </c>
      <c r="K66" s="24">
        <f t="shared" ref="K66" si="55">+K10-K81+K84</f>
        <v>6148.5999999999995</v>
      </c>
      <c r="L66" s="24">
        <f>+L10-L81+L84</f>
        <v>6340.0999999999995</v>
      </c>
    </row>
    <row r="67" spans="2:12" x14ac:dyDescent="0.2">
      <c r="E67" s="1"/>
      <c r="F67" s="1"/>
      <c r="G67" s="1"/>
      <c r="H67" s="1"/>
      <c r="I67" s="1"/>
      <c r="J67" s="1"/>
      <c r="K67" s="1"/>
      <c r="L67" s="1"/>
    </row>
    <row r="69" spans="2:12" x14ac:dyDescent="0.2">
      <c r="B69" t="s">
        <v>59</v>
      </c>
      <c r="D69" s="1">
        <f t="shared" ref="D69:K69" si="56">+D20</f>
        <v>676.79999999999939</v>
      </c>
      <c r="E69" s="1">
        <f t="shared" si="56"/>
        <v>-239.30000000000021</v>
      </c>
      <c r="F69" s="1">
        <f t="shared" si="56"/>
        <v>950.50000000000091</v>
      </c>
      <c r="G69" s="1">
        <f t="shared" si="56"/>
        <v>1060.5000000000007</v>
      </c>
      <c r="H69" s="1">
        <f t="shared" si="56"/>
        <v>1049.0999999999995</v>
      </c>
      <c r="I69" s="1">
        <f t="shared" si="56"/>
        <v>2002.5000000000002</v>
      </c>
      <c r="J69" s="1">
        <f t="shared" si="56"/>
        <v>1310.0999999999995</v>
      </c>
      <c r="K69" s="1">
        <f t="shared" si="56"/>
        <v>1174.4000000000001</v>
      </c>
      <c r="L69" s="1">
        <f t="shared" ref="L69" si="57">+L20</f>
        <v>1046.5999999999997</v>
      </c>
    </row>
    <row r="70" spans="2:12" x14ac:dyDescent="0.2">
      <c r="B70" t="s">
        <v>60</v>
      </c>
      <c r="D70" s="1">
        <v>1210.0999999999999</v>
      </c>
      <c r="E70" s="1">
        <v>532</v>
      </c>
      <c r="F70" s="1">
        <v>4200.3</v>
      </c>
      <c r="G70" s="1">
        <v>622.20000000000005</v>
      </c>
      <c r="H70" s="1">
        <v>1281.5999999999999</v>
      </c>
      <c r="I70" s="1">
        <v>2435.6999999999998</v>
      </c>
      <c r="J70" s="1">
        <v>4200.3</v>
      </c>
      <c r="K70" s="1">
        <v>816.1</v>
      </c>
      <c r="L70" s="1">
        <v>1491.1</v>
      </c>
    </row>
    <row r="71" spans="2:12" x14ac:dyDescent="0.2">
      <c r="B71" t="s">
        <v>61</v>
      </c>
      <c r="D71" s="1">
        <v>746.9</v>
      </c>
      <c r="E71" s="1">
        <v>1124</v>
      </c>
      <c r="F71" s="1">
        <v>1524.1</v>
      </c>
      <c r="G71" s="1">
        <v>388.4</v>
      </c>
      <c r="H71" s="1">
        <v>772.9</v>
      </c>
      <c r="I71" s="1">
        <v>1146.2</v>
      </c>
      <c r="J71" s="1">
        <v>1524.1</v>
      </c>
      <c r="K71" s="1">
        <v>386.4</v>
      </c>
      <c r="L71" s="1">
        <v>777.7</v>
      </c>
    </row>
    <row r="72" spans="2:12" x14ac:dyDescent="0.2">
      <c r="B72" t="s">
        <v>47</v>
      </c>
      <c r="D72" s="1">
        <v>47.7</v>
      </c>
      <c r="E72" s="1">
        <v>20</v>
      </c>
      <c r="F72" s="1">
        <v>-146.19999999999999</v>
      </c>
      <c r="G72" s="1">
        <v>-6.1</v>
      </c>
      <c r="H72" s="1">
        <v>-25.2</v>
      </c>
      <c r="I72" s="1">
        <v>-113.2</v>
      </c>
      <c r="J72" s="1">
        <v>-146.19999999999999</v>
      </c>
      <c r="K72" s="1"/>
      <c r="L72" s="1">
        <v>28.4</v>
      </c>
    </row>
    <row r="73" spans="2:12" x14ac:dyDescent="0.2">
      <c r="B73" t="s">
        <v>62</v>
      </c>
      <c r="D73" s="1">
        <v>-116.3</v>
      </c>
      <c r="E73" s="1">
        <v>-182.3</v>
      </c>
      <c r="F73" s="1">
        <v>-347.3</v>
      </c>
      <c r="G73" s="1">
        <v>-69</v>
      </c>
      <c r="H73" s="1">
        <v>-131.30000000000001</v>
      </c>
      <c r="I73" s="1">
        <v>-238.3</v>
      </c>
      <c r="J73" s="1">
        <v>-347.3</v>
      </c>
      <c r="K73" s="1">
        <v>-46.6</v>
      </c>
      <c r="L73" s="1">
        <v>-118.7</v>
      </c>
    </row>
    <row r="74" spans="2:12" x14ac:dyDescent="0.2">
      <c r="B74" t="s">
        <v>63</v>
      </c>
      <c r="D74" s="1">
        <v>98.1</v>
      </c>
      <c r="E74" s="1">
        <v>165.6</v>
      </c>
      <c r="F74" s="1">
        <v>336</v>
      </c>
      <c r="G74" s="1">
        <v>77.2</v>
      </c>
      <c r="H74" s="1">
        <v>130.19999999999999</v>
      </c>
      <c r="I74" s="1">
        <v>226.7</v>
      </c>
      <c r="J74" s="1">
        <v>336</v>
      </c>
      <c r="K74" s="1">
        <v>44.9</v>
      </c>
      <c r="L74" s="1">
        <v>100.8</v>
      </c>
    </row>
    <row r="75" spans="2:12" x14ac:dyDescent="0.2">
      <c r="B75" t="s">
        <v>95</v>
      </c>
      <c r="F75" s="1">
        <v>-864.5</v>
      </c>
      <c r="G75" s="1"/>
      <c r="J75" s="7">
        <v>-864.5</v>
      </c>
      <c r="K75" s="1"/>
    </row>
    <row r="76" spans="2:12" x14ac:dyDescent="0.2">
      <c r="B76" t="s">
        <v>64</v>
      </c>
      <c r="D76" s="1">
        <v>146.6</v>
      </c>
      <c r="E76" s="1">
        <v>188</v>
      </c>
      <c r="F76" s="1">
        <v>319.10000000000002</v>
      </c>
      <c r="G76" s="1">
        <v>99.3</v>
      </c>
      <c r="H76" s="1">
        <v>175.3</v>
      </c>
      <c r="I76" s="1">
        <v>255.3</v>
      </c>
      <c r="J76" s="1">
        <v>319.10000000000002</v>
      </c>
      <c r="K76" s="1">
        <v>95.8</v>
      </c>
      <c r="L76" s="1">
        <v>149.19999999999999</v>
      </c>
    </row>
    <row r="77" spans="2:12" x14ac:dyDescent="0.2">
      <c r="B77" t="s">
        <v>65</v>
      </c>
      <c r="D77" s="1">
        <v>596.29999999999995</v>
      </c>
      <c r="E77" s="1">
        <v>902.4</v>
      </c>
      <c r="F77" s="1">
        <v>1248.5999999999999</v>
      </c>
      <c r="G77" s="1">
        <v>308.3</v>
      </c>
      <c r="H77" s="1">
        <v>617.9</v>
      </c>
      <c r="I77" s="1">
        <v>931.7</v>
      </c>
      <c r="J77" s="1">
        <v>1248.5999999999999</v>
      </c>
      <c r="K77" s="1">
        <v>330.4</v>
      </c>
      <c r="L77" s="1">
        <v>670.7</v>
      </c>
    </row>
    <row r="78" spans="2:12" x14ac:dyDescent="0.2">
      <c r="B78" t="s">
        <v>66</v>
      </c>
      <c r="D78" s="1">
        <v>30.9</v>
      </c>
      <c r="E78" s="1">
        <v>124.6</v>
      </c>
      <c r="F78" s="1">
        <v>226.2</v>
      </c>
      <c r="G78" s="1">
        <v>132.6</v>
      </c>
      <c r="H78" s="1">
        <v>175.4</v>
      </c>
      <c r="I78" s="1">
        <v>204.7</v>
      </c>
      <c r="J78" s="1">
        <v>226.2</v>
      </c>
      <c r="K78" s="1">
        <v>50.7</v>
      </c>
      <c r="L78" s="1">
        <v>77.3</v>
      </c>
    </row>
    <row r="79" spans="2:12" x14ac:dyDescent="0.2">
      <c r="B79" t="s">
        <v>21</v>
      </c>
      <c r="D79" s="1">
        <v>36.799999999999997</v>
      </c>
      <c r="E79" s="1">
        <v>63.7</v>
      </c>
      <c r="F79" s="1">
        <v>-6</v>
      </c>
      <c r="G79" s="1">
        <v>-10.199999999999999</v>
      </c>
      <c r="H79" s="1">
        <v>-15.4</v>
      </c>
      <c r="I79" s="1">
        <v>-6</v>
      </c>
      <c r="J79" s="1">
        <v>-6</v>
      </c>
      <c r="K79" s="1">
        <v>-4.9000000000000004</v>
      </c>
      <c r="L79" s="1">
        <v>-17.899999999999999</v>
      </c>
    </row>
    <row r="80" spans="2:12" x14ac:dyDescent="0.2">
      <c r="B80" t="s">
        <v>42</v>
      </c>
      <c r="D80" s="1">
        <v>-60.7</v>
      </c>
      <c r="E80" s="1">
        <v>13.4</v>
      </c>
      <c r="F80" s="1">
        <v>-43</v>
      </c>
      <c r="G80" s="1">
        <v>19.600000000000001</v>
      </c>
      <c r="H80" s="1">
        <v>12.8</v>
      </c>
      <c r="I80" s="1">
        <v>-13.1</v>
      </c>
      <c r="J80" s="1">
        <v>-43</v>
      </c>
      <c r="K80" s="1">
        <v>-91.6</v>
      </c>
      <c r="L80" s="1">
        <v>-62.1</v>
      </c>
    </row>
    <row r="81" spans="2:12" x14ac:dyDescent="0.2">
      <c r="B81" t="s">
        <v>43</v>
      </c>
      <c r="D81" s="1">
        <v>36.9</v>
      </c>
      <c r="E81" s="1">
        <v>-51.7</v>
      </c>
      <c r="F81" s="1">
        <v>-49.8</v>
      </c>
      <c r="G81" s="1">
        <v>90.1</v>
      </c>
      <c r="H81" s="1">
        <v>51.3</v>
      </c>
      <c r="I81" s="1">
        <v>8.4</v>
      </c>
      <c r="J81" s="1">
        <v>-49.8</v>
      </c>
      <c r="K81" s="1">
        <v>-36</v>
      </c>
      <c r="L81" s="1">
        <v>-324.89999999999998</v>
      </c>
    </row>
    <row r="82" spans="2:12" x14ac:dyDescent="0.2">
      <c r="B82" t="s">
        <v>44</v>
      </c>
      <c r="D82" s="1">
        <v>-247.7</v>
      </c>
      <c r="E82" s="1">
        <v>-492.1</v>
      </c>
      <c r="F82" s="1">
        <v>251.1</v>
      </c>
      <c r="G82" s="1">
        <v>5.2</v>
      </c>
      <c r="H82" s="1">
        <v>139.69999999999999</v>
      </c>
      <c r="I82" s="1">
        <v>216.8</v>
      </c>
      <c r="J82" s="1">
        <v>251.1</v>
      </c>
      <c r="K82" s="1">
        <v>64.599999999999994</v>
      </c>
      <c r="L82" s="1">
        <v>-120.7</v>
      </c>
    </row>
    <row r="83" spans="2:12" x14ac:dyDescent="0.2">
      <c r="B83" t="s">
        <v>94</v>
      </c>
      <c r="D83" s="1">
        <v>-1227.4000000000001</v>
      </c>
      <c r="E83" s="1">
        <v>-1224.5</v>
      </c>
      <c r="F83" s="1">
        <v>286.10000000000002</v>
      </c>
      <c r="G83" s="1"/>
      <c r="H83" s="1">
        <v>40</v>
      </c>
      <c r="I83" s="1">
        <v>128.9</v>
      </c>
      <c r="J83" s="1">
        <v>286.10000000000002</v>
      </c>
      <c r="K83" s="1"/>
    </row>
    <row r="84" spans="2:12" x14ac:dyDescent="0.2">
      <c r="B84" t="s">
        <v>67</v>
      </c>
      <c r="D84" s="1">
        <v>-186.4</v>
      </c>
      <c r="E84" s="1">
        <v>-320.3</v>
      </c>
      <c r="F84" s="1">
        <v>189.9</v>
      </c>
      <c r="G84" s="1">
        <v>24.8</v>
      </c>
      <c r="H84" s="1">
        <v>21.3</v>
      </c>
      <c r="I84" s="1">
        <v>108.2</v>
      </c>
      <c r="J84" s="1">
        <v>189.9</v>
      </c>
      <c r="K84" s="1">
        <v>84</v>
      </c>
      <c r="L84" s="1">
        <v>133</v>
      </c>
    </row>
    <row r="85" spans="2:12" x14ac:dyDescent="0.2">
      <c r="B85" t="s">
        <v>68</v>
      </c>
      <c r="D85" s="1">
        <v>112.1</v>
      </c>
      <c r="E85" s="1">
        <v>92</v>
      </c>
      <c r="F85" s="1">
        <v>-6.1</v>
      </c>
      <c r="G85" s="1">
        <v>398.9</v>
      </c>
      <c r="H85" s="1">
        <v>89.8</v>
      </c>
      <c r="I85" s="1">
        <v>52.4</v>
      </c>
      <c r="J85" s="1">
        <v>-6.1</v>
      </c>
      <c r="K85" s="1">
        <v>461.3</v>
      </c>
      <c r="L85" s="1">
        <v>110.2</v>
      </c>
    </row>
    <row r="86" spans="2:12" x14ac:dyDescent="0.2">
      <c r="B86" t="s">
        <v>69</v>
      </c>
      <c r="D86" s="1">
        <v>-608.6</v>
      </c>
      <c r="E86" s="1">
        <v>-918.2</v>
      </c>
      <c r="F86" s="1">
        <v>-1488.1</v>
      </c>
      <c r="G86" s="1">
        <v>-314.8</v>
      </c>
      <c r="H86" s="1">
        <v>-676.3</v>
      </c>
      <c r="I86" s="1">
        <v>-1029.8</v>
      </c>
      <c r="J86" s="1">
        <v>-1488.1</v>
      </c>
      <c r="K86" s="1">
        <v>-363.3</v>
      </c>
      <c r="L86" s="1">
        <v>-766.3</v>
      </c>
    </row>
    <row r="87" spans="2:12" x14ac:dyDescent="0.2">
      <c r="B87" t="s">
        <v>21</v>
      </c>
      <c r="D87" s="1">
        <v>-140.5</v>
      </c>
      <c r="E87" s="1">
        <v>70.5</v>
      </c>
      <c r="F87" s="1">
        <v>358.7</v>
      </c>
      <c r="G87" s="1">
        <v>69.2</v>
      </c>
      <c r="H87" s="1">
        <v>59.5</v>
      </c>
      <c r="I87" s="1">
        <v>154.6</v>
      </c>
      <c r="J87" s="1">
        <v>358.7</v>
      </c>
      <c r="K87" s="1">
        <v>79.400000000000006</v>
      </c>
      <c r="L87" s="1">
        <v>-95</v>
      </c>
    </row>
    <row r="88" spans="2:12" s="3" customFormat="1" ht="15" x14ac:dyDescent="0.25">
      <c r="B88" s="3" t="s">
        <v>70</v>
      </c>
      <c r="D88" s="5">
        <f t="shared" ref="D88:K88" si="58">+SUM(D70:D87)</f>
        <v>474.80000000000007</v>
      </c>
      <c r="E88" s="5">
        <f t="shared" si="58"/>
        <v>107.09999999999991</v>
      </c>
      <c r="F88" s="5">
        <f t="shared" si="58"/>
        <v>5989.0999999999995</v>
      </c>
      <c r="G88" s="5">
        <f t="shared" si="58"/>
        <v>1835.6999999999998</v>
      </c>
      <c r="H88" s="5">
        <f t="shared" si="58"/>
        <v>2719.5000000000009</v>
      </c>
      <c r="I88" s="5">
        <f t="shared" si="58"/>
        <v>4469.199999999998</v>
      </c>
      <c r="J88" s="5">
        <f t="shared" si="58"/>
        <v>5989.0999999999995</v>
      </c>
      <c r="K88" s="5">
        <f t="shared" si="58"/>
        <v>1871.2</v>
      </c>
      <c r="L88" s="5">
        <f>+SUM(L70:L87)</f>
        <v>2032.8000000000011</v>
      </c>
    </row>
    <row r="89" spans="2:12" x14ac:dyDescent="0.2">
      <c r="D89" s="1"/>
      <c r="E89" s="1"/>
      <c r="F89" s="1"/>
      <c r="G89" s="1"/>
      <c r="H89" s="1"/>
      <c r="I89" s="1"/>
      <c r="J89" s="1"/>
      <c r="K89" s="1"/>
      <c r="L89" s="1"/>
    </row>
    <row r="90" spans="2:12" x14ac:dyDescent="0.2">
      <c r="B90" t="s">
        <v>71</v>
      </c>
      <c r="D90" s="1">
        <v>-65.099999999999994</v>
      </c>
      <c r="E90" s="1">
        <v>-297.39999999999998</v>
      </c>
      <c r="F90" s="1">
        <v>-432</v>
      </c>
      <c r="G90" s="1">
        <v>-135.5</v>
      </c>
      <c r="H90" s="1">
        <v>-321.7</v>
      </c>
      <c r="I90" s="1">
        <v>-367.3</v>
      </c>
      <c r="J90" s="1">
        <v>-432</v>
      </c>
      <c r="K90" s="1">
        <v>-61</v>
      </c>
      <c r="L90" s="1">
        <v>-67.5</v>
      </c>
    </row>
    <row r="91" spans="2:12" x14ac:dyDescent="0.2">
      <c r="B91" t="s">
        <v>72</v>
      </c>
      <c r="D91" s="1">
        <v>93.7</v>
      </c>
      <c r="E91" s="1">
        <v>133.5</v>
      </c>
      <c r="F91" s="1">
        <v>143.19999999999999</v>
      </c>
      <c r="G91" s="1">
        <v>91.2</v>
      </c>
      <c r="H91" s="1">
        <v>121.7</v>
      </c>
      <c r="I91" s="1">
        <v>130.4</v>
      </c>
      <c r="J91" s="1">
        <v>143.19999999999999</v>
      </c>
      <c r="K91" s="1">
        <v>72.599999999999994</v>
      </c>
      <c r="L91" s="1">
        <v>72.599999999999994</v>
      </c>
    </row>
    <row r="92" spans="2:12" x14ac:dyDescent="0.2">
      <c r="B92" t="s">
        <v>73</v>
      </c>
      <c r="D92" s="1">
        <v>4.3</v>
      </c>
      <c r="E92" s="1">
        <v>10</v>
      </c>
      <c r="F92" s="1">
        <v>345.5</v>
      </c>
      <c r="G92" s="1">
        <v>113.7</v>
      </c>
      <c r="H92" s="1">
        <v>289</v>
      </c>
      <c r="I92" s="1">
        <v>298.7</v>
      </c>
      <c r="J92" s="1">
        <v>345.5</v>
      </c>
      <c r="K92" s="1">
        <v>45.6</v>
      </c>
      <c r="L92" s="1">
        <v>55.7</v>
      </c>
    </row>
    <row r="93" spans="2:12" x14ac:dyDescent="0.2">
      <c r="B93" t="s">
        <v>74</v>
      </c>
      <c r="D93" s="1">
        <v>-758.3</v>
      </c>
      <c r="E93" s="1">
        <v>-1138.4000000000001</v>
      </c>
      <c r="F93" s="1">
        <v>-1470</v>
      </c>
      <c r="G93" s="1">
        <v>-324.2</v>
      </c>
      <c r="H93" s="1">
        <v>-647.9</v>
      </c>
      <c r="I93" s="1">
        <v>-985.7</v>
      </c>
      <c r="J93" s="1">
        <v>-1470</v>
      </c>
      <c r="K93" s="1">
        <v>-416.8</v>
      </c>
      <c r="L93" s="1">
        <v>-871.9</v>
      </c>
    </row>
    <row r="94" spans="2:12" x14ac:dyDescent="0.2">
      <c r="B94" t="s">
        <v>96</v>
      </c>
      <c r="D94" s="1"/>
      <c r="E94" s="1"/>
      <c r="F94" s="1">
        <v>1175</v>
      </c>
      <c r="G94" s="1"/>
      <c r="H94" s="1"/>
      <c r="I94" s="1"/>
      <c r="J94" s="7">
        <v>1175</v>
      </c>
      <c r="K94" s="1"/>
      <c r="L94" s="1"/>
    </row>
    <row r="95" spans="2:12" x14ac:dyDescent="0.2">
      <c r="B95" t="s">
        <v>21</v>
      </c>
      <c r="D95" s="1">
        <v>-22.5</v>
      </c>
      <c r="E95" s="1">
        <v>-39.4</v>
      </c>
      <c r="F95" s="1">
        <v>-81.2</v>
      </c>
      <c r="G95" s="1">
        <v>-17.7</v>
      </c>
      <c r="H95" s="1">
        <v>-20.100000000000001</v>
      </c>
      <c r="I95" s="1">
        <v>-62.3</v>
      </c>
      <c r="J95" s="1">
        <v>-81.2</v>
      </c>
      <c r="K95" s="1">
        <v>-41.4</v>
      </c>
      <c r="L95" s="1">
        <v>-69.8</v>
      </c>
    </row>
    <row r="96" spans="2:12" s="3" customFormat="1" ht="15" x14ac:dyDescent="0.25">
      <c r="B96" s="3" t="s">
        <v>75</v>
      </c>
      <c r="D96" s="5">
        <f t="shared" ref="D96:K96" si="59">+SUM(D90:D95)</f>
        <v>-747.9</v>
      </c>
      <c r="E96" s="5">
        <f t="shared" si="59"/>
        <v>-1331.7000000000003</v>
      </c>
      <c r="F96" s="5">
        <f t="shared" si="59"/>
        <v>-319.49999999999994</v>
      </c>
      <c r="G96" s="5">
        <f t="shared" si="59"/>
        <v>-272.5</v>
      </c>
      <c r="H96" s="5">
        <f t="shared" si="59"/>
        <v>-579</v>
      </c>
      <c r="I96" s="5">
        <f t="shared" si="59"/>
        <v>-986.2</v>
      </c>
      <c r="J96" s="5">
        <f t="shared" si="59"/>
        <v>-319.49999999999994</v>
      </c>
      <c r="K96" s="5">
        <f t="shared" si="59"/>
        <v>-401</v>
      </c>
      <c r="L96" s="5">
        <f t="shared" ref="L96" si="60">+SUM(L90:L95)</f>
        <v>-880.9</v>
      </c>
    </row>
    <row r="97" spans="2:12" x14ac:dyDescent="0.2"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">
      <c r="B98" t="s">
        <v>76</v>
      </c>
      <c r="D98" s="1">
        <v>613</v>
      </c>
      <c r="F98" s="1">
        <v>-296.5</v>
      </c>
      <c r="G98" s="1">
        <v>0</v>
      </c>
      <c r="H98" s="1">
        <v>-296.5</v>
      </c>
      <c r="I98" s="1">
        <v>-296.5</v>
      </c>
      <c r="J98" s="1">
        <v>-296.5</v>
      </c>
      <c r="K98" s="1">
        <v>200</v>
      </c>
      <c r="L98" s="1"/>
    </row>
    <row r="99" spans="2:12" x14ac:dyDescent="0.2">
      <c r="B99" t="s">
        <v>77</v>
      </c>
      <c r="D99" s="1">
        <v>494.1</v>
      </c>
      <c r="E99" s="1">
        <v>1157.2</v>
      </c>
      <c r="F99" s="1">
        <v>215.1</v>
      </c>
      <c r="G99" s="1">
        <v>192.9</v>
      </c>
      <c r="H99" s="1">
        <v>203.3</v>
      </c>
      <c r="I99" s="1">
        <v>215.6</v>
      </c>
      <c r="J99" s="1">
        <v>215.1</v>
      </c>
      <c r="K99" s="1"/>
      <c r="L99" s="1">
        <v>17.399999999999999</v>
      </c>
    </row>
    <row r="100" spans="2:12" x14ac:dyDescent="0.2">
      <c r="B100" t="s">
        <v>78</v>
      </c>
      <c r="D100" s="1"/>
      <c r="E100" s="1">
        <v>-220.7</v>
      </c>
      <c r="F100" s="1">
        <v>-349.8</v>
      </c>
      <c r="G100" s="1">
        <v>-144.69999999999999</v>
      </c>
      <c r="H100" s="1">
        <v>-320.5</v>
      </c>
      <c r="I100" s="1">
        <v>-346.2</v>
      </c>
      <c r="J100" s="1">
        <v>-349.8</v>
      </c>
      <c r="K100" s="1"/>
      <c r="L100" s="1">
        <v>-12.6</v>
      </c>
    </row>
    <row r="101" spans="2:12" x14ac:dyDescent="0.2">
      <c r="B101" t="s">
        <v>97</v>
      </c>
      <c r="D101" s="1">
        <v>1739.7</v>
      </c>
      <c r="E101" s="1">
        <v>4727.6000000000004</v>
      </c>
      <c r="F101" s="1"/>
      <c r="G101" s="1"/>
      <c r="H101" s="1"/>
      <c r="I101" s="1"/>
      <c r="J101" s="1"/>
      <c r="K101" s="1"/>
      <c r="L101" s="1">
        <v>1498.1</v>
      </c>
    </row>
    <row r="102" spans="2:12" x14ac:dyDescent="0.2">
      <c r="B102" t="s">
        <v>79</v>
      </c>
      <c r="D102" s="1"/>
      <c r="E102" s="1"/>
      <c r="F102" s="1">
        <v>-1250</v>
      </c>
      <c r="G102" s="1">
        <v>-500</v>
      </c>
      <c r="H102" s="1">
        <v>-1250</v>
      </c>
      <c r="I102" s="1">
        <v>-1250</v>
      </c>
      <c r="J102" s="1">
        <v>-1250</v>
      </c>
      <c r="K102" s="1"/>
      <c r="L102" s="1"/>
    </row>
    <row r="103" spans="2:12" x14ac:dyDescent="0.2">
      <c r="B103" t="s">
        <v>98</v>
      </c>
      <c r="D103" s="1">
        <v>65.400000000000006</v>
      </c>
      <c r="E103" s="1">
        <v>98.9</v>
      </c>
      <c r="F103" s="1">
        <v>246.2</v>
      </c>
      <c r="G103" s="1">
        <v>102.8</v>
      </c>
      <c r="H103" s="1">
        <v>134.4</v>
      </c>
      <c r="I103" s="1">
        <v>191.6</v>
      </c>
      <c r="J103" s="1">
        <v>246.2</v>
      </c>
      <c r="K103" s="1">
        <v>41.3</v>
      </c>
      <c r="L103" s="1">
        <v>56.3</v>
      </c>
    </row>
    <row r="104" spans="2:12" x14ac:dyDescent="0.2">
      <c r="B104" t="s">
        <v>84</v>
      </c>
      <c r="D104" s="1">
        <v>-965.2</v>
      </c>
      <c r="E104" s="1">
        <v>-1444.2</v>
      </c>
      <c r="F104" s="1">
        <v>-2119</v>
      </c>
      <c r="G104" s="1">
        <v>-528.20000000000005</v>
      </c>
      <c r="H104" s="1">
        <v>-1058</v>
      </c>
      <c r="I104" s="1">
        <v>-1588.2</v>
      </c>
      <c r="J104" s="1">
        <v>-2119</v>
      </c>
      <c r="K104" s="1">
        <v>-576</v>
      </c>
      <c r="L104" s="1">
        <v>-1139.2</v>
      </c>
    </row>
    <row r="105" spans="2:12" x14ac:dyDescent="0.2">
      <c r="B105" t="s">
        <v>80</v>
      </c>
      <c r="D105" s="1">
        <v>-1698.9</v>
      </c>
      <c r="E105" s="1">
        <v>-1698.9</v>
      </c>
      <c r="F105" s="1">
        <v>0</v>
      </c>
      <c r="G105" s="1">
        <v>0</v>
      </c>
      <c r="J105" s="1"/>
      <c r="K105" s="1">
        <v>-3520.9</v>
      </c>
      <c r="L105" s="1">
        <v>-3997.5</v>
      </c>
    </row>
    <row r="106" spans="2:12" x14ac:dyDescent="0.2">
      <c r="B106" t="s">
        <v>81</v>
      </c>
      <c r="D106" s="1">
        <v>-87.6</v>
      </c>
      <c r="E106" s="1">
        <v>-89.1</v>
      </c>
      <c r="F106" s="1">
        <v>-97</v>
      </c>
      <c r="G106" s="1">
        <v>-88.6</v>
      </c>
      <c r="H106" s="1">
        <v>-90.1</v>
      </c>
      <c r="I106" s="1">
        <v>-94.2</v>
      </c>
      <c r="J106" s="1">
        <v>-97</v>
      </c>
      <c r="K106" s="1">
        <v>-113.6</v>
      </c>
      <c r="L106" s="1">
        <v>-122.1</v>
      </c>
    </row>
    <row r="107" spans="2:12" x14ac:dyDescent="0.2">
      <c r="B107" t="s">
        <v>21</v>
      </c>
      <c r="D107" s="1">
        <v>-10.4</v>
      </c>
      <c r="E107" s="1">
        <v>-37.799999999999997</v>
      </c>
      <c r="F107" s="1"/>
      <c r="G107" s="1"/>
      <c r="H107" s="1"/>
      <c r="I107" s="1"/>
      <c r="J107" s="1"/>
      <c r="K107" s="1"/>
      <c r="L107" s="1">
        <v>-9.1999999999999993</v>
      </c>
    </row>
    <row r="108" spans="2:12" s="3" customFormat="1" ht="15" x14ac:dyDescent="0.25">
      <c r="B108" s="3" t="s">
        <v>82</v>
      </c>
      <c r="D108" s="5">
        <f>+SUM(D98:D106)</f>
        <v>160.50000000000014</v>
      </c>
      <c r="E108" s="5">
        <f>+SUM(E99:E107)</f>
        <v>2493</v>
      </c>
      <c r="F108" s="5">
        <f t="shared" ref="F108:K108" si="61">+SUM(F98:F106)</f>
        <v>-3651</v>
      </c>
      <c r="G108" s="5">
        <f t="shared" si="61"/>
        <v>-965.80000000000007</v>
      </c>
      <c r="H108" s="5">
        <f t="shared" si="61"/>
        <v>-2677.4</v>
      </c>
      <c r="I108" s="5">
        <f t="shared" si="61"/>
        <v>-3167.8999999999996</v>
      </c>
      <c r="J108" s="5">
        <f t="shared" si="61"/>
        <v>-3651</v>
      </c>
      <c r="K108" s="5">
        <f t="shared" si="61"/>
        <v>-3969.2</v>
      </c>
      <c r="L108" s="5">
        <f>+SUM(L98:L107)</f>
        <v>-3708.7999999999997</v>
      </c>
    </row>
    <row r="109" spans="2:12" s="3" customFormat="1" ht="15" x14ac:dyDescent="0.25">
      <c r="B109" s="3" t="s">
        <v>83</v>
      </c>
      <c r="D109" s="5">
        <f t="shared" ref="D109:K109" si="62">+D108+D96+D88</f>
        <v>-112.5999999999998</v>
      </c>
      <c r="E109" s="5">
        <f t="shared" si="62"/>
        <v>1268.3999999999996</v>
      </c>
      <c r="F109" s="5">
        <f t="shared" si="62"/>
        <v>2018.5999999999995</v>
      </c>
      <c r="G109" s="5">
        <f t="shared" si="62"/>
        <v>597.39999999999964</v>
      </c>
      <c r="H109" s="5">
        <f t="shared" si="62"/>
        <v>-536.89999999999918</v>
      </c>
      <c r="I109" s="5">
        <f t="shared" si="62"/>
        <v>315.09999999999854</v>
      </c>
      <c r="J109" s="5">
        <f t="shared" si="62"/>
        <v>2018.5999999999995</v>
      </c>
      <c r="K109" s="5">
        <f t="shared" si="62"/>
        <v>-2499</v>
      </c>
      <c r="L109" s="5">
        <f t="shared" ref="L109" si="63">+L108+L96+L88</f>
        <v>-2556.8999999999987</v>
      </c>
    </row>
  </sheetData>
  <hyperlinks>
    <hyperlink ref="A1" location="Main!A1" display="Main" xr:uid="{0758BDE2-A137-45C9-887B-F0CCDBDC36FD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8DFC-87CC-4209-B922-8891C874B1DE}">
  <dimension ref="D10:H29"/>
  <sheetViews>
    <sheetView topLeftCell="A31" zoomScale="85" zoomScaleNormal="85" workbookViewId="0">
      <selection activeCell="L24" sqref="L24"/>
    </sheetView>
  </sheetViews>
  <sheetFormatPr defaultRowHeight="14.25" x14ac:dyDescent="0.2"/>
  <cols>
    <col min="7" max="7" width="11.875" bestFit="1" customWidth="1"/>
    <col min="8" max="8" width="18.125" bestFit="1" customWidth="1"/>
    <col min="13" max="13" width="11.875" bestFit="1" customWidth="1"/>
    <col min="15" max="15" width="13" bestFit="1" customWidth="1"/>
  </cols>
  <sheetData>
    <row r="10" spans="4:5" x14ac:dyDescent="0.2">
      <c r="D10" s="1"/>
      <c r="E10" s="1"/>
    </row>
    <row r="11" spans="4:5" x14ac:dyDescent="0.2">
      <c r="D11" s="1"/>
      <c r="E11" s="1"/>
    </row>
    <row r="12" spans="4:5" x14ac:dyDescent="0.2">
      <c r="D12" s="1"/>
      <c r="E12" s="1"/>
    </row>
    <row r="23" spans="4:8" x14ac:dyDescent="0.2">
      <c r="D23" s="4"/>
    </row>
    <row r="26" spans="4:8" x14ac:dyDescent="0.2">
      <c r="G26" s="1"/>
    </row>
    <row r="27" spans="4:8" x14ac:dyDescent="0.2">
      <c r="G27" s="1"/>
      <c r="H27" s="19"/>
    </row>
    <row r="28" spans="4:8" x14ac:dyDescent="0.2">
      <c r="G28" s="1"/>
    </row>
    <row r="29" spans="4:8" x14ac:dyDescent="0.2">
      <c r="G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2022-03-31T15:43:57Z</dcterms:created>
  <dcterms:modified xsi:type="dcterms:W3CDTF">2022-10-24T19:36:18Z</dcterms:modified>
</cp:coreProperties>
</file>