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6A61DA67-4270-482A-AB6A-CED45D1F2D8C}" xr6:coauthVersionLast="47" xr6:coauthVersionMax="47" xr10:uidLastSave="{00000000-0000-0000-0000-000000000000}"/>
  <bookViews>
    <workbookView xWindow="735" yWindow="735" windowWidth="15060" windowHeight="13905" activeTab="1" xr2:uid="{14711485-AE66-4AF6-8A43-F12D6532052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4" i="2" l="1"/>
  <c r="AB24" i="2"/>
  <c r="AC24" i="2"/>
  <c r="AC21" i="2"/>
  <c r="AB21" i="2"/>
  <c r="AA21" i="2"/>
  <c r="Z21" i="2"/>
  <c r="AC20" i="2"/>
  <c r="AB20" i="2"/>
  <c r="AA20" i="2"/>
  <c r="Z20" i="2"/>
  <c r="AC19" i="2"/>
  <c r="AB19" i="2"/>
  <c r="AA19" i="2"/>
  <c r="Z19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R24" i="2"/>
  <c r="R21" i="2"/>
  <c r="R20" i="2"/>
  <c r="R19" i="2"/>
  <c r="R14" i="2"/>
  <c r="R13" i="2"/>
  <c r="Z15" i="2"/>
  <c r="R10" i="2"/>
  <c r="R5" i="2"/>
  <c r="AB17" i="2"/>
  <c r="AB9" i="2"/>
  <c r="AB8" i="2"/>
  <c r="AB7" i="2"/>
  <c r="AB6" i="2"/>
  <c r="AB4" i="2"/>
  <c r="AB3" i="2"/>
  <c r="AA17" i="2"/>
  <c r="AA9" i="2"/>
  <c r="AA8" i="2"/>
  <c r="AA7" i="2"/>
  <c r="AA6" i="2"/>
  <c r="AA4" i="2"/>
  <c r="AA3" i="2"/>
  <c r="Z17" i="2"/>
  <c r="Z9" i="2"/>
  <c r="Z8" i="2"/>
  <c r="Z7" i="2"/>
  <c r="Z6" i="2"/>
  <c r="Z4" i="2"/>
  <c r="Z3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K11" i="1"/>
  <c r="K14" i="1" s="1"/>
  <c r="K12" i="1"/>
  <c r="K13" i="1"/>
  <c r="Q41" i="2"/>
  <c r="Q40" i="2"/>
  <c r="M37" i="2"/>
  <c r="M34" i="2"/>
  <c r="M33" i="2"/>
  <c r="Q37" i="2"/>
  <c r="Q34" i="2"/>
  <c r="Q33" i="2"/>
  <c r="H19" i="2"/>
  <c r="M10" i="2"/>
  <c r="J10" i="2"/>
  <c r="H10" i="2"/>
  <c r="C10" i="2"/>
  <c r="C14" i="2"/>
  <c r="C12" i="2"/>
  <c r="C5" i="2"/>
  <c r="C19" i="2" s="1"/>
  <c r="G14" i="2"/>
  <c r="G12" i="2"/>
  <c r="G10" i="2"/>
  <c r="G5" i="2"/>
  <c r="F14" i="2"/>
  <c r="F12" i="2"/>
  <c r="F10" i="2"/>
  <c r="F5" i="2"/>
  <c r="F19" i="2" s="1"/>
  <c r="D14" i="2"/>
  <c r="D12" i="2"/>
  <c r="D10" i="2"/>
  <c r="D5" i="2"/>
  <c r="D19" i="2" s="1"/>
  <c r="H14" i="2"/>
  <c r="H12" i="2"/>
  <c r="H5" i="2"/>
  <c r="E14" i="2"/>
  <c r="E12" i="2"/>
  <c r="I12" i="2"/>
  <c r="E10" i="2"/>
  <c r="E5" i="2"/>
  <c r="E19" i="2" s="1"/>
  <c r="I14" i="2"/>
  <c r="I10" i="2"/>
  <c r="I5" i="2"/>
  <c r="J14" i="2"/>
  <c r="J12" i="2"/>
  <c r="J5" i="2"/>
  <c r="N14" i="2"/>
  <c r="O12" i="2"/>
  <c r="N12" i="2"/>
  <c r="N10" i="2"/>
  <c r="N5" i="2"/>
  <c r="K14" i="2"/>
  <c r="K12" i="2"/>
  <c r="K10" i="2"/>
  <c r="K5" i="2"/>
  <c r="O14" i="2"/>
  <c r="O10" i="2"/>
  <c r="O5" i="2"/>
  <c r="L14" i="2"/>
  <c r="L12" i="2"/>
  <c r="L10" i="2"/>
  <c r="L5" i="2"/>
  <c r="L19" i="2" s="1"/>
  <c r="P14" i="2"/>
  <c r="P12" i="2"/>
  <c r="P10" i="2"/>
  <c r="P5" i="2"/>
  <c r="P19" i="2" s="1"/>
  <c r="Q14" i="2"/>
  <c r="M14" i="2"/>
  <c r="M12" i="2"/>
  <c r="M5" i="2"/>
  <c r="M19" i="2" s="1"/>
  <c r="Q12" i="2"/>
  <c r="Q10" i="2"/>
  <c r="Q5" i="2"/>
  <c r="Q19" i="2" s="1"/>
  <c r="R11" i="2" l="1"/>
  <c r="R15" i="2" s="1"/>
  <c r="R16" i="2" s="1"/>
  <c r="AA10" i="2"/>
  <c r="Z14" i="2"/>
  <c r="Z10" i="2"/>
  <c r="AA12" i="2"/>
  <c r="AB10" i="2"/>
  <c r="AB12" i="2"/>
  <c r="AA14" i="2"/>
  <c r="Q49" i="2"/>
  <c r="Q50" i="2" s="1"/>
  <c r="AB14" i="2"/>
  <c r="AB5" i="2"/>
  <c r="I24" i="2"/>
  <c r="H24" i="2"/>
  <c r="Z12" i="2"/>
  <c r="Q38" i="2"/>
  <c r="Z5" i="2"/>
  <c r="AA5" i="2"/>
  <c r="J24" i="2"/>
  <c r="I19" i="2"/>
  <c r="K24" i="2"/>
  <c r="J19" i="2"/>
  <c r="K19" i="2"/>
  <c r="N24" i="2"/>
  <c r="O24" i="2"/>
  <c r="P24" i="2"/>
  <c r="N19" i="2"/>
  <c r="M38" i="2"/>
  <c r="Q24" i="2"/>
  <c r="G24" i="2"/>
  <c r="G19" i="2"/>
  <c r="O19" i="2"/>
  <c r="M24" i="2"/>
  <c r="C11" i="2"/>
  <c r="C20" i="2" s="1"/>
  <c r="Q11" i="2"/>
  <c r="Q20" i="2" s="1"/>
  <c r="L24" i="2"/>
  <c r="G11" i="2"/>
  <c r="G20" i="2" s="1"/>
  <c r="F11" i="2"/>
  <c r="F20" i="2" s="1"/>
  <c r="D11" i="2"/>
  <c r="D20" i="2" s="1"/>
  <c r="H11" i="2"/>
  <c r="H20" i="2" s="1"/>
  <c r="E11" i="2"/>
  <c r="E20" i="2" s="1"/>
  <c r="I11" i="2"/>
  <c r="I20" i="2" s="1"/>
  <c r="J11" i="2"/>
  <c r="J20" i="2" s="1"/>
  <c r="N11" i="2"/>
  <c r="N20" i="2" s="1"/>
  <c r="K11" i="2"/>
  <c r="K20" i="2" s="1"/>
  <c r="O11" i="2"/>
  <c r="O20" i="2" s="1"/>
  <c r="L11" i="2"/>
  <c r="L20" i="2" s="1"/>
  <c r="P11" i="2"/>
  <c r="P20" i="2" s="1"/>
  <c r="M11" i="2"/>
  <c r="M20" i="2" s="1"/>
  <c r="Z11" i="2" l="1"/>
  <c r="AB11" i="2"/>
  <c r="AA11" i="2"/>
  <c r="C13" i="2"/>
  <c r="C21" i="2" s="1"/>
  <c r="P13" i="2"/>
  <c r="L13" i="2"/>
  <c r="J13" i="2"/>
  <c r="H13" i="2"/>
  <c r="D13" i="2"/>
  <c r="F13" i="2"/>
  <c r="K13" i="2"/>
  <c r="K21" i="2" s="1"/>
  <c r="G13" i="2"/>
  <c r="G21" i="2" s="1"/>
  <c r="N13" i="2"/>
  <c r="I13" i="2"/>
  <c r="Q13" i="2"/>
  <c r="M13" i="2"/>
  <c r="O13" i="2"/>
  <c r="E13" i="2"/>
  <c r="M15" i="2" l="1"/>
  <c r="M16" i="2" s="1"/>
  <c r="M21" i="2"/>
  <c r="H15" i="2"/>
  <c r="H16" i="2" s="1"/>
  <c r="H21" i="2"/>
  <c r="Q15" i="2"/>
  <c r="Q16" i="2" s="1"/>
  <c r="Q21" i="2"/>
  <c r="J15" i="2"/>
  <c r="J16" i="2" s="1"/>
  <c r="J21" i="2"/>
  <c r="I15" i="2"/>
  <c r="I16" i="2" s="1"/>
  <c r="I21" i="2"/>
  <c r="L15" i="2"/>
  <c r="L16" i="2" s="1"/>
  <c r="L21" i="2"/>
  <c r="N15" i="2"/>
  <c r="N16" i="2" s="1"/>
  <c r="N21" i="2"/>
  <c r="P15" i="2"/>
  <c r="P16" i="2" s="1"/>
  <c r="P21" i="2"/>
  <c r="E15" i="2"/>
  <c r="E16" i="2" s="1"/>
  <c r="E21" i="2"/>
  <c r="F15" i="2"/>
  <c r="F16" i="2" s="1"/>
  <c r="F21" i="2"/>
  <c r="O15" i="2"/>
  <c r="O16" i="2" s="1"/>
  <c r="O21" i="2"/>
  <c r="D15" i="2"/>
  <c r="D16" i="2" s="1"/>
  <c r="D21" i="2"/>
  <c r="G15" i="2"/>
  <c r="AA13" i="2"/>
  <c r="C15" i="2"/>
  <c r="Z13" i="2"/>
  <c r="K15" i="2"/>
  <c r="AB13" i="2"/>
  <c r="K16" i="2" l="1"/>
  <c r="AB16" i="2" s="1"/>
  <c r="AB15" i="2"/>
  <c r="C16" i="2"/>
  <c r="Z16" i="2" s="1"/>
  <c r="G16" i="2"/>
  <c r="AA16" i="2" s="1"/>
  <c r="AA15" i="2"/>
</calcChain>
</file>

<file path=xl/sharedStrings.xml><?xml version="1.0" encoding="utf-8"?>
<sst xmlns="http://schemas.openxmlformats.org/spreadsheetml/2006/main" count="77" uniqueCount="71">
  <si>
    <t>Price</t>
  </si>
  <si>
    <t>MC</t>
  </si>
  <si>
    <t>Cash</t>
  </si>
  <si>
    <t>Debt</t>
  </si>
  <si>
    <t>EV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</si>
  <si>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</si>
  <si>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</si>
  <si>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</si>
  <si>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</si>
  <si>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</si>
  <si>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</si>
  <si>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</si>
  <si>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</si>
  <si>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</si>
  <si>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</si>
  <si>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</si>
  <si>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</si>
  <si>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</si>
  <si>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</si>
  <si>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</si>
  <si>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</si>
  <si>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Revenue</t>
  </si>
  <si>
    <t>Main!A1</t>
  </si>
  <si>
    <t>Service</t>
  </si>
  <si>
    <t>Equipment</t>
  </si>
  <si>
    <t>Equipment COGS</t>
  </si>
  <si>
    <t>Other COGS</t>
  </si>
  <si>
    <t>SG&amp;A</t>
  </si>
  <si>
    <t>Operating Costs</t>
  </si>
  <si>
    <t>Operating Income</t>
  </si>
  <si>
    <t>Pretax Income</t>
  </si>
  <si>
    <t>Net Income</t>
  </si>
  <si>
    <t>Broadcasting COGS</t>
  </si>
  <si>
    <t>D&amp;A</t>
  </si>
  <si>
    <t>Interest Income</t>
  </si>
  <si>
    <t>Tax + Minority Interest</t>
  </si>
  <si>
    <t>EPS</t>
  </si>
  <si>
    <t>Shares</t>
  </si>
  <si>
    <t>Revenue Y/Y</t>
  </si>
  <si>
    <t>Gross Margin %</t>
  </si>
  <si>
    <t>A/R</t>
  </si>
  <si>
    <t>Inventory</t>
  </si>
  <si>
    <t>Prepaids</t>
  </si>
  <si>
    <t>Production Costs</t>
  </si>
  <si>
    <t>PP&amp;E</t>
  </si>
  <si>
    <t>Intangibles</t>
  </si>
  <si>
    <t>Licenses</t>
  </si>
  <si>
    <t>Distribution Network</t>
  </si>
  <si>
    <t>OA</t>
  </si>
  <si>
    <t>Investments</t>
  </si>
  <si>
    <t>Operating Lease</t>
  </si>
  <si>
    <t>Assets</t>
  </si>
  <si>
    <t>DirectTV Payable</t>
  </si>
  <si>
    <t>A/P</t>
  </si>
  <si>
    <t>Deposits</t>
  </si>
  <si>
    <t>Dividend</t>
  </si>
  <si>
    <t>D/T</t>
  </si>
  <si>
    <t>Pension</t>
  </si>
  <si>
    <t>ONCL</t>
  </si>
  <si>
    <t>Liabilities</t>
  </si>
  <si>
    <t>L+S/E</t>
  </si>
  <si>
    <t>Model NI</t>
  </si>
  <si>
    <t>Reported GAAP NI</t>
  </si>
  <si>
    <t>Uncollectible Accounts</t>
  </si>
  <si>
    <t>D</t>
  </si>
  <si>
    <t>Operating Margin %</t>
  </si>
  <si>
    <t>Tax Rate %</t>
  </si>
  <si>
    <t>Q122</t>
  </si>
  <si>
    <t>Q222</t>
  </si>
  <si>
    <t>Q322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</si>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</sst>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1" applyFont="1"/>
    <xf numFmtId="0" fontId="3" fillId="0" borderId="0" xfId="0" applyFont="1"/>
    <xf numFmtId="3" fontId="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4642-85AD-4EA0-83BB-E376B070660F}">
  <dimension ref="J9:M19"/>
  <sheetViews>
    <sheetView workbookViewId="0">
      <selection activeCell="K15" sqref="K15"/>
    </sheetView>
  </sheetViews>
  <sheetFormatPr defaultRowHeight="14.25" x14ac:dyDescent="0.2"/>
  <cols>
    <col min="1" max="16384" width="9.140625" style="4"/>
  </cols>
  <sheetData>
    <row r="9" spans="10:13" x14ac:dyDescent="0.2">
      <c r="J9" s="4" t="s">
        <v>0</v>
      </c>
      <c r="K9" s="4">
        <v>19.54</v>
      </c>
      <c r="L9" s="5"/>
    </row>
    <row r="10" spans="10:13" x14ac:dyDescent="0.2">
      <c r="J10" s="4" t="s">
        <v>37</v>
      </c>
      <c r="K10" s="6">
        <v>7142.8927409999997</v>
      </c>
      <c r="L10" s="5" t="s">
        <v>20</v>
      </c>
    </row>
    <row r="11" spans="10:13" x14ac:dyDescent="0.2">
      <c r="J11" s="4" t="s">
        <v>1</v>
      </c>
      <c r="K11" s="6">
        <f>+K10*K9</f>
        <v>139572.12415913999</v>
      </c>
      <c r="L11" s="5"/>
    </row>
    <row r="12" spans="10:13" x14ac:dyDescent="0.2">
      <c r="J12" s="4" t="s">
        <v>2</v>
      </c>
      <c r="K12" s="6">
        <f>21169+7274</f>
        <v>28443</v>
      </c>
      <c r="L12" s="5" t="s">
        <v>20</v>
      </c>
      <c r="M12" s="6"/>
    </row>
    <row r="13" spans="10:13" x14ac:dyDescent="0.2">
      <c r="J13" s="4" t="s">
        <v>3</v>
      </c>
      <c r="K13" s="6">
        <f>24630+152724</f>
        <v>177354</v>
      </c>
      <c r="L13" s="5" t="s">
        <v>20</v>
      </c>
      <c r="M13" s="6"/>
    </row>
    <row r="14" spans="10:13" x14ac:dyDescent="0.2">
      <c r="J14" s="4" t="s">
        <v>4</v>
      </c>
      <c r="K14" s="6">
        <f>+K11-K12+K13</f>
        <v>288483.12415913999</v>
      </c>
      <c r="L14" s="5"/>
      <c r="M14" s="6"/>
    </row>
    <row r="15" spans="10:13" x14ac:dyDescent="0.2">
      <c r="M15" s="6"/>
    </row>
    <row r="16" spans="10:13" x14ac:dyDescent="0.2">
      <c r="M16" s="6"/>
    </row>
    <row r="17" spans="13:13" x14ac:dyDescent="0.2">
      <c r="M17" s="6"/>
    </row>
    <row r="18" spans="13:13" x14ac:dyDescent="0.2">
      <c r="M18" s="6"/>
    </row>
    <row r="19" spans="13:13" x14ac:dyDescent="0.2">
      <c r="M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DF04-2509-4B24-97C9-1BF2F194730A}">
  <dimension ref="A1:AL56"/>
  <sheetViews>
    <sheetView tabSelected="1" zoomScale="85" zoomScaleNormal="8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V14" sqref="V14"/>
    </sheetView>
  </sheetViews>
  <sheetFormatPr defaultRowHeight="14.25" x14ac:dyDescent="0.2"/>
  <cols>
    <col min="1" max="1" width="4.85546875" style="4" customWidth="1"/>
    <col min="2" max="2" width="21.140625" style="4" bestFit="1" customWidth="1"/>
    <col min="3" max="16384" width="9.140625" style="4"/>
  </cols>
  <sheetData>
    <row r="1" spans="1:38" x14ac:dyDescent="0.2">
      <c r="A1" s="1" t="s">
        <v>22</v>
      </c>
    </row>
    <row r="2" spans="1:38" x14ac:dyDescent="0.2"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67</v>
      </c>
      <c r="T2" s="4" t="s">
        <v>68</v>
      </c>
      <c r="U2" s="4" t="s">
        <v>69</v>
      </c>
      <c r="V2" s="4" t="s">
        <v>70</v>
      </c>
      <c r="Z2" s="4">
        <v>2018</v>
      </c>
      <c r="AA2" s="4">
        <f>+Z2+1</f>
        <v>2019</v>
      </c>
      <c r="AB2" s="4">
        <f t="shared" ref="AB2:AL2" si="0">+AA2+1</f>
        <v>2020</v>
      </c>
      <c r="AC2" s="4">
        <f t="shared" si="0"/>
        <v>2021</v>
      </c>
      <c r="AD2" s="4">
        <f t="shared" si="0"/>
        <v>2022</v>
      </c>
      <c r="AE2" s="4">
        <f t="shared" si="0"/>
        <v>2023</v>
      </c>
      <c r="AF2" s="4">
        <f t="shared" si="0"/>
        <v>2024</v>
      </c>
      <c r="AG2" s="4">
        <f t="shared" si="0"/>
        <v>2025</v>
      </c>
      <c r="AH2" s="4">
        <f t="shared" si="0"/>
        <v>2026</v>
      </c>
      <c r="AI2" s="4">
        <f t="shared" si="0"/>
        <v>2027</v>
      </c>
      <c r="AJ2" s="4">
        <f t="shared" si="0"/>
        <v>2028</v>
      </c>
      <c r="AK2" s="4">
        <f t="shared" si="0"/>
        <v>2029</v>
      </c>
      <c r="AL2" s="4">
        <f t="shared" si="0"/>
        <v>2030</v>
      </c>
    </row>
    <row r="3" spans="1:38" x14ac:dyDescent="0.2">
      <c r="B3" s="4" t="s">
        <v>23</v>
      </c>
      <c r="C3" s="6">
        <v>33646</v>
      </c>
      <c r="D3" s="6">
        <v>34906</v>
      </c>
      <c r="E3" s="6">
        <v>41297</v>
      </c>
      <c r="F3" s="6">
        <v>42496</v>
      </c>
      <c r="G3" s="6">
        <v>40684</v>
      </c>
      <c r="H3" s="6">
        <v>41023</v>
      </c>
      <c r="I3" s="6">
        <v>40317</v>
      </c>
      <c r="J3" s="6">
        <v>41475</v>
      </c>
      <c r="K3" s="6">
        <v>38883</v>
      </c>
      <c r="L3" s="6">
        <v>37051</v>
      </c>
      <c r="M3" s="6">
        <v>37782</v>
      </c>
      <c r="N3" s="6">
        <v>39051</v>
      </c>
      <c r="O3" s="6">
        <v>38504</v>
      </c>
      <c r="P3" s="6">
        <v>38956</v>
      </c>
      <c r="Q3" s="6">
        <v>34843</v>
      </c>
      <c r="R3" s="6">
        <v>34088</v>
      </c>
      <c r="Z3" s="6">
        <f>+SUM(C3:F3)</f>
        <v>152345</v>
      </c>
      <c r="AA3" s="6">
        <f>+SUM(G3:J3)</f>
        <v>163499</v>
      </c>
      <c r="AB3" s="6">
        <f>+SUM(K3:N3)</f>
        <v>152767</v>
      </c>
      <c r="AC3" s="6">
        <f>+SUM(O3:R3)</f>
        <v>146391</v>
      </c>
    </row>
    <row r="4" spans="1:38" x14ac:dyDescent="0.2">
      <c r="B4" s="4" t="s">
        <v>24</v>
      </c>
      <c r="C4" s="6">
        <v>4392</v>
      </c>
      <c r="D4" s="6">
        <v>4080</v>
      </c>
      <c r="E4" s="6">
        <v>4442</v>
      </c>
      <c r="F4" s="6">
        <v>5497</v>
      </c>
      <c r="G4" s="6">
        <v>4143</v>
      </c>
      <c r="H4" s="6">
        <v>3934</v>
      </c>
      <c r="I4" s="6">
        <v>4271</v>
      </c>
      <c r="J4" s="6">
        <v>5346</v>
      </c>
      <c r="K4" s="6">
        <v>3896</v>
      </c>
      <c r="L4" s="6">
        <v>3899</v>
      </c>
      <c r="M4" s="6">
        <v>4558</v>
      </c>
      <c r="N4" s="6">
        <v>6640</v>
      </c>
      <c r="O4" s="6">
        <v>5435</v>
      </c>
      <c r="P4" s="6">
        <v>5089</v>
      </c>
      <c r="Q4" s="6">
        <v>5079</v>
      </c>
      <c r="R4" s="6">
        <v>6870</v>
      </c>
      <c r="Z4" s="6">
        <f t="shared" ref="Z4:Z14" si="1">+SUM(C4:F4)</f>
        <v>18411</v>
      </c>
      <c r="AA4" s="6">
        <f t="shared" ref="AA4:AA15" si="2">+SUM(G4:J4)</f>
        <v>17694</v>
      </c>
      <c r="AB4" s="6">
        <f t="shared" ref="AB4:AB15" si="3">+SUM(K4:N4)</f>
        <v>18993</v>
      </c>
      <c r="AC4" s="6">
        <f t="shared" ref="AC4:AC15" si="4">+SUM(O4:R4)</f>
        <v>22473</v>
      </c>
    </row>
    <row r="5" spans="1:38" ht="15" x14ac:dyDescent="0.25">
      <c r="B5" s="2" t="s">
        <v>21</v>
      </c>
      <c r="C5" s="3">
        <f t="shared" ref="C5:Q5" si="5">+C4+C3</f>
        <v>38038</v>
      </c>
      <c r="D5" s="3">
        <f t="shared" si="5"/>
        <v>38986</v>
      </c>
      <c r="E5" s="3">
        <f t="shared" si="5"/>
        <v>45739</v>
      </c>
      <c r="F5" s="3">
        <f t="shared" si="5"/>
        <v>47993</v>
      </c>
      <c r="G5" s="3">
        <f t="shared" si="5"/>
        <v>44827</v>
      </c>
      <c r="H5" s="3">
        <f t="shared" si="5"/>
        <v>44957</v>
      </c>
      <c r="I5" s="3">
        <f t="shared" si="5"/>
        <v>44588</v>
      </c>
      <c r="J5" s="3">
        <f t="shared" si="5"/>
        <v>46821</v>
      </c>
      <c r="K5" s="3">
        <f t="shared" si="5"/>
        <v>42779</v>
      </c>
      <c r="L5" s="3">
        <f t="shared" si="5"/>
        <v>40950</v>
      </c>
      <c r="M5" s="3">
        <f t="shared" si="5"/>
        <v>42340</v>
      </c>
      <c r="N5" s="3">
        <f t="shared" si="5"/>
        <v>45691</v>
      </c>
      <c r="O5" s="3">
        <f t="shared" si="5"/>
        <v>43939</v>
      </c>
      <c r="P5" s="3">
        <f t="shared" si="5"/>
        <v>44045</v>
      </c>
      <c r="Q5" s="3">
        <f t="shared" si="5"/>
        <v>39922</v>
      </c>
      <c r="R5" s="3">
        <f t="shared" ref="R5" si="6">+R4+R3</f>
        <v>40958</v>
      </c>
      <c r="Z5" s="3">
        <f t="shared" si="1"/>
        <v>170756</v>
      </c>
      <c r="AA5" s="3">
        <f t="shared" si="2"/>
        <v>181193</v>
      </c>
      <c r="AB5" s="3">
        <f t="shared" si="3"/>
        <v>171760</v>
      </c>
      <c r="AC5" s="3">
        <f t="shared" si="4"/>
        <v>168864</v>
      </c>
    </row>
    <row r="6" spans="1:38" x14ac:dyDescent="0.2">
      <c r="B6" s="4" t="s">
        <v>25</v>
      </c>
      <c r="C6" s="6">
        <v>4848</v>
      </c>
      <c r="D6" s="6">
        <v>4377</v>
      </c>
      <c r="E6" s="6">
        <v>4828</v>
      </c>
      <c r="F6" s="6">
        <v>5733</v>
      </c>
      <c r="G6" s="6">
        <v>4502</v>
      </c>
      <c r="H6" s="6">
        <v>4061</v>
      </c>
      <c r="I6" s="6">
        <v>4484</v>
      </c>
      <c r="J6" s="6">
        <v>5606</v>
      </c>
      <c r="K6" s="6">
        <v>4092</v>
      </c>
      <c r="L6" s="6">
        <v>3978</v>
      </c>
      <c r="M6" s="6">
        <v>4552</v>
      </c>
      <c r="N6" s="6">
        <v>7084</v>
      </c>
      <c r="O6" s="6">
        <v>5556</v>
      </c>
      <c r="P6" s="6">
        <v>5341</v>
      </c>
      <c r="Q6" s="6">
        <v>5427</v>
      </c>
      <c r="R6" s="6">
        <v>7454</v>
      </c>
      <c r="Z6" s="6">
        <f t="shared" si="1"/>
        <v>19786</v>
      </c>
      <c r="AA6" s="6">
        <f t="shared" si="2"/>
        <v>18653</v>
      </c>
      <c r="AB6" s="6">
        <f t="shared" si="3"/>
        <v>19706</v>
      </c>
      <c r="AC6" s="6">
        <f t="shared" si="4"/>
        <v>23778</v>
      </c>
    </row>
    <row r="7" spans="1:38" x14ac:dyDescent="0.2">
      <c r="B7" s="4" t="s">
        <v>32</v>
      </c>
      <c r="C7" s="6">
        <v>5166</v>
      </c>
      <c r="D7" s="6">
        <v>5449</v>
      </c>
      <c r="E7" s="6">
        <v>7227</v>
      </c>
      <c r="F7" s="6">
        <v>8885</v>
      </c>
      <c r="G7" s="6">
        <v>7652</v>
      </c>
      <c r="H7" s="6">
        <v>7730</v>
      </c>
      <c r="I7" s="6">
        <v>7066</v>
      </c>
      <c r="J7" s="6">
        <v>8684</v>
      </c>
      <c r="K7" s="6">
        <v>6754</v>
      </c>
      <c r="L7" s="6">
        <v>5889</v>
      </c>
      <c r="M7" s="6">
        <v>6912</v>
      </c>
      <c r="N7" s="6">
        <v>7750</v>
      </c>
      <c r="O7" s="6">
        <v>7538</v>
      </c>
      <c r="P7" s="6">
        <v>7603</v>
      </c>
      <c r="Q7" s="6">
        <v>4750</v>
      </c>
      <c r="R7" s="6">
        <v>4906</v>
      </c>
      <c r="Z7" s="6">
        <f t="shared" si="1"/>
        <v>26727</v>
      </c>
      <c r="AA7" s="6">
        <f t="shared" si="2"/>
        <v>31132</v>
      </c>
      <c r="AB7" s="6">
        <f t="shared" si="3"/>
        <v>27305</v>
      </c>
      <c r="AC7" s="6">
        <f t="shared" si="4"/>
        <v>24797</v>
      </c>
    </row>
    <row r="8" spans="1:38" x14ac:dyDescent="0.2">
      <c r="B8" s="4" t="s">
        <v>26</v>
      </c>
      <c r="C8" s="6">
        <v>7932</v>
      </c>
      <c r="D8" s="6">
        <v>7632</v>
      </c>
      <c r="E8" s="6">
        <v>8651</v>
      </c>
      <c r="F8" s="6">
        <v>8691</v>
      </c>
      <c r="G8" s="6">
        <v>8585</v>
      </c>
      <c r="H8" s="6">
        <v>8721</v>
      </c>
      <c r="I8" s="6">
        <v>8604</v>
      </c>
      <c r="J8" s="6">
        <v>8446</v>
      </c>
      <c r="K8" s="6">
        <v>8342</v>
      </c>
      <c r="L8" s="6">
        <v>8116</v>
      </c>
      <c r="M8" s="6">
        <v>8375</v>
      </c>
      <c r="N8" s="6">
        <v>8076</v>
      </c>
      <c r="O8" s="6">
        <v>7993</v>
      </c>
      <c r="P8" s="6">
        <v>8155</v>
      </c>
      <c r="Q8" s="6">
        <v>7649</v>
      </c>
      <c r="R8" s="6">
        <v>7435</v>
      </c>
      <c r="Z8" s="6">
        <f t="shared" si="1"/>
        <v>32906</v>
      </c>
      <c r="AA8" s="6">
        <f t="shared" si="2"/>
        <v>34356</v>
      </c>
      <c r="AB8" s="6">
        <f t="shared" si="3"/>
        <v>32909</v>
      </c>
      <c r="AC8" s="6">
        <f t="shared" si="4"/>
        <v>31232</v>
      </c>
    </row>
    <row r="9" spans="1:38" x14ac:dyDescent="0.2">
      <c r="B9" s="4" t="s">
        <v>27</v>
      </c>
      <c r="C9" s="6">
        <v>7897</v>
      </c>
      <c r="D9" s="6">
        <v>8684</v>
      </c>
      <c r="E9" s="6">
        <v>9598</v>
      </c>
      <c r="F9" s="6">
        <v>10586</v>
      </c>
      <c r="G9" s="6">
        <v>9649</v>
      </c>
      <c r="H9" s="6">
        <v>9844</v>
      </c>
      <c r="I9" s="6">
        <v>9584</v>
      </c>
      <c r="J9" s="6">
        <v>10345</v>
      </c>
      <c r="K9" s="6">
        <v>8760</v>
      </c>
      <c r="L9" s="6">
        <v>9831</v>
      </c>
      <c r="M9" s="6">
        <v>9266</v>
      </c>
      <c r="N9" s="6">
        <v>10182</v>
      </c>
      <c r="O9" s="6">
        <v>9382</v>
      </c>
      <c r="P9" s="6">
        <v>9361</v>
      </c>
      <c r="Q9" s="6">
        <v>9207</v>
      </c>
      <c r="R9" s="6">
        <v>9994</v>
      </c>
      <c r="Z9" s="6">
        <f t="shared" si="1"/>
        <v>36765</v>
      </c>
      <c r="AA9" s="6">
        <f t="shared" si="2"/>
        <v>39422</v>
      </c>
      <c r="AB9" s="6">
        <f t="shared" si="3"/>
        <v>38039</v>
      </c>
      <c r="AC9" s="6">
        <f t="shared" si="4"/>
        <v>37944</v>
      </c>
    </row>
    <row r="10" spans="1:38" x14ac:dyDescent="0.2">
      <c r="B10" s="4" t="s">
        <v>28</v>
      </c>
      <c r="C10" s="6">
        <f t="shared" ref="C10:R10" si="7">+SUM(C6:C9)</f>
        <v>25843</v>
      </c>
      <c r="D10" s="6">
        <f t="shared" si="7"/>
        <v>26142</v>
      </c>
      <c r="E10" s="6">
        <f t="shared" si="7"/>
        <v>30304</v>
      </c>
      <c r="F10" s="6">
        <f t="shared" si="7"/>
        <v>33895</v>
      </c>
      <c r="G10" s="6">
        <f t="shared" si="7"/>
        <v>30388</v>
      </c>
      <c r="H10" s="6">
        <f t="shared" si="7"/>
        <v>30356</v>
      </c>
      <c r="I10" s="6">
        <f t="shared" si="7"/>
        <v>29738</v>
      </c>
      <c r="J10" s="6">
        <f t="shared" si="7"/>
        <v>33081</v>
      </c>
      <c r="K10" s="6">
        <f t="shared" si="7"/>
        <v>27948</v>
      </c>
      <c r="L10" s="6">
        <f t="shared" si="7"/>
        <v>27814</v>
      </c>
      <c r="M10" s="6">
        <f t="shared" si="7"/>
        <v>29105</v>
      </c>
      <c r="N10" s="6">
        <f t="shared" si="7"/>
        <v>33092</v>
      </c>
      <c r="O10" s="6">
        <f t="shared" si="7"/>
        <v>30469</v>
      </c>
      <c r="P10" s="6">
        <f t="shared" si="7"/>
        <v>30460</v>
      </c>
      <c r="Q10" s="6">
        <f t="shared" si="7"/>
        <v>27033</v>
      </c>
      <c r="R10" s="6">
        <f t="shared" si="7"/>
        <v>29789</v>
      </c>
      <c r="Z10" s="6">
        <f t="shared" si="1"/>
        <v>116184</v>
      </c>
      <c r="AA10" s="6">
        <f t="shared" si="2"/>
        <v>123563</v>
      </c>
      <c r="AB10" s="6">
        <f t="shared" si="3"/>
        <v>117959</v>
      </c>
      <c r="AC10" s="6">
        <f t="shared" si="4"/>
        <v>117751</v>
      </c>
    </row>
    <row r="11" spans="1:38" x14ac:dyDescent="0.2">
      <c r="B11" s="4" t="s">
        <v>29</v>
      </c>
      <c r="C11" s="6">
        <f t="shared" ref="C11:R11" si="8">+C5-C10</f>
        <v>12195</v>
      </c>
      <c r="D11" s="6">
        <f t="shared" si="8"/>
        <v>12844</v>
      </c>
      <c r="E11" s="6">
        <f t="shared" si="8"/>
        <v>15435</v>
      </c>
      <c r="F11" s="6">
        <f t="shared" si="8"/>
        <v>14098</v>
      </c>
      <c r="G11" s="6">
        <f t="shared" si="8"/>
        <v>14439</v>
      </c>
      <c r="H11" s="6">
        <f t="shared" si="8"/>
        <v>14601</v>
      </c>
      <c r="I11" s="6">
        <f t="shared" si="8"/>
        <v>14850</v>
      </c>
      <c r="J11" s="6">
        <f t="shared" si="8"/>
        <v>13740</v>
      </c>
      <c r="K11" s="6">
        <f t="shared" si="8"/>
        <v>14831</v>
      </c>
      <c r="L11" s="6">
        <f t="shared" si="8"/>
        <v>13136</v>
      </c>
      <c r="M11" s="6">
        <f t="shared" si="8"/>
        <v>13235</v>
      </c>
      <c r="N11" s="6">
        <f t="shared" si="8"/>
        <v>12599</v>
      </c>
      <c r="O11" s="6">
        <f t="shared" si="8"/>
        <v>13470</v>
      </c>
      <c r="P11" s="6">
        <f t="shared" si="8"/>
        <v>13585</v>
      </c>
      <c r="Q11" s="6">
        <f t="shared" si="8"/>
        <v>12889</v>
      </c>
      <c r="R11" s="6">
        <f t="shared" si="8"/>
        <v>11169</v>
      </c>
      <c r="Z11" s="6">
        <f t="shared" si="1"/>
        <v>54572</v>
      </c>
      <c r="AA11" s="6">
        <f t="shared" si="2"/>
        <v>57630</v>
      </c>
      <c r="AB11" s="6">
        <f t="shared" si="3"/>
        <v>53801</v>
      </c>
      <c r="AC11" s="6">
        <f t="shared" si="4"/>
        <v>51113</v>
      </c>
    </row>
    <row r="12" spans="1:38" x14ac:dyDescent="0.2">
      <c r="B12" s="4" t="s">
        <v>34</v>
      </c>
      <c r="C12" s="4">
        <f>+-1771+9+1702</f>
        <v>-60</v>
      </c>
      <c r="D12" s="4">
        <f>+-2023+-16+2353</f>
        <v>314</v>
      </c>
      <c r="E12" s="4">
        <f>+-2051+-64+1053</f>
        <v>-1062</v>
      </c>
      <c r="F12" s="4">
        <f>+-2112+23+1674</f>
        <v>-415</v>
      </c>
      <c r="G12" s="4">
        <f>+-2141+-7+286</f>
        <v>-1862</v>
      </c>
      <c r="H12" s="4">
        <f>+-2149+40+-318</f>
        <v>-2427</v>
      </c>
      <c r="I12" s="4">
        <f>+-2083+3+-935</f>
        <v>-3015</v>
      </c>
      <c r="J12" s="4">
        <f>+-2049+-30+-104</f>
        <v>-2183</v>
      </c>
      <c r="K12" s="4">
        <f>+-2018+-6+803</f>
        <v>-1221</v>
      </c>
      <c r="L12" s="4">
        <f>+-2041+-10+1017</f>
        <v>-1034</v>
      </c>
      <c r="M12" s="4">
        <f>+-1972+5+-231</f>
        <v>-2198</v>
      </c>
      <c r="N12" s="4">
        <f>-1894+106+-3020</f>
        <v>-4808</v>
      </c>
      <c r="O12" s="4">
        <f>+-1870+52+4221</f>
        <v>2403</v>
      </c>
      <c r="P12" s="4">
        <f>+-1684+41+999</f>
        <v>-644</v>
      </c>
      <c r="Q12" s="4">
        <f>+-1667+91+2279</f>
        <v>703</v>
      </c>
      <c r="R12" s="4">
        <v>2354</v>
      </c>
      <c r="Z12" s="6">
        <f t="shared" si="1"/>
        <v>-1223</v>
      </c>
      <c r="AA12" s="6">
        <f t="shared" si="2"/>
        <v>-9487</v>
      </c>
      <c r="AB12" s="6">
        <f t="shared" si="3"/>
        <v>-9261</v>
      </c>
      <c r="AC12" s="6">
        <f t="shared" si="4"/>
        <v>4816</v>
      </c>
    </row>
    <row r="13" spans="1:38" x14ac:dyDescent="0.2">
      <c r="B13" s="4" t="s">
        <v>30</v>
      </c>
      <c r="C13" s="6">
        <f t="shared" ref="C13:Q13" si="9">+C11+C12</f>
        <v>12135</v>
      </c>
      <c r="D13" s="6">
        <f t="shared" si="9"/>
        <v>13158</v>
      </c>
      <c r="E13" s="6">
        <f t="shared" si="9"/>
        <v>14373</v>
      </c>
      <c r="F13" s="6">
        <f t="shared" si="9"/>
        <v>13683</v>
      </c>
      <c r="G13" s="6">
        <f t="shared" si="9"/>
        <v>12577</v>
      </c>
      <c r="H13" s="6">
        <f t="shared" si="9"/>
        <v>12174</v>
      </c>
      <c r="I13" s="6">
        <f t="shared" si="9"/>
        <v>11835</v>
      </c>
      <c r="J13" s="6">
        <f t="shared" si="9"/>
        <v>11557</v>
      </c>
      <c r="K13" s="6">
        <f t="shared" si="9"/>
        <v>13610</v>
      </c>
      <c r="L13" s="6">
        <f t="shared" si="9"/>
        <v>12102</v>
      </c>
      <c r="M13" s="6">
        <f t="shared" si="9"/>
        <v>11037</v>
      </c>
      <c r="N13" s="6">
        <f t="shared" si="9"/>
        <v>7791</v>
      </c>
      <c r="O13" s="6">
        <f t="shared" si="9"/>
        <v>15873</v>
      </c>
      <c r="P13" s="6">
        <f t="shared" si="9"/>
        <v>12941</v>
      </c>
      <c r="Q13" s="6">
        <f t="shared" si="9"/>
        <v>13592</v>
      </c>
      <c r="R13" s="6">
        <f>+R11+R12</f>
        <v>13523</v>
      </c>
      <c r="Z13" s="6">
        <f t="shared" si="1"/>
        <v>53349</v>
      </c>
      <c r="AA13" s="6">
        <f t="shared" si="2"/>
        <v>48143</v>
      </c>
      <c r="AB13" s="6">
        <f t="shared" si="3"/>
        <v>44540</v>
      </c>
      <c r="AC13" s="6">
        <f t="shared" si="4"/>
        <v>55929</v>
      </c>
    </row>
    <row r="14" spans="1:38" s="6" customFormat="1" x14ac:dyDescent="0.2">
      <c r="B14" s="6" t="s">
        <v>35</v>
      </c>
      <c r="C14" s="6">
        <f>1382+97</f>
        <v>1479</v>
      </c>
      <c r="D14" s="6">
        <f>1532+116</f>
        <v>1648</v>
      </c>
      <c r="E14" s="6">
        <f>1391+98</f>
        <v>1489</v>
      </c>
      <c r="F14" s="6">
        <f>615+272</f>
        <v>887</v>
      </c>
      <c r="G14" s="6">
        <f>1023+252</f>
        <v>1275</v>
      </c>
      <c r="H14" s="6">
        <f>1099+261</f>
        <v>1360</v>
      </c>
      <c r="I14" s="6">
        <f>937+249</f>
        <v>1186</v>
      </c>
      <c r="J14" s="6">
        <f>434+310</f>
        <v>744</v>
      </c>
      <c r="K14" s="6">
        <f>1302--353</f>
        <v>1655</v>
      </c>
      <c r="L14" s="6">
        <f>935+--282</f>
        <v>1217</v>
      </c>
      <c r="M14" s="6">
        <f>766--352</f>
        <v>1118</v>
      </c>
      <c r="N14" s="6">
        <f>-2038+368</f>
        <v>-1670</v>
      </c>
      <c r="O14" s="6">
        <f>2122--392</f>
        <v>2514</v>
      </c>
      <c r="P14" s="6">
        <f>751--304</f>
        <v>1055</v>
      </c>
      <c r="Q14" s="6">
        <f>1539--355</f>
        <v>1894</v>
      </c>
      <c r="R14" s="6">
        <f>1056+347+51</f>
        <v>1454</v>
      </c>
      <c r="Z14" s="6">
        <f t="shared" si="1"/>
        <v>5503</v>
      </c>
      <c r="AA14" s="6">
        <f t="shared" si="2"/>
        <v>4565</v>
      </c>
      <c r="AB14" s="6">
        <f t="shared" si="3"/>
        <v>2320</v>
      </c>
      <c r="AC14" s="6">
        <f t="shared" si="4"/>
        <v>6917</v>
      </c>
    </row>
    <row r="15" spans="1:38" ht="15" x14ac:dyDescent="0.25">
      <c r="B15" s="2" t="s">
        <v>31</v>
      </c>
      <c r="C15" s="3">
        <f t="shared" ref="C15:Q15" si="10">+C13-C14</f>
        <v>10656</v>
      </c>
      <c r="D15" s="3">
        <f t="shared" si="10"/>
        <v>11510</v>
      </c>
      <c r="E15" s="3">
        <f t="shared" si="10"/>
        <v>12884</v>
      </c>
      <c r="F15" s="3">
        <f t="shared" si="10"/>
        <v>12796</v>
      </c>
      <c r="G15" s="3">
        <f t="shared" si="10"/>
        <v>11302</v>
      </c>
      <c r="H15" s="3">
        <f t="shared" si="10"/>
        <v>10814</v>
      </c>
      <c r="I15" s="3">
        <f t="shared" si="10"/>
        <v>10649</v>
      </c>
      <c r="J15" s="3">
        <f t="shared" si="10"/>
        <v>10813</v>
      </c>
      <c r="K15" s="3">
        <f t="shared" si="10"/>
        <v>11955</v>
      </c>
      <c r="L15" s="3">
        <f t="shared" si="10"/>
        <v>10885</v>
      </c>
      <c r="M15" s="3">
        <f t="shared" si="10"/>
        <v>9919</v>
      </c>
      <c r="N15" s="3">
        <f t="shared" si="10"/>
        <v>9461</v>
      </c>
      <c r="O15" s="3">
        <f t="shared" si="10"/>
        <v>13359</v>
      </c>
      <c r="P15" s="3">
        <f t="shared" si="10"/>
        <v>11886</v>
      </c>
      <c r="Q15" s="3">
        <f t="shared" si="10"/>
        <v>11698</v>
      </c>
      <c r="R15" s="3">
        <f t="shared" ref="R15" si="11">+R13-R14</f>
        <v>12069</v>
      </c>
      <c r="Z15" s="3">
        <f>+SUM(C15:F15)</f>
        <v>47846</v>
      </c>
      <c r="AA15" s="3">
        <f t="shared" si="2"/>
        <v>43578</v>
      </c>
      <c r="AB15" s="3">
        <f t="shared" si="3"/>
        <v>42220</v>
      </c>
      <c r="AC15" s="3">
        <f t="shared" si="4"/>
        <v>49012</v>
      </c>
    </row>
    <row r="16" spans="1:38" x14ac:dyDescent="0.2">
      <c r="B16" s="4" t="s">
        <v>36</v>
      </c>
      <c r="C16" s="8">
        <f t="shared" ref="C16:Q16" si="12">+C15/C17</f>
        <v>1.7242718446601941</v>
      </c>
      <c r="D16" s="8">
        <f t="shared" si="12"/>
        <v>1.8057734546595545</v>
      </c>
      <c r="E16" s="8">
        <f t="shared" si="12"/>
        <v>1.7601092896174864</v>
      </c>
      <c r="F16" s="8">
        <f t="shared" si="12"/>
        <v>1.7461790393013101</v>
      </c>
      <c r="G16" s="8">
        <f t="shared" si="12"/>
        <v>1.5393625715064014</v>
      </c>
      <c r="H16" s="8">
        <f t="shared" si="12"/>
        <v>1.4706922344621243</v>
      </c>
      <c r="I16" s="8">
        <f t="shared" si="12"/>
        <v>1.4476617727025558</v>
      </c>
      <c r="J16" s="8">
        <f t="shared" si="12"/>
        <v>1.4729600871815829</v>
      </c>
      <c r="K16" s="8">
        <f t="shared" si="12"/>
        <v>1.6571943443304686</v>
      </c>
      <c r="L16" s="8">
        <f t="shared" si="12"/>
        <v>1.5181311018131103</v>
      </c>
      <c r="M16" s="8">
        <f t="shared" si="12"/>
        <v>1.382824480691482</v>
      </c>
      <c r="N16" s="8">
        <f t="shared" si="12"/>
        <v>1.3184225195094761</v>
      </c>
      <c r="O16" s="8">
        <f t="shared" si="12"/>
        <v>1.8585141903171953</v>
      </c>
      <c r="P16" s="8">
        <f t="shared" si="12"/>
        <v>1.6508333333333334</v>
      </c>
      <c r="Q16" s="8">
        <f t="shared" si="12"/>
        <v>1.6242710358233825</v>
      </c>
      <c r="R16" s="8">
        <f t="shared" ref="R16" si="13">+R15/R17</f>
        <v>1.67578450430436</v>
      </c>
      <c r="Z16" s="8">
        <f>+AVERAGE(C16:F16)</f>
        <v>1.7590834070596364</v>
      </c>
      <c r="AA16" s="8">
        <f>+AVERAGE(G16:J16)</f>
        <v>1.4826691664631664</v>
      </c>
      <c r="AB16" s="8">
        <f>+AVERAGE(K16:N16)</f>
        <v>1.4691431115861342</v>
      </c>
      <c r="AC16" s="8">
        <f>+AVERAGE(O16:R16)</f>
        <v>1.7023507659445678</v>
      </c>
    </row>
    <row r="17" spans="2:29" x14ac:dyDescent="0.2">
      <c r="B17" s="4" t="s">
        <v>37</v>
      </c>
      <c r="C17" s="6">
        <v>6180</v>
      </c>
      <c r="D17" s="6">
        <v>6374</v>
      </c>
      <c r="E17" s="6">
        <v>7320</v>
      </c>
      <c r="F17" s="6">
        <v>7328</v>
      </c>
      <c r="G17" s="6">
        <v>7342</v>
      </c>
      <c r="H17" s="6">
        <v>7353</v>
      </c>
      <c r="I17" s="6">
        <v>7356</v>
      </c>
      <c r="J17" s="6">
        <v>7341</v>
      </c>
      <c r="K17" s="6">
        <v>7214</v>
      </c>
      <c r="L17" s="6">
        <v>7170</v>
      </c>
      <c r="M17" s="6">
        <v>7173</v>
      </c>
      <c r="N17" s="6">
        <v>7176</v>
      </c>
      <c r="O17" s="6">
        <v>7188</v>
      </c>
      <c r="P17" s="6">
        <v>7200</v>
      </c>
      <c r="Q17" s="6">
        <v>7202</v>
      </c>
      <c r="R17" s="6">
        <v>7202</v>
      </c>
      <c r="Z17" s="8">
        <f>+AVERAGE(C17:F17)</f>
        <v>6800.5</v>
      </c>
      <c r="AA17" s="8">
        <f>+AVERAGE(G17:J17)</f>
        <v>7348</v>
      </c>
      <c r="AB17" s="8">
        <f>+AVERAGE(K17:N17)</f>
        <v>7183.25</v>
      </c>
      <c r="AC17" s="8">
        <f>+AVERAGE(O17:R17)</f>
        <v>7198</v>
      </c>
    </row>
    <row r="19" spans="2:29" x14ac:dyDescent="0.2">
      <c r="B19" s="4" t="s">
        <v>39</v>
      </c>
      <c r="C19" s="9">
        <f t="shared" ref="C19:R19" si="14">+SUM(C6:C8)/C5</f>
        <v>0.47179136652820863</v>
      </c>
      <c r="D19" s="9">
        <f t="shared" si="14"/>
        <v>0.44780177499615248</v>
      </c>
      <c r="E19" s="9">
        <f t="shared" si="14"/>
        <v>0.45269900959793613</v>
      </c>
      <c r="F19" s="9">
        <f t="shared" si="14"/>
        <v>0.48567499426999772</v>
      </c>
      <c r="G19" s="9">
        <f t="shared" si="14"/>
        <v>0.46264528074597899</v>
      </c>
      <c r="H19" s="9">
        <f t="shared" si="14"/>
        <v>0.45625820228218072</v>
      </c>
      <c r="I19" s="9">
        <f t="shared" si="14"/>
        <v>0.4520050237732125</v>
      </c>
      <c r="J19" s="9">
        <f t="shared" si="14"/>
        <v>0.48559407103650071</v>
      </c>
      <c r="K19" s="9">
        <f t="shared" si="14"/>
        <v>0.44853783398396407</v>
      </c>
      <c r="L19" s="9">
        <f t="shared" si="14"/>
        <v>0.43914529914529915</v>
      </c>
      <c r="M19" s="9">
        <f t="shared" si="14"/>
        <v>0.46856400566839868</v>
      </c>
      <c r="N19" s="9">
        <f t="shared" si="14"/>
        <v>0.50141165656256159</v>
      </c>
      <c r="O19" s="9">
        <f t="shared" si="14"/>
        <v>0.47991533717198842</v>
      </c>
      <c r="P19" s="9">
        <f t="shared" si="14"/>
        <v>0.47903280735611309</v>
      </c>
      <c r="Q19" s="9">
        <f t="shared" si="14"/>
        <v>0.44652071539502031</v>
      </c>
      <c r="R19" s="9">
        <f t="shared" si="14"/>
        <v>0.48329996581864348</v>
      </c>
      <c r="Z19" s="9">
        <f t="shared" ref="Z19:AC19" si="15">+SUM(Z6:Z8)/Z5</f>
        <v>0.4651022511654056</v>
      </c>
      <c r="AA19" s="9">
        <f t="shared" si="15"/>
        <v>0.46437224396085941</v>
      </c>
      <c r="AB19" s="9">
        <f t="shared" si="15"/>
        <v>0.46530041918956683</v>
      </c>
      <c r="AC19" s="9">
        <f t="shared" si="15"/>
        <v>0.47261109531931023</v>
      </c>
    </row>
    <row r="20" spans="2:29" x14ac:dyDescent="0.2">
      <c r="B20" s="4" t="s">
        <v>65</v>
      </c>
      <c r="C20" s="9">
        <f t="shared" ref="C20:R20" si="16">+C11/C5</f>
        <v>0.32060045217939953</v>
      </c>
      <c r="D20" s="9">
        <f t="shared" si="16"/>
        <v>0.32945159800954188</v>
      </c>
      <c r="E20" s="9">
        <f t="shared" si="16"/>
        <v>0.33745818666783273</v>
      </c>
      <c r="F20" s="9">
        <f t="shared" si="16"/>
        <v>0.29375117204592338</v>
      </c>
      <c r="G20" s="9">
        <f t="shared" si="16"/>
        <v>0.32210498137283333</v>
      </c>
      <c r="H20" s="9">
        <f t="shared" si="16"/>
        <v>0.32477700914206908</v>
      </c>
      <c r="I20" s="9">
        <f t="shared" si="16"/>
        <v>0.33304925091952992</v>
      </c>
      <c r="J20" s="9">
        <f t="shared" si="16"/>
        <v>0.29345806368937016</v>
      </c>
      <c r="K20" s="9">
        <f t="shared" si="16"/>
        <v>0.34668879590453261</v>
      </c>
      <c r="L20" s="9">
        <f t="shared" si="16"/>
        <v>0.32078144078144077</v>
      </c>
      <c r="M20" s="9">
        <f t="shared" si="16"/>
        <v>0.31258856872933394</v>
      </c>
      <c r="N20" s="9">
        <f t="shared" si="16"/>
        <v>0.27574358188702369</v>
      </c>
      <c r="O20" s="9">
        <f t="shared" si="16"/>
        <v>0.30656136917089599</v>
      </c>
      <c r="P20" s="9">
        <f t="shared" si="16"/>
        <v>0.3084345555681689</v>
      </c>
      <c r="Q20" s="9">
        <f t="shared" si="16"/>
        <v>0.32285456640448873</v>
      </c>
      <c r="R20" s="9">
        <f t="shared" si="16"/>
        <v>0.27269397919820304</v>
      </c>
      <c r="Z20" s="9">
        <f t="shared" ref="Z20:AC20" si="17">+Z11/Z5</f>
        <v>0.31959052683361056</v>
      </c>
      <c r="AA20" s="9">
        <f t="shared" si="17"/>
        <v>0.31805864464962774</v>
      </c>
      <c r="AB20" s="9">
        <f t="shared" si="17"/>
        <v>0.31323358174196553</v>
      </c>
      <c r="AC20" s="9">
        <f t="shared" si="17"/>
        <v>0.3026873697176426</v>
      </c>
    </row>
    <row r="21" spans="2:29" x14ac:dyDescent="0.2">
      <c r="B21" s="4" t="s">
        <v>66</v>
      </c>
      <c r="C21" s="9">
        <f t="shared" ref="C21:P21" si="18">+C14/C13</f>
        <v>0.12187886279357231</v>
      </c>
      <c r="D21" s="9">
        <f t="shared" si="18"/>
        <v>0.12524699802401582</v>
      </c>
      <c r="E21" s="9">
        <f t="shared" si="18"/>
        <v>0.10359702219439226</v>
      </c>
      <c r="F21" s="9">
        <f t="shared" si="18"/>
        <v>6.4824965285390626E-2</v>
      </c>
      <c r="G21" s="9">
        <f t="shared" si="18"/>
        <v>0.10137552675518804</v>
      </c>
      <c r="H21" s="9">
        <f t="shared" si="18"/>
        <v>0.11171348776080171</v>
      </c>
      <c r="I21" s="9">
        <f t="shared" si="18"/>
        <v>0.10021123785382341</v>
      </c>
      <c r="J21" s="9">
        <f t="shared" si="18"/>
        <v>6.4376568313576188E-2</v>
      </c>
      <c r="K21" s="9">
        <f t="shared" si="18"/>
        <v>0.12160176340925789</v>
      </c>
      <c r="L21" s="9">
        <f t="shared" si="18"/>
        <v>0.10056189059659561</v>
      </c>
      <c r="M21" s="9">
        <f t="shared" si="18"/>
        <v>0.10129564193168433</v>
      </c>
      <c r="N21" s="9">
        <f t="shared" si="18"/>
        <v>-0.21434989089975612</v>
      </c>
      <c r="O21" s="9">
        <f t="shared" si="18"/>
        <v>0.15838215838215838</v>
      </c>
      <c r="P21" s="9">
        <f t="shared" si="18"/>
        <v>8.1523838961440387E-2</v>
      </c>
      <c r="Q21" s="9">
        <f>+Q14/Q13</f>
        <v>0.13934667451442026</v>
      </c>
      <c r="R21" s="9">
        <f>+R14/R13</f>
        <v>0.10752052059454263</v>
      </c>
      <c r="Z21" s="9">
        <f t="shared" ref="Z21:AC21" si="19">+Z14/Z13</f>
        <v>0.10315094940861122</v>
      </c>
      <c r="AA21" s="9">
        <f t="shared" si="19"/>
        <v>9.4821677087011613E-2</v>
      </c>
      <c r="AB21" s="9">
        <f t="shared" si="19"/>
        <v>5.2088010776829813E-2</v>
      </c>
      <c r="AC21" s="9">
        <f t="shared" si="19"/>
        <v>0.12367465894258792</v>
      </c>
    </row>
    <row r="22" spans="2:29" x14ac:dyDescent="0.2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4" spans="2:29" x14ac:dyDescent="0.2">
      <c r="B24" s="4" t="s">
        <v>38</v>
      </c>
      <c r="C24" s="9"/>
      <c r="D24" s="9"/>
      <c r="E24" s="9"/>
      <c r="F24" s="9"/>
      <c r="G24" s="9">
        <f t="shared" ref="G24:R24" si="20">+G5/C5-1</f>
        <v>0.17847941532152056</v>
      </c>
      <c r="H24" s="9">
        <f t="shared" si="20"/>
        <v>0.15315754373364787</v>
      </c>
      <c r="I24" s="9">
        <f t="shared" si="20"/>
        <v>-2.5164520431141923E-2</v>
      </c>
      <c r="J24" s="9">
        <f t="shared" si="20"/>
        <v>-2.442022794990939E-2</v>
      </c>
      <c r="K24" s="9">
        <f t="shared" si="20"/>
        <v>-4.5686751288286032E-2</v>
      </c>
      <c r="L24" s="9">
        <f t="shared" si="20"/>
        <v>-8.912961274106368E-2</v>
      </c>
      <c r="M24" s="9">
        <f t="shared" si="20"/>
        <v>-5.0417152597111325E-2</v>
      </c>
      <c r="N24" s="9">
        <f t="shared" si="20"/>
        <v>-2.4134469575617823E-2</v>
      </c>
      <c r="O24" s="9">
        <f t="shared" si="20"/>
        <v>2.7116108370929703E-2</v>
      </c>
      <c r="P24" s="9">
        <f t="shared" si="20"/>
        <v>7.5579975579975534E-2</v>
      </c>
      <c r="Q24" s="9">
        <f t="shared" si="20"/>
        <v>-5.710911667453944E-2</v>
      </c>
      <c r="R24" s="9">
        <f t="shared" si="20"/>
        <v>-0.10358713969928435</v>
      </c>
      <c r="AA24" s="9">
        <f>+AA5/Z5-1</f>
        <v>6.1122303169434788E-2</v>
      </c>
      <c r="AB24" s="9">
        <f>+AB5/AA5-1</f>
        <v>-5.2060510063854593E-2</v>
      </c>
      <c r="AC24" s="9">
        <f>+AC5/AB5-1</f>
        <v>-1.686073591057291E-2</v>
      </c>
    </row>
    <row r="27" spans="2:29" x14ac:dyDescent="0.2">
      <c r="B27" s="4" t="s">
        <v>2</v>
      </c>
      <c r="M27" s="6">
        <v>9740</v>
      </c>
      <c r="Q27" s="6">
        <v>21270</v>
      </c>
    </row>
    <row r="28" spans="2:29" x14ac:dyDescent="0.2">
      <c r="B28" s="4" t="s">
        <v>40</v>
      </c>
      <c r="M28" s="6">
        <v>20215</v>
      </c>
      <c r="Q28" s="6">
        <v>16304</v>
      </c>
    </row>
    <row r="29" spans="2:29" x14ac:dyDescent="0.2">
      <c r="B29" s="4" t="s">
        <v>41</v>
      </c>
      <c r="M29" s="6">
        <v>3695</v>
      </c>
      <c r="Q29" s="6">
        <v>3088</v>
      </c>
    </row>
    <row r="30" spans="2:29" x14ac:dyDescent="0.2">
      <c r="B30" s="4" t="s">
        <v>42</v>
      </c>
      <c r="M30" s="6">
        <v>18358</v>
      </c>
      <c r="Q30" s="6">
        <v>16568</v>
      </c>
    </row>
    <row r="31" spans="2:29" x14ac:dyDescent="0.2">
      <c r="B31" s="4" t="s">
        <v>43</v>
      </c>
      <c r="M31" s="6">
        <v>14752</v>
      </c>
      <c r="Q31" s="6">
        <v>17811</v>
      </c>
    </row>
    <row r="32" spans="2:29" x14ac:dyDescent="0.2">
      <c r="B32" s="4" t="s">
        <v>44</v>
      </c>
      <c r="M32" s="6">
        <v>127315</v>
      </c>
      <c r="Q32" s="6">
        <v>124419</v>
      </c>
    </row>
    <row r="33" spans="2:17" x14ac:dyDescent="0.2">
      <c r="B33" s="4" t="s">
        <v>45</v>
      </c>
      <c r="M33" s="6">
        <f>135259+15386</f>
        <v>150645</v>
      </c>
      <c r="Q33" s="6">
        <f>133663+12338</f>
        <v>146001</v>
      </c>
    </row>
    <row r="34" spans="2:17" x14ac:dyDescent="0.2">
      <c r="B34" s="4" t="s">
        <v>46</v>
      </c>
      <c r="M34" s="6">
        <f>93840+23297</f>
        <v>117137</v>
      </c>
      <c r="Q34" s="6">
        <f>112423+22097</f>
        <v>134520</v>
      </c>
    </row>
    <row r="35" spans="2:17" x14ac:dyDescent="0.2">
      <c r="B35" s="4" t="s">
        <v>47</v>
      </c>
      <c r="M35" s="6">
        <v>13793</v>
      </c>
      <c r="Q35" s="6">
        <v>12408</v>
      </c>
    </row>
    <row r="36" spans="2:17" x14ac:dyDescent="0.2">
      <c r="B36" s="4" t="s">
        <v>49</v>
      </c>
      <c r="M36" s="6">
        <v>1780</v>
      </c>
      <c r="Q36" s="6">
        <v>8629</v>
      </c>
    </row>
    <row r="37" spans="2:17" x14ac:dyDescent="0.2">
      <c r="B37" s="4" t="s">
        <v>48</v>
      </c>
      <c r="M37" s="6">
        <f>24714+23617</f>
        <v>48331</v>
      </c>
      <c r="Q37" s="6">
        <f>24341+21748</f>
        <v>46089</v>
      </c>
    </row>
    <row r="38" spans="2:17" x14ac:dyDescent="0.2">
      <c r="B38" s="4" t="s">
        <v>51</v>
      </c>
      <c r="M38" s="6">
        <f>+SUM(M27:M37)</f>
        <v>525761</v>
      </c>
      <c r="Q38" s="6">
        <f>+SUM(Q27:Q37)</f>
        <v>547107</v>
      </c>
    </row>
    <row r="39" spans="2:17" x14ac:dyDescent="0.2">
      <c r="Q39" s="6"/>
    </row>
    <row r="40" spans="2:17" x14ac:dyDescent="0.2">
      <c r="B40" s="4" t="s">
        <v>3</v>
      </c>
      <c r="Q40" s="6">
        <f>23755+155406</f>
        <v>179161</v>
      </c>
    </row>
    <row r="41" spans="2:17" x14ac:dyDescent="0.2">
      <c r="B41" s="4" t="s">
        <v>52</v>
      </c>
      <c r="Q41" s="6">
        <f>1180+258</f>
        <v>1438</v>
      </c>
    </row>
    <row r="42" spans="2:17" x14ac:dyDescent="0.2">
      <c r="B42" s="4" t="s">
        <v>53</v>
      </c>
      <c r="Q42" s="6">
        <v>47926</v>
      </c>
    </row>
    <row r="43" spans="2:17" x14ac:dyDescent="0.2">
      <c r="B43" s="4" t="s">
        <v>54</v>
      </c>
      <c r="Q43" s="6">
        <v>4991</v>
      </c>
    </row>
    <row r="44" spans="2:17" x14ac:dyDescent="0.2">
      <c r="B44" s="4" t="s">
        <v>55</v>
      </c>
      <c r="Q44" s="6">
        <v>3749</v>
      </c>
    </row>
    <row r="45" spans="2:17" x14ac:dyDescent="0.2">
      <c r="B45" s="4" t="s">
        <v>56</v>
      </c>
      <c r="Q45" s="6">
        <v>63405</v>
      </c>
    </row>
    <row r="46" spans="2:17" x14ac:dyDescent="0.2">
      <c r="B46" s="4" t="s">
        <v>57</v>
      </c>
      <c r="Q46" s="6">
        <v>14158</v>
      </c>
    </row>
    <row r="47" spans="2:17" x14ac:dyDescent="0.2">
      <c r="B47" s="4" t="s">
        <v>50</v>
      </c>
      <c r="Q47" s="6">
        <v>21510</v>
      </c>
    </row>
    <row r="48" spans="2:17" x14ac:dyDescent="0.2">
      <c r="B48" s="4" t="s">
        <v>58</v>
      </c>
      <c r="Q48" s="6">
        <v>29466</v>
      </c>
    </row>
    <row r="49" spans="2:17" x14ac:dyDescent="0.2">
      <c r="B49" s="4" t="s">
        <v>59</v>
      </c>
      <c r="Q49" s="6">
        <f>+SUM(Q40:Q48)</f>
        <v>365804</v>
      </c>
    </row>
    <row r="50" spans="2:17" x14ac:dyDescent="0.2">
      <c r="B50" s="4" t="s">
        <v>60</v>
      </c>
      <c r="Q50" s="6">
        <f>181303+Q49</f>
        <v>547107</v>
      </c>
    </row>
    <row r="52" spans="2:17" x14ac:dyDescent="0.2">
      <c r="B52" s="4" t="s">
        <v>61</v>
      </c>
      <c r="Q52" s="6">
        <v>5918</v>
      </c>
    </row>
    <row r="53" spans="2:17" x14ac:dyDescent="0.2">
      <c r="B53" s="4" t="s">
        <v>62</v>
      </c>
      <c r="Q53" s="6">
        <v>16089</v>
      </c>
    </row>
    <row r="54" spans="2:17" x14ac:dyDescent="0.2">
      <c r="B54" s="4" t="s">
        <v>33</v>
      </c>
      <c r="Q54" s="6">
        <v>17189</v>
      </c>
    </row>
    <row r="55" spans="2:17" x14ac:dyDescent="0.2">
      <c r="B55" s="4" t="s">
        <v>63</v>
      </c>
      <c r="Q55" s="6"/>
    </row>
    <row r="56" spans="2:17" x14ac:dyDescent="0.2">
      <c r="B56" s="4" t="s">
        <v>64</v>
      </c>
    </row>
  </sheetData>
  <hyperlinks>
    <hyperlink ref="A1" location="Main!A1" display="Main!A1" xr:uid="{6D693D52-853B-4873-8385-F4E603A4DE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2021-12-02T03:18:40Z</dcterms:created>
  <dcterms:modified xsi:type="dcterms:W3CDTF">2022-04-20T00:29:28Z</dcterms:modified>
</cp:coreProperties>
</file>