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l\"/>
    </mc:Choice>
  </mc:AlternateContent>
  <xr:revisionPtr revIDLastSave="0" documentId="13_ncr:1_{DC247CBB-9364-4975-B048-826B09DEA792}" xr6:coauthVersionLast="47" xr6:coauthVersionMax="47" xr10:uidLastSave="{00000000-0000-0000-0000-000000000000}"/>
  <bookViews>
    <workbookView xWindow="7035" yWindow="1890" windowWidth="18615" windowHeight="13905" activeTab="1" xr2:uid="{140DD18B-D23F-4859-AF39-A396698450A2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4" i="1" l="1"/>
  <c r="W51" i="1" s="1"/>
  <c r="W36" i="1"/>
  <c r="W42" i="1"/>
  <c r="W32" i="1"/>
  <c r="W31" i="1"/>
  <c r="W30" i="1"/>
  <c r="W29" i="1"/>
  <c r="W27" i="1"/>
  <c r="W10" i="1"/>
  <c r="W6" i="1"/>
  <c r="W25" i="1" s="1"/>
  <c r="V44" i="1"/>
  <c r="V36" i="1"/>
  <c r="V51" i="1"/>
  <c r="V32" i="1"/>
  <c r="V31" i="1"/>
  <c r="V30" i="1"/>
  <c r="V29" i="1"/>
  <c r="V27" i="1"/>
  <c r="V10" i="1"/>
  <c r="V6" i="1"/>
  <c r="V21" i="1" s="1"/>
  <c r="AF14" i="1"/>
  <c r="AD19" i="1"/>
  <c r="AD16" i="1"/>
  <c r="AD15" i="1"/>
  <c r="AD14" i="1"/>
  <c r="AD9" i="1"/>
  <c r="AD8" i="1"/>
  <c r="AD7" i="1"/>
  <c r="AD5" i="1"/>
  <c r="AD4" i="1"/>
  <c r="K27" i="1"/>
  <c r="N32" i="1"/>
  <c r="M32" i="1"/>
  <c r="L32" i="1"/>
  <c r="K32" i="1"/>
  <c r="N31" i="1"/>
  <c r="M31" i="1"/>
  <c r="L31" i="1"/>
  <c r="K31" i="1"/>
  <c r="N30" i="1"/>
  <c r="M30" i="1"/>
  <c r="L30" i="1"/>
  <c r="K30" i="1"/>
  <c r="N29" i="1"/>
  <c r="M29" i="1"/>
  <c r="L29" i="1"/>
  <c r="K29" i="1"/>
  <c r="N27" i="1"/>
  <c r="M27" i="1"/>
  <c r="L27" i="1"/>
  <c r="G12" i="1"/>
  <c r="G10" i="1"/>
  <c r="G6" i="1"/>
  <c r="H12" i="1"/>
  <c r="H10" i="1"/>
  <c r="H6" i="1"/>
  <c r="I12" i="1"/>
  <c r="I10" i="1"/>
  <c r="I6" i="1"/>
  <c r="O32" i="1"/>
  <c r="P32" i="1"/>
  <c r="Q32" i="1"/>
  <c r="R32" i="1"/>
  <c r="S32" i="1"/>
  <c r="T32" i="1"/>
  <c r="U32" i="1"/>
  <c r="U27" i="1"/>
  <c r="U30" i="1"/>
  <c r="J12" i="1"/>
  <c r="J10" i="1"/>
  <c r="J6" i="1"/>
  <c r="R31" i="1"/>
  <c r="AF19" i="1"/>
  <c r="AF16" i="1"/>
  <c r="AF15" i="1"/>
  <c r="AF9" i="1"/>
  <c r="AF8" i="1"/>
  <c r="AF7" i="1"/>
  <c r="AF5" i="1"/>
  <c r="AF4" i="1"/>
  <c r="AE19" i="1"/>
  <c r="AE16" i="1"/>
  <c r="AE15" i="1"/>
  <c r="AE14" i="1"/>
  <c r="AE9" i="1"/>
  <c r="AE8" i="1"/>
  <c r="AE7" i="1"/>
  <c r="AE5" i="1"/>
  <c r="AE4" i="1"/>
  <c r="D6" i="2"/>
  <c r="D5" i="2"/>
  <c r="D4" i="2"/>
  <c r="D3" i="2"/>
  <c r="T31" i="1"/>
  <c r="S31" i="1"/>
  <c r="Q31" i="1"/>
  <c r="P31" i="1"/>
  <c r="O31" i="1"/>
  <c r="U31" i="1"/>
  <c r="T30" i="1"/>
  <c r="S30" i="1"/>
  <c r="R30" i="1"/>
  <c r="Q30" i="1"/>
  <c r="P30" i="1"/>
  <c r="O30" i="1"/>
  <c r="O29" i="1"/>
  <c r="O27" i="1"/>
  <c r="K12" i="1"/>
  <c r="K10" i="1"/>
  <c r="K6" i="1"/>
  <c r="K25" i="1" s="1"/>
  <c r="AD6" i="1" l="1"/>
  <c r="W35" i="1"/>
  <c r="H11" i="1"/>
  <c r="H13" i="1"/>
  <c r="H17" i="1" s="1"/>
  <c r="H18" i="1" s="1"/>
  <c r="AF30" i="1"/>
  <c r="AD10" i="1"/>
  <c r="AE27" i="1"/>
  <c r="AE32" i="1"/>
  <c r="AE29" i="1"/>
  <c r="AD12" i="1"/>
  <c r="AF29" i="1"/>
  <c r="AE31" i="1"/>
  <c r="W52" i="1"/>
  <c r="W53" i="1" s="1"/>
  <c r="W21" i="1"/>
  <c r="W11" i="1"/>
  <c r="AF27" i="1"/>
  <c r="AF32" i="1"/>
  <c r="AE30" i="1"/>
  <c r="AF31" i="1"/>
  <c r="V25" i="1"/>
  <c r="V35" i="1"/>
  <c r="V42" i="1"/>
  <c r="V52" i="1" s="1"/>
  <c r="V53" i="1" s="1"/>
  <c r="K21" i="1"/>
  <c r="V11" i="1"/>
  <c r="G11" i="1"/>
  <c r="I11" i="1"/>
  <c r="I13" i="1" s="1"/>
  <c r="I17" i="1" s="1"/>
  <c r="I18" i="1" s="1"/>
  <c r="J11" i="1"/>
  <c r="J13" i="1" s="1"/>
  <c r="J17" i="1" s="1"/>
  <c r="J18" i="1" s="1"/>
  <c r="K11" i="1"/>
  <c r="W22" i="1" l="1"/>
  <c r="W13" i="1"/>
  <c r="K13" i="1"/>
  <c r="K22" i="1"/>
  <c r="G13" i="1"/>
  <c r="AD11" i="1"/>
  <c r="V13" i="1"/>
  <c r="V22" i="1"/>
  <c r="R27" i="1"/>
  <c r="Q27" i="1"/>
  <c r="R29" i="1"/>
  <c r="Q29" i="1"/>
  <c r="P29" i="1"/>
  <c r="P27" i="1"/>
  <c r="L12" i="1"/>
  <c r="L10" i="1"/>
  <c r="L6" i="1"/>
  <c r="L21" i="1" s="1"/>
  <c r="M12" i="1"/>
  <c r="M10" i="1"/>
  <c r="M6" i="1"/>
  <c r="N12" i="1"/>
  <c r="N10" i="1"/>
  <c r="N6" i="1"/>
  <c r="N25" i="1" s="1"/>
  <c r="T29" i="1"/>
  <c r="S29" i="1"/>
  <c r="U29" i="1"/>
  <c r="T27" i="1"/>
  <c r="S27" i="1"/>
  <c r="O12" i="1"/>
  <c r="O10" i="1"/>
  <c r="O6" i="1"/>
  <c r="O25" i="1" s="1"/>
  <c r="P12" i="1"/>
  <c r="P10" i="1"/>
  <c r="P6" i="1"/>
  <c r="Q12" i="1"/>
  <c r="Q10" i="1"/>
  <c r="Q6" i="1"/>
  <c r="Q25" i="1" s="1"/>
  <c r="W17" i="1" l="1"/>
  <c r="W23" i="1"/>
  <c r="AE12" i="1"/>
  <c r="N21" i="1"/>
  <c r="P25" i="1"/>
  <c r="M11" i="1"/>
  <c r="M25" i="1"/>
  <c r="M21" i="1"/>
  <c r="G17" i="1"/>
  <c r="AD13" i="1"/>
  <c r="V17" i="1"/>
  <c r="V23" i="1"/>
  <c r="K17" i="1"/>
  <c r="K23" i="1"/>
  <c r="O21" i="1"/>
  <c r="L25" i="1"/>
  <c r="AE6" i="1"/>
  <c r="Q21" i="1"/>
  <c r="AE10" i="1"/>
  <c r="L11" i="1"/>
  <c r="N11" i="1"/>
  <c r="O11" i="1"/>
  <c r="P11" i="1"/>
  <c r="P21" i="1"/>
  <c r="Q11" i="1"/>
  <c r="W18" i="1" l="1"/>
  <c r="M13" i="1"/>
  <c r="M22" i="1"/>
  <c r="P13" i="1"/>
  <c r="P22" i="1"/>
  <c r="G18" i="1"/>
  <c r="AD18" i="1" s="1"/>
  <c r="AD17" i="1"/>
  <c r="O13" i="1"/>
  <c r="O22" i="1"/>
  <c r="K18" i="1"/>
  <c r="K28" i="1"/>
  <c r="Q13" i="1"/>
  <c r="Q22" i="1"/>
  <c r="AE21" i="1"/>
  <c r="AE25" i="1"/>
  <c r="V18" i="1"/>
  <c r="N13" i="1"/>
  <c r="N22" i="1"/>
  <c r="L13" i="1"/>
  <c r="L22" i="1"/>
  <c r="AE11" i="1"/>
  <c r="AE22" i="1" s="1"/>
  <c r="P17" i="1" l="1"/>
  <c r="P23" i="1"/>
  <c r="N17" i="1"/>
  <c r="N23" i="1"/>
  <c r="L17" i="1"/>
  <c r="L23" i="1"/>
  <c r="AE13" i="1"/>
  <c r="AE23" i="1" s="1"/>
  <c r="O17" i="1"/>
  <c r="O23" i="1"/>
  <c r="M23" i="1"/>
  <c r="M17" i="1"/>
  <c r="M18" i="1" s="1"/>
  <c r="Q17" i="1"/>
  <c r="Q23" i="1"/>
  <c r="R12" i="1"/>
  <c r="R10" i="1"/>
  <c r="AF10" i="1" s="1"/>
  <c r="R6" i="1"/>
  <c r="R49" i="1"/>
  <c r="R51" i="1" s="1"/>
  <c r="R53" i="1" s="1"/>
  <c r="R36" i="1"/>
  <c r="R35" i="1" s="1"/>
  <c r="S12" i="1"/>
  <c r="S10" i="1"/>
  <c r="S6" i="1"/>
  <c r="S25" i="1" s="1"/>
  <c r="S51" i="1"/>
  <c r="S53" i="1" s="1"/>
  <c r="S36" i="1"/>
  <c r="S35" i="1" s="1"/>
  <c r="U10" i="1"/>
  <c r="T10" i="1"/>
  <c r="T12" i="1"/>
  <c r="T36" i="1"/>
  <c r="T51" i="1"/>
  <c r="T53" i="1" s="1"/>
  <c r="U51" i="1"/>
  <c r="U53" i="1" s="1"/>
  <c r="U36" i="1"/>
  <c r="U35" i="1" s="1"/>
  <c r="T6" i="1"/>
  <c r="T25" i="1" s="1"/>
  <c r="U12" i="1"/>
  <c r="M9" i="2"/>
  <c r="M10" i="2" s="1"/>
  <c r="M6" i="2"/>
  <c r="U6" i="1"/>
  <c r="AD2" i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S21" i="1" l="1"/>
  <c r="T21" i="1"/>
  <c r="R25" i="1"/>
  <c r="AF6" i="1"/>
  <c r="R21" i="1"/>
  <c r="P28" i="1"/>
  <c r="AF12" i="1"/>
  <c r="L18" i="1"/>
  <c r="L28" i="1"/>
  <c r="AE17" i="1"/>
  <c r="P18" i="1"/>
  <c r="N18" i="1"/>
  <c r="N28" i="1"/>
  <c r="T42" i="1"/>
  <c r="T52" i="1" s="1"/>
  <c r="T35" i="1"/>
  <c r="R42" i="1"/>
  <c r="R52" i="1" s="1"/>
  <c r="U42" i="1"/>
  <c r="U52" i="1" s="1"/>
  <c r="Q18" i="1"/>
  <c r="Q28" i="1"/>
  <c r="O18" i="1"/>
  <c r="O28" i="1"/>
  <c r="U21" i="1"/>
  <c r="U25" i="1"/>
  <c r="S42" i="1"/>
  <c r="S52" i="1" s="1"/>
  <c r="R11" i="1"/>
  <c r="M28" i="1"/>
  <c r="S11" i="1"/>
  <c r="T11" i="1"/>
  <c r="U11" i="1"/>
  <c r="AE18" i="1" l="1"/>
  <c r="S22" i="1"/>
  <c r="S13" i="1"/>
  <c r="AF21" i="1"/>
  <c r="AF25" i="1"/>
  <c r="R22" i="1"/>
  <c r="AF11" i="1"/>
  <c r="AF22" i="1" s="1"/>
  <c r="R13" i="1"/>
  <c r="U13" i="1"/>
  <c r="U23" i="1" s="1"/>
  <c r="U22" i="1"/>
  <c r="T22" i="1"/>
  <c r="T13" i="1"/>
  <c r="T23" i="1" s="1"/>
  <c r="AE28" i="1"/>
  <c r="R23" i="1" l="1"/>
  <c r="AF13" i="1"/>
  <c r="AF23" i="1" s="1"/>
  <c r="R17" i="1"/>
  <c r="T17" i="1"/>
  <c r="S17" i="1"/>
  <c r="W28" i="1" s="1"/>
  <c r="S23" i="1"/>
  <c r="U17" i="1"/>
  <c r="S28" i="1" l="1"/>
  <c r="S18" i="1"/>
  <c r="R28" i="1"/>
  <c r="V28" i="1"/>
  <c r="R18" i="1"/>
  <c r="AF18" i="1" s="1"/>
  <c r="AF17" i="1"/>
  <c r="U28" i="1"/>
  <c r="U18" i="1"/>
  <c r="T28" i="1"/>
  <c r="T18" i="1"/>
  <c r="AF28" i="1" l="1"/>
  <c r="AU17" i="1" l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BJ17" i="1" s="1"/>
  <c r="BK17" i="1" s="1"/>
  <c r="BL17" i="1" s="1"/>
  <c r="BM17" i="1" s="1"/>
  <c r="BN17" i="1" s="1"/>
  <c r="BO17" i="1" s="1"/>
  <c r="BP17" i="1" s="1"/>
  <c r="BQ17" i="1" s="1"/>
  <c r="BR17" i="1" s="1"/>
  <c r="BS17" i="1" s="1"/>
  <c r="BT17" i="1" s="1"/>
  <c r="BU17" i="1" s="1"/>
  <c r="BV17" i="1" s="1"/>
  <c r="BW17" i="1" s="1"/>
  <c r="BX17" i="1" s="1"/>
  <c r="BY17" i="1" s="1"/>
  <c r="BZ17" i="1" s="1"/>
  <c r="CA17" i="1" s="1"/>
  <c r="CB17" i="1" s="1"/>
  <c r="CC17" i="1" s="1"/>
  <c r="CD17" i="1" s="1"/>
</calcChain>
</file>

<file path=xl/sharedStrings.xml><?xml version="1.0" encoding="utf-8"?>
<sst xmlns="http://schemas.openxmlformats.org/spreadsheetml/2006/main" count="136" uniqueCount="128">
  <si>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</si>
  <si>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</si>
  <si>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</si>
  <si>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</si>
  <si>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</si>
  <si>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</si>
  <si>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</si>
  <si>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</si>
  <si>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</si>
  <si>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</si>
  <si>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</si>
  <si>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</si>
  <si>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</si>
  <si>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</si>
  <si>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</si>
  <si>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</si>
  <si>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</si>
  <si>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</si>
  <si>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</si>
  <si>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</si>
  <si>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Revenue</t>
  </si>
  <si>
    <t>COGS</t>
  </si>
  <si>
    <t>Gross Profit</t>
  </si>
  <si>
    <t>R&amp;D</t>
  </si>
  <si>
    <t>sG&amp;A</t>
  </si>
  <si>
    <t>Operating Income</t>
  </si>
  <si>
    <t>Operation Expenses</t>
  </si>
  <si>
    <t>Interest Income</t>
  </si>
  <si>
    <t>Pretax Income</t>
  </si>
  <si>
    <t>Net Income</t>
  </si>
  <si>
    <t>TSM</t>
  </si>
  <si>
    <t>Price</t>
  </si>
  <si>
    <t>S/O</t>
  </si>
  <si>
    <t>MC</t>
  </si>
  <si>
    <t>Cash</t>
  </si>
  <si>
    <t>Debt</t>
  </si>
  <si>
    <t>Net Cash</t>
  </si>
  <si>
    <t>EV</t>
  </si>
  <si>
    <t>Other Expenses</t>
  </si>
  <si>
    <t>Shares</t>
  </si>
  <si>
    <t>EPS</t>
  </si>
  <si>
    <t>Taxes</t>
  </si>
  <si>
    <t>Noncontrolling Interest</t>
  </si>
  <si>
    <t>Comprehensive Loss</t>
  </si>
  <si>
    <t>A/R</t>
  </si>
  <si>
    <t>Inventory</t>
  </si>
  <si>
    <t>OA</t>
  </si>
  <si>
    <t>PP&amp;E</t>
  </si>
  <si>
    <t>Intangibles</t>
  </si>
  <si>
    <t>Total Assets</t>
  </si>
  <si>
    <t>A/P</t>
  </si>
  <si>
    <t>Contractor Payable</t>
  </si>
  <si>
    <t>Dividend</t>
  </si>
  <si>
    <t>Accured Expense</t>
  </si>
  <si>
    <t>Bond payable</t>
  </si>
  <si>
    <t>OL</t>
  </si>
  <si>
    <t>Total Liabilities</t>
  </si>
  <si>
    <t>L + S/E</t>
  </si>
  <si>
    <t>Gross Margin %</t>
  </si>
  <si>
    <t>Tax Rate %</t>
  </si>
  <si>
    <t>Name</t>
  </si>
  <si>
    <t>Description</t>
  </si>
  <si>
    <t>% of revenue</t>
  </si>
  <si>
    <t>Notes</t>
  </si>
  <si>
    <t>12.4 million wafers 2020 exported, 10.1 million 2019</t>
  </si>
  <si>
    <t>Predicting 4N chip in 2022</t>
  </si>
  <si>
    <t>Moore's Law</t>
  </si>
  <si>
    <t>Macroeconomic scare?</t>
  </si>
  <si>
    <t>24% of 2020 semiconductor supply</t>
  </si>
  <si>
    <t>3DFabric technology, helps silicon stacking</t>
  </si>
  <si>
    <t>Smartphones fell 9% in 2020 and 2% in 2019, possible rebound 2021?</t>
  </si>
  <si>
    <t>Computing power up 11%</t>
  </si>
  <si>
    <t>Business founded in 1897</t>
  </si>
  <si>
    <t>Smartphones</t>
  </si>
  <si>
    <t>High Performance Computing</t>
  </si>
  <si>
    <t>IoT</t>
  </si>
  <si>
    <t>Automotive Eletronics</t>
  </si>
  <si>
    <t>Digital Consumer Eletronics</t>
  </si>
  <si>
    <t>Duh..?</t>
  </si>
  <si>
    <t>GPUs, CPUs, Computers in general; Consoles?</t>
  </si>
  <si>
    <t>Artifical Intelligence</t>
  </si>
  <si>
    <t>Vehicle Computers</t>
  </si>
  <si>
    <t>Smart TVs, entertainment systems</t>
  </si>
  <si>
    <t>Operating Margin %</t>
  </si>
  <si>
    <t>Revenue Y/Y</t>
  </si>
  <si>
    <t>Income Y/Y</t>
  </si>
  <si>
    <t>EPS Y/Y</t>
  </si>
  <si>
    <t>R&amp;D Y/Y</t>
  </si>
  <si>
    <t>sG&amp;A Y/Y</t>
  </si>
  <si>
    <t>VisEra Tech, Sensors..</t>
  </si>
  <si>
    <t>Domestic Wafer Production</t>
  </si>
  <si>
    <t>Export Wafer Production</t>
  </si>
  <si>
    <t>Export; Others</t>
  </si>
  <si>
    <t>Chips n' Shit</t>
  </si>
  <si>
    <t>Domenstic; Other</t>
  </si>
  <si>
    <t>Domestic Revenue</t>
  </si>
  <si>
    <t>Expoort Revenue</t>
  </si>
  <si>
    <t>R&amp;D Margin %</t>
  </si>
  <si>
    <t>Future Plan</t>
  </si>
  <si>
    <t>3nm Logic Tech</t>
  </si>
  <si>
    <t>&lt; 3nm Logic Tech</t>
  </si>
  <si>
    <t>3DIC</t>
  </si>
  <si>
    <t>Smaller Chips</t>
  </si>
  <si>
    <t>Even Smaller Chips</t>
  </si>
  <si>
    <t>Possible deadline</t>
  </si>
  <si>
    <t>3D Chips, stacked Chiped. Less Materials?</t>
  </si>
  <si>
    <t>Non-generation lithography</t>
  </si>
  <si>
    <t>More advanced prints</t>
  </si>
  <si>
    <t>Long-term Research</t>
  </si>
  <si>
    <t>Raw Wafers</t>
  </si>
  <si>
    <t>Chemicals</t>
  </si>
  <si>
    <t>Lithographic Materials</t>
  </si>
  <si>
    <t>Gases</t>
  </si>
  <si>
    <t>Slurry, Pad, Disk</t>
  </si>
  <si>
    <t>FST, GlobalWafer, SEH, Siltronic, SUMCO</t>
  </si>
  <si>
    <t>3M, Fujifilm Electronic Materials, JSR, Nissan, Shin-Etsu Chemical, Sumitomo Chemical, TOK</t>
  </si>
  <si>
    <t>Air Liquide, Air Products, Central Glass, Entegris, Linde LienHwa, Praxair, Sk Materials, Taiwan Material Tech, Versum</t>
  </si>
  <si>
    <t xml:space="preserve">3M, AGC, Cabot Microeletronics,  DuPont, Fujibo, Fujifilm Eletronic Materails, Fujifilm </t>
  </si>
  <si>
    <t>Suppliers</t>
  </si>
  <si>
    <t>Business Acquistion</t>
  </si>
  <si>
    <t>Air Liquide, BASF, DuPont, Entegris, Fujinfilm Electronic Materials, Kanto PPC, Kuang Ming, Merck, RASA, Shiny, Tokuyama, Versum, Wah Lee</t>
  </si>
  <si>
    <t>COGS Y/Y</t>
  </si>
  <si>
    <t>S/E</t>
  </si>
  <si>
    <t>Q122</t>
  </si>
  <si>
    <r>
      <rPr>
        <b/>
        <sz val="11"/>
        <color theme="1"/>
        <rFont val="Arial"/>
        <family val="2"/>
      </rPr>
      <t xml:space="preserve">Possible </t>
    </r>
    <r>
      <rPr>
        <sz val="11"/>
        <color theme="1"/>
        <rFont val="Arial"/>
        <family val="2"/>
      </rPr>
      <t xml:space="preserve">30% increase in 2021 </t>
    </r>
  </si>
  <si>
    <t>Q222</t>
  </si>
  <si>
    <t>Q322</t>
  </si>
  <si>
    <t>Q422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</si>
</sst>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3" fontId="2" fillId="0" borderId="0" xfId="0" quotePrefix="1" applyNumberFormat="1" applyFont="1"/>
    <xf numFmtId="2" fontId="2" fillId="0" borderId="0" xfId="0" applyNumberFormat="1" applyFont="1"/>
    <xf numFmtId="4" fontId="2" fillId="0" borderId="0" xfId="0" applyNumberFormat="1" applyFont="1"/>
    <xf numFmtId="9" fontId="2" fillId="0" borderId="0" xfId="0" applyNumberFormat="1" applyFont="1"/>
    <xf numFmtId="10" fontId="2" fillId="0" borderId="0" xfId="0" applyNumberFormat="1" applyFont="1"/>
    <xf numFmtId="0" fontId="2" fillId="0" borderId="0" xfId="0" applyFont="1" applyAlignment="1">
      <alignment horizontal="right"/>
    </xf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9525</xdr:colOff>
      <xdr:row>0</xdr:row>
      <xdr:rowOff>57150</xdr:rowOff>
    </xdr:from>
    <xdr:to>
      <xdr:col>32</xdr:col>
      <xdr:colOff>9525</xdr:colOff>
      <xdr:row>41</xdr:row>
      <xdr:rowOff>171450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8E9F2EE-7BA8-4876-B443-4AE20E56A5C6}"/>
            </a:ext>
          </a:extLst>
        </xdr:cNvPr>
        <xdr:cNvCxnSpPr/>
      </xdr:nvCxnSpPr>
      <xdr:spPr>
        <a:xfrm>
          <a:off x="17125950" y="57150"/>
          <a:ext cx="0" cy="8496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0</xdr:row>
      <xdr:rowOff>0</xdr:rowOff>
    </xdr:from>
    <xdr:to>
      <xdr:col>23</xdr:col>
      <xdr:colOff>57150</xdr:colOff>
      <xdr:row>53</xdr:row>
      <xdr:rowOff>133350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CF1C209-CB71-4C89-91C9-B19D98FDE422}"/>
            </a:ext>
          </a:extLst>
        </xdr:cNvPr>
        <xdr:cNvCxnSpPr/>
      </xdr:nvCxnSpPr>
      <xdr:spPr>
        <a:xfrm>
          <a:off x="15087600" y="0"/>
          <a:ext cx="0" cy="9763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08BD1-4735-4F27-BF90-8FEA5F189062}">
  <dimension ref="B2:N52"/>
  <sheetViews>
    <sheetView topLeftCell="E1" workbookViewId="0">
      <selection activeCell="J16" sqref="J16"/>
    </sheetView>
  </sheetViews>
  <sheetFormatPr defaultRowHeight="14.25" x14ac:dyDescent="0.2"/>
  <cols>
    <col min="1" max="1" width="9.140625" style="1"/>
    <col min="2" max="2" width="27.28515625" style="1" customWidth="1"/>
    <col min="3" max="3" width="42.140625" style="1" bestFit="1" customWidth="1"/>
    <col min="4" max="12" width="9.140625" style="1"/>
    <col min="13" max="13" width="9.140625" style="2"/>
    <col min="14" max="16384" width="9.140625" style="1"/>
  </cols>
  <sheetData>
    <row r="2" spans="2:14" x14ac:dyDescent="0.2">
      <c r="B2" s="1" t="s">
        <v>60</v>
      </c>
      <c r="C2" s="1" t="s">
        <v>61</v>
      </c>
      <c r="D2" s="1" t="s">
        <v>62</v>
      </c>
      <c r="E2" s="1" t="s">
        <v>63</v>
      </c>
    </row>
    <row r="3" spans="2:14" x14ac:dyDescent="0.2">
      <c r="B3" s="1" t="s">
        <v>90</v>
      </c>
      <c r="C3" s="1" t="s">
        <v>93</v>
      </c>
      <c r="D3" s="7">
        <f>113/D8%</f>
        <v>89.682539682539684</v>
      </c>
      <c r="L3" s="1" t="s">
        <v>30</v>
      </c>
    </row>
    <row r="4" spans="2:14" x14ac:dyDescent="0.2">
      <c r="B4" s="1" t="s">
        <v>94</v>
      </c>
      <c r="D4" s="8">
        <f>12/D8</f>
        <v>9.5238095238095233E-2</v>
      </c>
      <c r="L4" s="1" t="s">
        <v>31</v>
      </c>
      <c r="M4" s="2">
        <v>119.33</v>
      </c>
    </row>
    <row r="5" spans="2:14" x14ac:dyDescent="0.2">
      <c r="B5" s="1" t="s">
        <v>91</v>
      </c>
      <c r="C5" s="1" t="s">
        <v>93</v>
      </c>
      <c r="D5" s="8">
        <f>1064/D9</f>
        <v>0.87788778877887785</v>
      </c>
      <c r="L5" s="1" t="s">
        <v>32</v>
      </c>
      <c r="M5" s="2">
        <v>5186</v>
      </c>
      <c r="N5" s="10" t="s">
        <v>18</v>
      </c>
    </row>
    <row r="6" spans="2:14" x14ac:dyDescent="0.2">
      <c r="B6" s="1" t="s">
        <v>92</v>
      </c>
      <c r="D6" s="8">
        <f>148/D9</f>
        <v>0.12211221122112212</v>
      </c>
      <c r="L6" s="1" t="s">
        <v>33</v>
      </c>
      <c r="M6" s="2">
        <f>+M4*M5</f>
        <v>618845.38</v>
      </c>
      <c r="N6" s="10"/>
    </row>
    <row r="7" spans="2:14" x14ac:dyDescent="0.2">
      <c r="L7" s="1" t="s">
        <v>34</v>
      </c>
      <c r="M7" s="2">
        <v>36016</v>
      </c>
      <c r="N7" s="10" t="s">
        <v>18</v>
      </c>
    </row>
    <row r="8" spans="2:14" x14ac:dyDescent="0.2">
      <c r="B8" s="1" t="s">
        <v>95</v>
      </c>
      <c r="D8" s="2">
        <v>126</v>
      </c>
      <c r="L8" s="1" t="s">
        <v>35</v>
      </c>
      <c r="M8" s="2">
        <v>4265</v>
      </c>
      <c r="N8" s="10" t="s">
        <v>18</v>
      </c>
    </row>
    <row r="9" spans="2:14" x14ac:dyDescent="0.2">
      <c r="B9" s="1" t="s">
        <v>96</v>
      </c>
      <c r="D9" s="2">
        <v>1212</v>
      </c>
      <c r="L9" s="1" t="s">
        <v>36</v>
      </c>
      <c r="M9" s="2">
        <f>+M7-M8</f>
        <v>31751</v>
      </c>
    </row>
    <row r="10" spans="2:14" x14ac:dyDescent="0.2">
      <c r="L10" s="1" t="s">
        <v>37</v>
      </c>
      <c r="M10" s="2">
        <f>+M6-M9</f>
        <v>587094.38</v>
      </c>
    </row>
    <row r="16" spans="2:14" x14ac:dyDescent="0.2">
      <c r="B16" s="1" t="s">
        <v>64</v>
      </c>
    </row>
    <row r="17" spans="2:3" x14ac:dyDescent="0.2">
      <c r="B17" s="1" t="s">
        <v>65</v>
      </c>
      <c r="C17" s="1" t="s">
        <v>66</v>
      </c>
    </row>
    <row r="18" spans="2:3" x14ac:dyDescent="0.2">
      <c r="B18" s="1" t="s">
        <v>67</v>
      </c>
    </row>
    <row r="19" spans="2:3" x14ac:dyDescent="0.2">
      <c r="B19" s="1" t="s">
        <v>68</v>
      </c>
    </row>
    <row r="20" spans="2:3" x14ac:dyDescent="0.2">
      <c r="B20" s="1" t="s">
        <v>69</v>
      </c>
    </row>
    <row r="21" spans="2:3" x14ac:dyDescent="0.2">
      <c r="B21" s="1" t="s">
        <v>70</v>
      </c>
    </row>
    <row r="22" spans="2:3" x14ac:dyDescent="0.2">
      <c r="B22" s="1" t="s">
        <v>71</v>
      </c>
    </row>
    <row r="23" spans="2:3" ht="15" x14ac:dyDescent="0.25">
      <c r="B23" s="1" t="s">
        <v>124</v>
      </c>
    </row>
    <row r="24" spans="2:3" x14ac:dyDescent="0.2">
      <c r="B24" s="1" t="s">
        <v>72</v>
      </c>
    </row>
    <row r="25" spans="2:3" x14ac:dyDescent="0.2">
      <c r="B25" s="1" t="s">
        <v>89</v>
      </c>
    </row>
    <row r="29" spans="2:3" ht="15" x14ac:dyDescent="0.25">
      <c r="B29" s="11" t="s">
        <v>119</v>
      </c>
    </row>
    <row r="30" spans="2:3" x14ac:dyDescent="0.2">
      <c r="B30" s="1" t="s">
        <v>73</v>
      </c>
      <c r="C30" s="1" t="s">
        <v>78</v>
      </c>
    </row>
    <row r="31" spans="2:3" x14ac:dyDescent="0.2">
      <c r="B31" s="1" t="s">
        <v>74</v>
      </c>
      <c r="C31" s="1" t="s">
        <v>79</v>
      </c>
    </row>
    <row r="32" spans="2:3" x14ac:dyDescent="0.2">
      <c r="B32" s="1" t="s">
        <v>75</v>
      </c>
      <c r="C32" s="1" t="s">
        <v>80</v>
      </c>
    </row>
    <row r="33" spans="2:4" x14ac:dyDescent="0.2">
      <c r="B33" s="1" t="s">
        <v>76</v>
      </c>
      <c r="C33" s="1" t="s">
        <v>81</v>
      </c>
    </row>
    <row r="34" spans="2:4" x14ac:dyDescent="0.2">
      <c r="B34" s="1" t="s">
        <v>77</v>
      </c>
      <c r="C34" s="1" t="s">
        <v>82</v>
      </c>
    </row>
    <row r="39" spans="2:4" ht="15" x14ac:dyDescent="0.25">
      <c r="B39" s="11" t="s">
        <v>98</v>
      </c>
      <c r="C39" s="1" t="s">
        <v>61</v>
      </c>
      <c r="D39" s="1" t="s">
        <v>104</v>
      </c>
    </row>
    <row r="40" spans="2:4" x14ac:dyDescent="0.2">
      <c r="B40" s="1" t="s">
        <v>99</v>
      </c>
      <c r="C40" s="1" t="s">
        <v>102</v>
      </c>
      <c r="D40" s="1">
        <v>2021</v>
      </c>
    </row>
    <row r="41" spans="2:4" x14ac:dyDescent="0.2">
      <c r="B41" s="1" t="s">
        <v>100</v>
      </c>
      <c r="C41" s="1" t="s">
        <v>103</v>
      </c>
      <c r="D41" s="1">
        <v>2023</v>
      </c>
    </row>
    <row r="42" spans="2:4" x14ac:dyDescent="0.2">
      <c r="B42" s="1" t="s">
        <v>101</v>
      </c>
      <c r="C42" s="1" t="s">
        <v>105</v>
      </c>
    </row>
    <row r="43" spans="2:4" x14ac:dyDescent="0.2">
      <c r="B43" s="1" t="s">
        <v>106</v>
      </c>
      <c r="C43" s="1" t="s">
        <v>107</v>
      </c>
    </row>
    <row r="44" spans="2:4" x14ac:dyDescent="0.2">
      <c r="B44" s="1" t="s">
        <v>108</v>
      </c>
    </row>
    <row r="47" spans="2:4" ht="15" x14ac:dyDescent="0.25">
      <c r="B47" s="11" t="s">
        <v>118</v>
      </c>
    </row>
    <row r="48" spans="2:4" x14ac:dyDescent="0.2">
      <c r="B48" s="1" t="s">
        <v>109</v>
      </c>
      <c r="C48" s="1" t="s">
        <v>114</v>
      </c>
    </row>
    <row r="49" spans="2:3" x14ac:dyDescent="0.2">
      <c r="B49" s="1" t="s">
        <v>110</v>
      </c>
      <c r="C49" s="1" t="s">
        <v>120</v>
      </c>
    </row>
    <row r="50" spans="2:3" x14ac:dyDescent="0.2">
      <c r="B50" s="1" t="s">
        <v>111</v>
      </c>
      <c r="C50" s="1" t="s">
        <v>115</v>
      </c>
    </row>
    <row r="51" spans="2:3" x14ac:dyDescent="0.2">
      <c r="B51" s="1" t="s">
        <v>112</v>
      </c>
      <c r="C51" s="1" t="s">
        <v>116</v>
      </c>
    </row>
    <row r="52" spans="2:3" x14ac:dyDescent="0.2">
      <c r="B52" s="1" t="s">
        <v>113</v>
      </c>
      <c r="C52" s="1" t="s">
        <v>117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1C6E-3E8A-4E24-BE18-8E0EC0A5D27A}">
  <dimension ref="B2:CD53"/>
  <sheetViews>
    <sheetView tabSelected="1" zoomScaleNormal="100" workbookViewId="0">
      <pane xSplit="2" ySplit="2" topLeftCell="Q3" activePane="bottomRight" state="frozen"/>
      <selection pane="topRight" activeCell="C1" sqref="C1"/>
      <selection pane="bottomLeft" activeCell="A3" sqref="A3"/>
      <selection pane="bottomRight" activeCell="U5" sqref="U5"/>
    </sheetView>
  </sheetViews>
  <sheetFormatPr defaultRowHeight="14.25" x14ac:dyDescent="0.2"/>
  <cols>
    <col min="1" max="1" width="9.140625" style="1"/>
    <col min="2" max="2" width="22.140625" style="1" bestFit="1" customWidth="1"/>
    <col min="3" max="6" width="9.140625" style="1"/>
    <col min="7" max="17" width="9.28515625" style="1" bestFit="1" customWidth="1"/>
    <col min="18" max="18" width="9.28515625" style="2" bestFit="1" customWidth="1"/>
    <col min="19" max="20" width="9.28515625" style="1" bestFit="1" customWidth="1"/>
    <col min="21" max="21" width="9.28515625" style="2" bestFit="1" customWidth="1"/>
    <col min="22" max="28" width="9.140625" style="1"/>
    <col min="29" max="33" width="9.28515625" style="1" bestFit="1" customWidth="1"/>
    <col min="34" max="34" width="13.7109375" style="1" bestFit="1" customWidth="1"/>
    <col min="35" max="43" width="9.28515625" style="1" bestFit="1" customWidth="1"/>
    <col min="44" max="44" width="10.140625" style="1" bestFit="1" customWidth="1"/>
    <col min="45" max="82" width="9.28515625" style="1" bestFit="1" customWidth="1"/>
    <col min="83" max="16384" width="9.140625" style="1"/>
  </cols>
  <sheetData>
    <row r="2" spans="2:82" x14ac:dyDescent="0.2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2" t="s">
        <v>15</v>
      </c>
      <c r="S2" s="1" t="s">
        <v>16</v>
      </c>
      <c r="T2" s="1" t="s">
        <v>17</v>
      </c>
      <c r="U2" s="2" t="s">
        <v>18</v>
      </c>
      <c r="V2" s="1" t="s">
        <v>19</v>
      </c>
      <c r="W2" s="1" t="s">
        <v>123</v>
      </c>
      <c r="X2" s="12" t="s">
        <v>125</v>
      </c>
      <c r="Y2" s="12" t="s">
        <v>126</v>
      </c>
      <c r="Z2" s="12" t="s">
        <v>127</v>
      </c>
      <c r="AC2" s="1">
        <v>2017</v>
      </c>
      <c r="AD2" s="1">
        <f>+AC2+1</f>
        <v>2018</v>
      </c>
      <c r="AE2" s="1">
        <f t="shared" ref="AE2:AN2" si="0">+AD2+1</f>
        <v>2019</v>
      </c>
      <c r="AF2" s="1">
        <f t="shared" si="0"/>
        <v>2020</v>
      </c>
      <c r="AG2" s="1">
        <f t="shared" si="0"/>
        <v>2021</v>
      </c>
      <c r="AH2" s="1">
        <f t="shared" si="0"/>
        <v>2022</v>
      </c>
      <c r="AI2" s="1">
        <f t="shared" si="0"/>
        <v>2023</v>
      </c>
      <c r="AJ2" s="1">
        <f t="shared" si="0"/>
        <v>2024</v>
      </c>
      <c r="AK2" s="1">
        <f t="shared" si="0"/>
        <v>2025</v>
      </c>
      <c r="AL2" s="1">
        <f t="shared" si="0"/>
        <v>2026</v>
      </c>
      <c r="AM2" s="1">
        <f t="shared" si="0"/>
        <v>2027</v>
      </c>
      <c r="AN2" s="1">
        <f t="shared" si="0"/>
        <v>2028</v>
      </c>
      <c r="AO2" s="1">
        <f t="shared" ref="AO2" si="1">+AN2+1</f>
        <v>2029</v>
      </c>
      <c r="AP2" s="1">
        <f t="shared" ref="AP2" si="2">+AO2+1</f>
        <v>2030</v>
      </c>
      <c r="AQ2" s="1">
        <f t="shared" ref="AQ2" si="3">+AP2+1</f>
        <v>2031</v>
      </c>
      <c r="AR2" s="1">
        <f t="shared" ref="AR2" si="4">+AQ2+1</f>
        <v>2032</v>
      </c>
      <c r="AS2" s="1">
        <f t="shared" ref="AS2" si="5">+AR2+1</f>
        <v>2033</v>
      </c>
      <c r="AT2" s="1">
        <f t="shared" ref="AT2" si="6">+AS2+1</f>
        <v>2034</v>
      </c>
      <c r="AU2" s="1">
        <f t="shared" ref="AU2" si="7">+AT2+1</f>
        <v>2035</v>
      </c>
      <c r="AV2" s="1">
        <f t="shared" ref="AV2" si="8">+AU2+1</f>
        <v>2036</v>
      </c>
      <c r="AW2" s="1">
        <f t="shared" ref="AW2" si="9">+AV2+1</f>
        <v>2037</v>
      </c>
      <c r="AX2" s="1">
        <f t="shared" ref="AX2" si="10">+AW2+1</f>
        <v>2038</v>
      </c>
      <c r="AY2" s="1">
        <f t="shared" ref="AY2" si="11">+AX2+1</f>
        <v>2039</v>
      </c>
      <c r="AZ2" s="1">
        <f t="shared" ref="AZ2" si="12">+AY2+1</f>
        <v>2040</v>
      </c>
      <c r="BA2" s="1">
        <f t="shared" ref="BA2" si="13">+AZ2+1</f>
        <v>2041</v>
      </c>
      <c r="BB2" s="1">
        <f t="shared" ref="BB2" si="14">+BA2+1</f>
        <v>2042</v>
      </c>
      <c r="BC2" s="1">
        <f t="shared" ref="BC2" si="15">+BB2+1</f>
        <v>2043</v>
      </c>
      <c r="BD2" s="1">
        <f t="shared" ref="BD2" si="16">+BC2+1</f>
        <v>2044</v>
      </c>
      <c r="BE2" s="1">
        <f t="shared" ref="BE2" si="17">+BD2+1</f>
        <v>2045</v>
      </c>
      <c r="BF2" s="1">
        <f t="shared" ref="BF2" si="18">+BE2+1</f>
        <v>2046</v>
      </c>
      <c r="BG2" s="1">
        <f t="shared" ref="BG2" si="19">+BF2+1</f>
        <v>2047</v>
      </c>
      <c r="BH2" s="1">
        <f t="shared" ref="BH2" si="20">+BG2+1</f>
        <v>2048</v>
      </c>
      <c r="BI2" s="1">
        <f t="shared" ref="BI2" si="21">+BH2+1</f>
        <v>2049</v>
      </c>
      <c r="BJ2" s="1">
        <f t="shared" ref="BJ2" si="22">+BI2+1</f>
        <v>2050</v>
      </c>
      <c r="BK2" s="1">
        <f t="shared" ref="BK2" si="23">+BJ2+1</f>
        <v>2051</v>
      </c>
      <c r="BL2" s="1">
        <f t="shared" ref="BL2" si="24">+BK2+1</f>
        <v>2052</v>
      </c>
      <c r="BM2" s="1">
        <f t="shared" ref="BM2" si="25">+BL2+1</f>
        <v>2053</v>
      </c>
      <c r="BN2" s="1">
        <f t="shared" ref="BN2" si="26">+BM2+1</f>
        <v>2054</v>
      </c>
      <c r="BO2" s="1">
        <f t="shared" ref="BO2" si="27">+BN2+1</f>
        <v>2055</v>
      </c>
      <c r="BP2" s="1">
        <f t="shared" ref="BP2" si="28">+BO2+1</f>
        <v>2056</v>
      </c>
      <c r="BQ2" s="1">
        <f t="shared" ref="BQ2" si="29">+BP2+1</f>
        <v>2057</v>
      </c>
      <c r="BR2" s="1">
        <f t="shared" ref="BR2" si="30">+BQ2+1</f>
        <v>2058</v>
      </c>
      <c r="BS2" s="1">
        <f t="shared" ref="BS2" si="31">+BR2+1</f>
        <v>2059</v>
      </c>
      <c r="BT2" s="1">
        <f t="shared" ref="BT2" si="32">+BS2+1</f>
        <v>2060</v>
      </c>
      <c r="BU2" s="1">
        <f t="shared" ref="BU2" si="33">+BT2+1</f>
        <v>2061</v>
      </c>
      <c r="BV2" s="1">
        <f t="shared" ref="BV2" si="34">+BU2+1</f>
        <v>2062</v>
      </c>
      <c r="BW2" s="1">
        <f t="shared" ref="BW2" si="35">+BV2+1</f>
        <v>2063</v>
      </c>
      <c r="BX2" s="1">
        <f t="shared" ref="BX2" si="36">+BW2+1</f>
        <v>2064</v>
      </c>
      <c r="BY2" s="1">
        <f t="shared" ref="BY2" si="37">+BX2+1</f>
        <v>2065</v>
      </c>
      <c r="BZ2" s="1">
        <f t="shared" ref="BZ2" si="38">+BY2+1</f>
        <v>2066</v>
      </c>
      <c r="CA2" s="1">
        <f t="shared" ref="CA2" si="39">+BZ2+1</f>
        <v>2067</v>
      </c>
      <c r="CB2" s="1">
        <f t="shared" ref="CB2" si="40">+CA2+1</f>
        <v>2068</v>
      </c>
      <c r="CC2" s="1">
        <f t="shared" ref="CC2" si="41">+CB2+1</f>
        <v>2069</v>
      </c>
      <c r="CD2" s="1">
        <f t="shared" ref="CD2" si="42">+CC2+1</f>
        <v>2070</v>
      </c>
    </row>
    <row r="4" spans="2:82" s="3" customFormat="1" ht="15" x14ac:dyDescent="0.25">
      <c r="B4" s="3" t="s">
        <v>20</v>
      </c>
      <c r="G4" s="4">
        <v>8459</v>
      </c>
      <c r="H4" s="4">
        <v>7853</v>
      </c>
      <c r="I4" s="4">
        <v>8486</v>
      </c>
      <c r="J4" s="4">
        <v>9398</v>
      </c>
      <c r="K4" s="4">
        <v>7096</v>
      </c>
      <c r="L4" s="4">
        <v>7746</v>
      </c>
      <c r="M4" s="4">
        <v>9396</v>
      </c>
      <c r="N4" s="4">
        <v>10394</v>
      </c>
      <c r="O4" s="4">
        <v>10306</v>
      </c>
      <c r="P4" s="4">
        <v>10385</v>
      </c>
      <c r="Q4" s="4">
        <v>12138</v>
      </c>
      <c r="R4" s="4">
        <v>12676</v>
      </c>
      <c r="S4" s="4">
        <v>12919</v>
      </c>
      <c r="T4" s="4">
        <v>13289</v>
      </c>
      <c r="U4" s="4">
        <v>14878</v>
      </c>
      <c r="V4" s="4">
        <v>15736</v>
      </c>
      <c r="W4" s="4">
        <v>17567</v>
      </c>
      <c r="X4" s="4"/>
      <c r="Y4" s="4"/>
      <c r="Z4" s="4"/>
      <c r="AA4" s="4"/>
      <c r="AB4" s="4"/>
      <c r="AD4" s="4">
        <f>+SUM(G4:J4)</f>
        <v>34196</v>
      </c>
      <c r="AE4" s="4">
        <f>+SUM(K4:N4)</f>
        <v>34632</v>
      </c>
      <c r="AF4" s="4">
        <f>+SUM(P4:S4)</f>
        <v>48118</v>
      </c>
      <c r="AG4" s="4"/>
      <c r="AH4" s="4"/>
      <c r="AI4" s="4"/>
      <c r="AJ4" s="4"/>
      <c r="AK4" s="4"/>
      <c r="AL4" s="4"/>
      <c r="AM4" s="4"/>
      <c r="AN4" s="4"/>
    </row>
    <row r="5" spans="2:82" x14ac:dyDescent="0.2">
      <c r="B5" s="1" t="s">
        <v>21</v>
      </c>
      <c r="G5" s="2">
        <v>4201</v>
      </c>
      <c r="H5" s="2">
        <v>4099</v>
      </c>
      <c r="I5" s="2">
        <v>4465</v>
      </c>
      <c r="J5" s="2">
        <v>4919</v>
      </c>
      <c r="K5" s="2">
        <v>4164</v>
      </c>
      <c r="L5" s="2">
        <v>4412</v>
      </c>
      <c r="M5" s="2">
        <v>4926</v>
      </c>
      <c r="N5" s="2">
        <v>5178</v>
      </c>
      <c r="O5" s="2">
        <v>4971</v>
      </c>
      <c r="P5" s="2">
        <v>4883</v>
      </c>
      <c r="Q5" s="2">
        <v>5651</v>
      </c>
      <c r="R5" s="2">
        <v>5831</v>
      </c>
      <c r="S5" s="2">
        <v>6152</v>
      </c>
      <c r="T5" s="2">
        <v>6640</v>
      </c>
      <c r="U5" s="2">
        <v>7245</v>
      </c>
      <c r="V5" s="2">
        <v>7449</v>
      </c>
      <c r="W5" s="2">
        <v>7794</v>
      </c>
      <c r="X5" s="2"/>
      <c r="Y5" s="2"/>
      <c r="Z5" s="2"/>
      <c r="AA5" s="2"/>
      <c r="AB5" s="2"/>
      <c r="AD5" s="2">
        <f t="shared" ref="AD5:AD17" si="43">+SUM(G5:J5)</f>
        <v>17684</v>
      </c>
      <c r="AE5" s="2">
        <f t="shared" ref="AE5:AE17" si="44">+SUM(K5:N5)</f>
        <v>18680</v>
      </c>
      <c r="AF5" s="2">
        <f t="shared" ref="AF5:AF17" si="45">+SUM(P5:S5)</f>
        <v>22517</v>
      </c>
      <c r="AG5" s="2"/>
      <c r="AH5" s="2"/>
      <c r="AI5" s="2"/>
      <c r="AJ5" s="2"/>
      <c r="AK5" s="2"/>
      <c r="AL5" s="2"/>
      <c r="AM5" s="2"/>
      <c r="AN5" s="2"/>
    </row>
    <row r="6" spans="2:82" x14ac:dyDescent="0.2">
      <c r="B6" s="1" t="s">
        <v>22</v>
      </c>
      <c r="G6" s="2">
        <f t="shared" ref="G6" si="46">+G4-G5</f>
        <v>4258</v>
      </c>
      <c r="H6" s="2">
        <f t="shared" ref="H6:I6" si="47">+H4-H5</f>
        <v>3754</v>
      </c>
      <c r="I6" s="2">
        <f t="shared" si="47"/>
        <v>4021</v>
      </c>
      <c r="J6" s="2">
        <f t="shared" ref="J6:U6" si="48">+J4-J5</f>
        <v>4479</v>
      </c>
      <c r="K6" s="2">
        <f t="shared" si="48"/>
        <v>2932</v>
      </c>
      <c r="L6" s="2">
        <f t="shared" si="48"/>
        <v>3334</v>
      </c>
      <c r="M6" s="2">
        <f t="shared" si="48"/>
        <v>4470</v>
      </c>
      <c r="N6" s="2">
        <f t="shared" si="48"/>
        <v>5216</v>
      </c>
      <c r="O6" s="2">
        <f t="shared" si="48"/>
        <v>5335</v>
      </c>
      <c r="P6" s="2">
        <f t="shared" si="48"/>
        <v>5502</v>
      </c>
      <c r="Q6" s="2">
        <f t="shared" si="48"/>
        <v>6487</v>
      </c>
      <c r="R6" s="2">
        <f t="shared" si="48"/>
        <v>6845</v>
      </c>
      <c r="S6" s="2">
        <f t="shared" si="48"/>
        <v>6767</v>
      </c>
      <c r="T6" s="2">
        <f t="shared" si="48"/>
        <v>6649</v>
      </c>
      <c r="U6" s="2">
        <f t="shared" si="48"/>
        <v>7633</v>
      </c>
      <c r="V6" s="2">
        <f t="shared" ref="V6:W6" si="49">+V4-V5</f>
        <v>8287</v>
      </c>
      <c r="W6" s="2">
        <f t="shared" si="49"/>
        <v>9773</v>
      </c>
      <c r="X6" s="2"/>
      <c r="Y6" s="2"/>
      <c r="Z6" s="2"/>
      <c r="AA6" s="2"/>
      <c r="AB6" s="2"/>
      <c r="AD6" s="2">
        <f t="shared" si="43"/>
        <v>16512</v>
      </c>
      <c r="AE6" s="2">
        <f t="shared" si="44"/>
        <v>15952</v>
      </c>
      <c r="AF6" s="2">
        <f t="shared" si="45"/>
        <v>25601</v>
      </c>
      <c r="AG6" s="2"/>
      <c r="AH6" s="2"/>
      <c r="AI6" s="2"/>
      <c r="AJ6" s="2"/>
      <c r="AK6" s="2"/>
      <c r="AL6" s="2"/>
      <c r="AM6" s="2"/>
      <c r="AN6" s="2"/>
    </row>
    <row r="7" spans="2:82" x14ac:dyDescent="0.2">
      <c r="B7" s="1" t="s">
        <v>23</v>
      </c>
      <c r="G7" s="2">
        <v>697</v>
      </c>
      <c r="H7" s="2">
        <v>670</v>
      </c>
      <c r="I7" s="2">
        <v>713</v>
      </c>
      <c r="J7" s="2">
        <v>768</v>
      </c>
      <c r="K7" s="2">
        <v>662</v>
      </c>
      <c r="L7" s="2">
        <v>688</v>
      </c>
      <c r="M7" s="2">
        <v>769</v>
      </c>
      <c r="N7" s="2">
        <v>840</v>
      </c>
      <c r="O7" s="2">
        <v>828</v>
      </c>
      <c r="P7" s="2">
        <v>832</v>
      </c>
      <c r="Q7" s="2">
        <v>1011</v>
      </c>
      <c r="R7" s="2">
        <v>1049</v>
      </c>
      <c r="S7" s="2">
        <v>1096</v>
      </c>
      <c r="T7" s="2">
        <v>1103</v>
      </c>
      <c r="U7" s="2">
        <v>1107</v>
      </c>
      <c r="V7" s="2">
        <v>1158</v>
      </c>
      <c r="W7" s="2">
        <v>1290</v>
      </c>
      <c r="X7" s="2"/>
      <c r="Y7" s="2"/>
      <c r="Z7" s="2"/>
      <c r="AA7" s="2"/>
      <c r="AB7" s="2"/>
      <c r="AD7" s="2">
        <f t="shared" si="43"/>
        <v>2848</v>
      </c>
      <c r="AE7" s="2">
        <f t="shared" si="44"/>
        <v>2959</v>
      </c>
      <c r="AF7" s="2">
        <f t="shared" si="45"/>
        <v>3988</v>
      </c>
      <c r="AG7" s="2"/>
      <c r="AH7" s="2"/>
      <c r="AI7" s="2"/>
      <c r="AJ7" s="2"/>
      <c r="AK7" s="2"/>
      <c r="AL7" s="2"/>
      <c r="AM7" s="2"/>
      <c r="AN7" s="2"/>
    </row>
    <row r="8" spans="2:82" x14ac:dyDescent="0.2">
      <c r="B8" s="1" t="s">
        <v>24</v>
      </c>
      <c r="G8" s="2">
        <v>215</v>
      </c>
      <c r="H8" s="2">
        <v>220</v>
      </c>
      <c r="I8" s="2">
        <v>204</v>
      </c>
      <c r="J8" s="2">
        <v>232</v>
      </c>
      <c r="K8" s="2">
        <v>182</v>
      </c>
      <c r="L8" s="2">
        <v>185</v>
      </c>
      <c r="M8" s="2">
        <v>237</v>
      </c>
      <c r="N8" s="2">
        <v>305</v>
      </c>
      <c r="O8" s="2">
        <v>244</v>
      </c>
      <c r="P8" s="2">
        <v>288</v>
      </c>
      <c r="Q8" s="2">
        <v>381</v>
      </c>
      <c r="R8" s="2">
        <v>294</v>
      </c>
      <c r="S8" s="2">
        <v>298</v>
      </c>
      <c r="T8" s="2">
        <v>347</v>
      </c>
      <c r="U8" s="2">
        <v>387</v>
      </c>
      <c r="V8" s="2">
        <v>561</v>
      </c>
      <c r="W8" s="2">
        <v>449</v>
      </c>
      <c r="X8" s="2"/>
      <c r="Y8" s="2"/>
      <c r="Z8" s="2"/>
      <c r="AA8" s="2"/>
      <c r="AB8" s="2"/>
      <c r="AD8" s="2">
        <f t="shared" si="43"/>
        <v>871</v>
      </c>
      <c r="AE8" s="2">
        <f t="shared" si="44"/>
        <v>909</v>
      </c>
      <c r="AF8" s="2">
        <f t="shared" si="45"/>
        <v>1261</v>
      </c>
      <c r="AG8" s="2"/>
      <c r="AH8" s="2"/>
      <c r="AI8" s="2"/>
      <c r="AJ8" s="2"/>
      <c r="AK8" s="2"/>
      <c r="AL8" s="2"/>
      <c r="AM8" s="2"/>
      <c r="AN8" s="2"/>
    </row>
    <row r="9" spans="2:82" x14ac:dyDescent="0.2">
      <c r="B9" s="1" t="s">
        <v>38</v>
      </c>
      <c r="G9" s="2">
        <v>-44</v>
      </c>
      <c r="H9" s="2">
        <v>-22</v>
      </c>
      <c r="I9" s="2">
        <v>1</v>
      </c>
      <c r="J9" s="2">
        <v>-5</v>
      </c>
      <c r="K9" s="2">
        <v>-3</v>
      </c>
      <c r="L9" s="2">
        <v>-8</v>
      </c>
      <c r="M9" s="2">
        <v>-5</v>
      </c>
      <c r="N9" s="2">
        <v>0</v>
      </c>
      <c r="O9" s="2">
        <v>2</v>
      </c>
      <c r="P9" s="2">
        <v>0</v>
      </c>
      <c r="Q9" s="2">
        <v>15</v>
      </c>
      <c r="R9" s="2">
        <v>7</v>
      </c>
      <c r="S9" s="2">
        <v>-7</v>
      </c>
      <c r="T9" s="2">
        <v>2</v>
      </c>
      <c r="U9" s="2">
        <v>3</v>
      </c>
      <c r="V9" s="2">
        <v>-4</v>
      </c>
      <c r="W9" s="2">
        <v>-28</v>
      </c>
      <c r="X9" s="2"/>
      <c r="Y9" s="2"/>
      <c r="Z9" s="2"/>
      <c r="AA9" s="2"/>
      <c r="AB9" s="2"/>
      <c r="AD9" s="2">
        <f t="shared" si="43"/>
        <v>-70</v>
      </c>
      <c r="AE9" s="2">
        <f t="shared" si="44"/>
        <v>-16</v>
      </c>
      <c r="AF9" s="2">
        <f t="shared" si="45"/>
        <v>15</v>
      </c>
      <c r="AG9" s="2"/>
      <c r="AH9" s="2"/>
      <c r="AI9" s="2"/>
      <c r="AJ9" s="2"/>
      <c r="AK9" s="2"/>
      <c r="AL9" s="2"/>
      <c r="AM9" s="2"/>
      <c r="AN9" s="2"/>
    </row>
    <row r="10" spans="2:82" x14ac:dyDescent="0.2">
      <c r="B10" s="1" t="s">
        <v>26</v>
      </c>
      <c r="G10" s="2">
        <f t="shared" ref="G10" si="50">+G8+G7-G9</f>
        <v>956</v>
      </c>
      <c r="H10" s="2">
        <f t="shared" ref="H10:I10" si="51">+H8+H7-H9</f>
        <v>912</v>
      </c>
      <c r="I10" s="2">
        <f t="shared" si="51"/>
        <v>916</v>
      </c>
      <c r="J10" s="2">
        <f t="shared" ref="J10:U10" si="52">+J8+J7-J9</f>
        <v>1005</v>
      </c>
      <c r="K10" s="2">
        <f t="shared" si="52"/>
        <v>847</v>
      </c>
      <c r="L10" s="2">
        <f t="shared" si="52"/>
        <v>881</v>
      </c>
      <c r="M10" s="2">
        <f t="shared" si="52"/>
        <v>1011</v>
      </c>
      <c r="N10" s="2">
        <f t="shared" si="52"/>
        <v>1145</v>
      </c>
      <c r="O10" s="2">
        <f t="shared" si="52"/>
        <v>1070</v>
      </c>
      <c r="P10" s="2">
        <f t="shared" si="52"/>
        <v>1120</v>
      </c>
      <c r="Q10" s="2">
        <f t="shared" si="52"/>
        <v>1377</v>
      </c>
      <c r="R10" s="2">
        <f t="shared" si="52"/>
        <v>1336</v>
      </c>
      <c r="S10" s="2">
        <f t="shared" si="52"/>
        <v>1401</v>
      </c>
      <c r="T10" s="2">
        <f t="shared" si="52"/>
        <v>1448</v>
      </c>
      <c r="U10" s="2">
        <f t="shared" si="52"/>
        <v>1491</v>
      </c>
      <c r="V10" s="2">
        <f t="shared" ref="V10:W10" si="53">+V8+V7-V9</f>
        <v>1723</v>
      </c>
      <c r="W10" s="2">
        <f t="shared" si="53"/>
        <v>1767</v>
      </c>
      <c r="X10" s="2"/>
      <c r="Y10" s="2"/>
      <c r="Z10" s="2"/>
      <c r="AA10" s="2"/>
      <c r="AB10" s="2"/>
      <c r="AD10" s="2">
        <f t="shared" si="43"/>
        <v>3789</v>
      </c>
      <c r="AE10" s="2">
        <f t="shared" si="44"/>
        <v>3884</v>
      </c>
      <c r="AF10" s="2">
        <f t="shared" si="45"/>
        <v>5234</v>
      </c>
      <c r="AG10" s="2"/>
      <c r="AH10" s="2"/>
      <c r="AI10" s="2"/>
      <c r="AJ10" s="2"/>
      <c r="AK10" s="2"/>
      <c r="AL10" s="2"/>
      <c r="AM10" s="2"/>
      <c r="AN10" s="2"/>
    </row>
    <row r="11" spans="2:82" x14ac:dyDescent="0.2">
      <c r="B11" s="1" t="s">
        <v>25</v>
      </c>
      <c r="G11" s="2">
        <f>+G6-G10</f>
        <v>3302</v>
      </c>
      <c r="H11" s="2">
        <f>+H6-H10</f>
        <v>2842</v>
      </c>
      <c r="I11" s="2">
        <f t="shared" ref="I11" si="54">+I6-I10</f>
        <v>3105</v>
      </c>
      <c r="J11" s="2">
        <f t="shared" ref="J11:U11" si="55">+J6-J10</f>
        <v>3474</v>
      </c>
      <c r="K11" s="2">
        <f t="shared" si="55"/>
        <v>2085</v>
      </c>
      <c r="L11" s="2">
        <f t="shared" si="55"/>
        <v>2453</v>
      </c>
      <c r="M11" s="2">
        <f t="shared" si="55"/>
        <v>3459</v>
      </c>
      <c r="N11" s="2">
        <f t="shared" si="55"/>
        <v>4071</v>
      </c>
      <c r="O11" s="2">
        <f t="shared" si="55"/>
        <v>4265</v>
      </c>
      <c r="P11" s="2">
        <f t="shared" si="55"/>
        <v>4382</v>
      </c>
      <c r="Q11" s="2">
        <f t="shared" si="55"/>
        <v>5110</v>
      </c>
      <c r="R11" s="2">
        <f t="shared" si="55"/>
        <v>5509</v>
      </c>
      <c r="S11" s="2">
        <f t="shared" si="55"/>
        <v>5366</v>
      </c>
      <c r="T11" s="2">
        <f t="shared" si="55"/>
        <v>5201</v>
      </c>
      <c r="U11" s="2">
        <f t="shared" si="55"/>
        <v>6142</v>
      </c>
      <c r="V11" s="2">
        <f t="shared" ref="V11:W11" si="56">+V6-V10</f>
        <v>6564</v>
      </c>
      <c r="W11" s="2">
        <f t="shared" si="56"/>
        <v>8006</v>
      </c>
      <c r="X11" s="2"/>
      <c r="Y11" s="2"/>
      <c r="Z11" s="2"/>
      <c r="AA11" s="2"/>
      <c r="AB11" s="2"/>
      <c r="AD11" s="2">
        <f t="shared" si="43"/>
        <v>12723</v>
      </c>
      <c r="AE11" s="2">
        <f t="shared" si="44"/>
        <v>12068</v>
      </c>
      <c r="AF11" s="2">
        <f t="shared" si="45"/>
        <v>20367</v>
      </c>
      <c r="AG11" s="2"/>
      <c r="AH11" s="2"/>
      <c r="AI11" s="2"/>
      <c r="AJ11" s="2"/>
      <c r="AK11" s="2"/>
      <c r="AL11" s="2"/>
      <c r="AM11" s="2"/>
      <c r="AN11" s="2"/>
    </row>
    <row r="12" spans="2:82" x14ac:dyDescent="0.2">
      <c r="B12" s="1" t="s">
        <v>27</v>
      </c>
      <c r="G12" s="2">
        <f>23+80+3</f>
        <v>106</v>
      </c>
      <c r="H12" s="2">
        <f>9+99+-2</f>
        <v>106</v>
      </c>
      <c r="I12" s="2">
        <f>33+100+-14</f>
        <v>119</v>
      </c>
      <c r="J12" s="2">
        <f>36+107+-14</f>
        <v>129</v>
      </c>
      <c r="K12" s="2">
        <f>14+114+-1</f>
        <v>127</v>
      </c>
      <c r="L12" s="2">
        <f>20+118+-2</f>
        <v>136</v>
      </c>
      <c r="M12" s="2">
        <f>29+99+15</f>
        <v>143</v>
      </c>
      <c r="N12" s="2">
        <f>28+88+33</f>
        <v>149</v>
      </c>
      <c r="O12" s="2">
        <f>24+81+15</f>
        <v>120</v>
      </c>
      <c r="P12" s="2">
        <f>23+69+85</f>
        <v>177</v>
      </c>
      <c r="Q12" s="2">
        <f>28+52+93</f>
        <v>173</v>
      </c>
      <c r="R12" s="2">
        <f>48+31+61</f>
        <v>140</v>
      </c>
      <c r="S12" s="2">
        <f>45+25+92</f>
        <v>162</v>
      </c>
      <c r="T12" s="2">
        <f>42+10+81</f>
        <v>133</v>
      </c>
      <c r="U12" s="2">
        <f>54+1+47</f>
        <v>102</v>
      </c>
      <c r="V12" s="2">
        <v>73</v>
      </c>
      <c r="W12" s="2">
        <v>108</v>
      </c>
      <c r="X12" s="2"/>
      <c r="Y12" s="2"/>
      <c r="Z12" s="2"/>
      <c r="AA12" s="2"/>
      <c r="AB12" s="2"/>
      <c r="AD12" s="2">
        <f t="shared" si="43"/>
        <v>460</v>
      </c>
      <c r="AE12" s="2">
        <f t="shared" si="44"/>
        <v>555</v>
      </c>
      <c r="AF12" s="2">
        <f t="shared" si="45"/>
        <v>652</v>
      </c>
      <c r="AG12" s="2"/>
      <c r="AH12" s="2"/>
      <c r="AI12" s="2"/>
      <c r="AJ12" s="2"/>
      <c r="AK12" s="2"/>
      <c r="AL12" s="2"/>
      <c r="AM12" s="2"/>
      <c r="AN12" s="2"/>
    </row>
    <row r="13" spans="2:82" x14ac:dyDescent="0.2">
      <c r="B13" s="1" t="s">
        <v>28</v>
      </c>
      <c r="G13" s="2">
        <f>+G11+G12</f>
        <v>3408</v>
      </c>
      <c r="H13" s="2">
        <f>+H11+H12</f>
        <v>2948</v>
      </c>
      <c r="I13" s="2">
        <f t="shared" ref="I13" si="57">+I11+I12</f>
        <v>3224</v>
      </c>
      <c r="J13" s="2">
        <f t="shared" ref="J13:T13" si="58">+J11+J12</f>
        <v>3603</v>
      </c>
      <c r="K13" s="2">
        <f t="shared" si="58"/>
        <v>2212</v>
      </c>
      <c r="L13" s="2">
        <f t="shared" si="58"/>
        <v>2589</v>
      </c>
      <c r="M13" s="2">
        <f t="shared" si="58"/>
        <v>3602</v>
      </c>
      <c r="N13" s="2">
        <f t="shared" si="58"/>
        <v>4220</v>
      </c>
      <c r="O13" s="2">
        <f t="shared" si="58"/>
        <v>4385</v>
      </c>
      <c r="P13" s="2">
        <f t="shared" si="58"/>
        <v>4559</v>
      </c>
      <c r="Q13" s="2">
        <f t="shared" si="58"/>
        <v>5283</v>
      </c>
      <c r="R13" s="2">
        <f t="shared" si="58"/>
        <v>5649</v>
      </c>
      <c r="S13" s="2">
        <f t="shared" si="58"/>
        <v>5528</v>
      </c>
      <c r="T13" s="2">
        <f t="shared" si="58"/>
        <v>5334</v>
      </c>
      <c r="U13" s="2">
        <f>+U11+U12</f>
        <v>6244</v>
      </c>
      <c r="V13" s="2">
        <f>+V11+V12</f>
        <v>6637</v>
      </c>
      <c r="W13" s="2">
        <f>+W11+W12</f>
        <v>8114</v>
      </c>
      <c r="X13" s="2"/>
      <c r="Y13" s="2"/>
      <c r="Z13" s="2"/>
      <c r="AA13" s="2"/>
      <c r="AB13" s="2"/>
      <c r="AD13" s="2">
        <f t="shared" si="43"/>
        <v>13183</v>
      </c>
      <c r="AE13" s="2">
        <f t="shared" si="44"/>
        <v>12623</v>
      </c>
      <c r="AF13" s="2">
        <f t="shared" si="45"/>
        <v>21019</v>
      </c>
      <c r="AG13" s="2"/>
      <c r="AH13" s="2"/>
      <c r="AI13" s="2"/>
      <c r="AJ13" s="2"/>
      <c r="AK13" s="2"/>
      <c r="AL13" s="2"/>
      <c r="AM13" s="2"/>
      <c r="AN13" s="2"/>
      <c r="AO13" s="2"/>
    </row>
    <row r="14" spans="2:82" x14ac:dyDescent="0.2">
      <c r="B14" s="1" t="s">
        <v>41</v>
      </c>
      <c r="G14" s="2">
        <v>346</v>
      </c>
      <c r="H14" s="2">
        <v>514</v>
      </c>
      <c r="I14" s="2">
        <v>320</v>
      </c>
      <c r="J14" s="2">
        <v>360</v>
      </c>
      <c r="K14" s="2">
        <v>220</v>
      </c>
      <c r="L14" s="2">
        <v>443</v>
      </c>
      <c r="M14" s="2">
        <v>360</v>
      </c>
      <c r="N14" s="2">
        <v>417</v>
      </c>
      <c r="O14" s="2">
        <v>501</v>
      </c>
      <c r="P14" s="2">
        <v>518</v>
      </c>
      <c r="Q14" s="2">
        <v>605</v>
      </c>
      <c r="R14" s="2">
        <v>641</v>
      </c>
      <c r="S14" s="2">
        <v>547</v>
      </c>
      <c r="T14" s="2">
        <v>532</v>
      </c>
      <c r="U14" s="2">
        <v>624</v>
      </c>
      <c r="V14" s="2">
        <v>662</v>
      </c>
      <c r="W14" s="2">
        <v>857</v>
      </c>
      <c r="X14" s="2"/>
      <c r="Y14" s="2"/>
      <c r="Z14" s="2"/>
      <c r="AA14" s="2"/>
      <c r="AB14" s="2"/>
      <c r="AD14" s="2">
        <f t="shared" si="43"/>
        <v>1540</v>
      </c>
      <c r="AE14" s="2">
        <f t="shared" si="44"/>
        <v>1440</v>
      </c>
      <c r="AF14" s="2">
        <f>+SUM(P14:S14)</f>
        <v>2311</v>
      </c>
      <c r="AG14" s="2"/>
      <c r="AH14" s="2"/>
      <c r="AI14" s="2"/>
      <c r="AJ14" s="2"/>
      <c r="AK14" s="2"/>
      <c r="AL14" s="2"/>
      <c r="AM14" s="2"/>
      <c r="AN14" s="2"/>
      <c r="AO14" s="2"/>
    </row>
    <row r="15" spans="2:82" x14ac:dyDescent="0.2">
      <c r="B15" s="1" t="s">
        <v>43</v>
      </c>
      <c r="G15" s="2">
        <v>245</v>
      </c>
      <c r="H15" s="2">
        <v>648</v>
      </c>
      <c r="I15" s="2">
        <v>-126</v>
      </c>
      <c r="J15" s="2">
        <v>150</v>
      </c>
      <c r="K15" s="2">
        <v>150</v>
      </c>
      <c r="L15" s="2">
        <v>114</v>
      </c>
      <c r="M15" s="2">
        <v>104</v>
      </c>
      <c r="N15" s="2">
        <v>548</v>
      </c>
      <c r="O15" s="2">
        <v>88</v>
      </c>
      <c r="P15" s="2">
        <v>397</v>
      </c>
      <c r="Q15" s="2">
        <v>185</v>
      </c>
      <c r="R15" s="2">
        <v>549</v>
      </c>
      <c r="S15" s="2">
        <v>213</v>
      </c>
      <c r="T15" s="2">
        <v>364</v>
      </c>
      <c r="U15" s="2">
        <v>25</v>
      </c>
      <c r="V15" s="2">
        <v>96</v>
      </c>
      <c r="W15" s="2">
        <v>-552</v>
      </c>
      <c r="X15" s="2"/>
      <c r="Y15" s="2"/>
      <c r="Z15" s="2"/>
      <c r="AA15" s="2"/>
      <c r="AB15" s="2"/>
      <c r="AD15" s="2">
        <f t="shared" si="43"/>
        <v>917</v>
      </c>
      <c r="AE15" s="2">
        <f t="shared" si="44"/>
        <v>916</v>
      </c>
      <c r="AF15" s="2">
        <f t="shared" si="45"/>
        <v>1344</v>
      </c>
      <c r="AG15" s="5"/>
      <c r="AH15" s="2"/>
      <c r="AI15" s="2"/>
      <c r="AJ15" s="2"/>
      <c r="AK15" s="2"/>
      <c r="AL15" s="2"/>
      <c r="AM15" s="2"/>
      <c r="AN15" s="2"/>
      <c r="AO15" s="2"/>
    </row>
    <row r="16" spans="2:82" x14ac:dyDescent="0.2">
      <c r="B16" s="1" t="s">
        <v>42</v>
      </c>
      <c r="G16" s="2">
        <v>0</v>
      </c>
      <c r="H16" s="2">
        <v>0</v>
      </c>
      <c r="I16" s="2">
        <v>1</v>
      </c>
      <c r="J16" s="2">
        <v>0</v>
      </c>
      <c r="K16" s="2">
        <v>0</v>
      </c>
      <c r="L16" s="2">
        <v>0</v>
      </c>
      <c r="M16" s="2">
        <v>1</v>
      </c>
      <c r="N16" s="2">
        <v>1</v>
      </c>
      <c r="O16" s="2">
        <v>2</v>
      </c>
      <c r="P16" s="2">
        <v>3</v>
      </c>
      <c r="Q16" s="2">
        <v>2</v>
      </c>
      <c r="R16" s="2">
        <v>2</v>
      </c>
      <c r="S16" s="5">
        <v>1</v>
      </c>
      <c r="T16" s="5">
        <v>4</v>
      </c>
      <c r="U16" s="5">
        <v>8</v>
      </c>
      <c r="V16" s="5">
        <v>5</v>
      </c>
      <c r="W16" s="5">
        <v>5</v>
      </c>
      <c r="X16" s="5"/>
      <c r="Y16" s="5"/>
      <c r="Z16" s="5"/>
      <c r="AA16" s="5"/>
      <c r="AB16" s="5"/>
      <c r="AD16" s="2">
        <f t="shared" si="43"/>
        <v>1</v>
      </c>
      <c r="AE16" s="2">
        <f t="shared" si="44"/>
        <v>2</v>
      </c>
      <c r="AF16" s="2">
        <f t="shared" si="45"/>
        <v>8</v>
      </c>
      <c r="AG16" s="2"/>
      <c r="AH16" s="2"/>
      <c r="AI16" s="2"/>
      <c r="AJ16" s="2"/>
      <c r="AK16" s="2"/>
      <c r="AL16" s="2"/>
      <c r="AM16" s="2"/>
      <c r="AN16" s="2"/>
      <c r="AO16" s="2"/>
    </row>
    <row r="17" spans="2:82" s="3" customFormat="1" ht="15" x14ac:dyDescent="0.25">
      <c r="B17" s="3" t="s">
        <v>29</v>
      </c>
      <c r="G17" s="4">
        <f t="shared" ref="G17" si="59">+G13-G14-G15+G16</f>
        <v>2817</v>
      </c>
      <c r="H17" s="4">
        <f t="shared" ref="H17:I17" si="60">+H13-H14-H15+H16</f>
        <v>1786</v>
      </c>
      <c r="I17" s="4">
        <f t="shared" si="60"/>
        <v>3031</v>
      </c>
      <c r="J17" s="4">
        <f t="shared" ref="J17:U17" si="61">+J13-J14-J15+J16</f>
        <v>3093</v>
      </c>
      <c r="K17" s="4">
        <f t="shared" si="61"/>
        <v>1842</v>
      </c>
      <c r="L17" s="4">
        <f t="shared" si="61"/>
        <v>2032</v>
      </c>
      <c r="M17" s="4">
        <f t="shared" si="61"/>
        <v>3139</v>
      </c>
      <c r="N17" s="4">
        <f t="shared" si="61"/>
        <v>3256</v>
      </c>
      <c r="O17" s="4">
        <f t="shared" si="61"/>
        <v>3798</v>
      </c>
      <c r="P17" s="4">
        <f t="shared" si="61"/>
        <v>3647</v>
      </c>
      <c r="Q17" s="4">
        <f t="shared" si="61"/>
        <v>4495</v>
      </c>
      <c r="R17" s="4">
        <f t="shared" si="61"/>
        <v>4461</v>
      </c>
      <c r="S17" s="4">
        <f t="shared" si="61"/>
        <v>4769</v>
      </c>
      <c r="T17" s="4">
        <f t="shared" si="61"/>
        <v>4442</v>
      </c>
      <c r="U17" s="4">
        <f t="shared" si="61"/>
        <v>5603</v>
      </c>
      <c r="V17" s="4">
        <f>+V13-V14-V15+V16</f>
        <v>5884</v>
      </c>
      <c r="W17" s="4">
        <f>+W13-W14-W15+W16</f>
        <v>7814</v>
      </c>
      <c r="X17" s="4"/>
      <c r="Y17" s="4"/>
      <c r="Z17" s="4"/>
      <c r="AA17" s="4"/>
      <c r="AB17" s="4"/>
      <c r="AD17" s="4">
        <f t="shared" si="43"/>
        <v>10727</v>
      </c>
      <c r="AE17" s="4">
        <f t="shared" si="44"/>
        <v>10269</v>
      </c>
      <c r="AF17" s="4">
        <f t="shared" si="45"/>
        <v>17372</v>
      </c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>
        <f t="shared" ref="AU17:CD17" si="62">+AT17*0.98</f>
        <v>0</v>
      </c>
      <c r="AV17" s="4">
        <f t="shared" si="62"/>
        <v>0</v>
      </c>
      <c r="AW17" s="4">
        <f t="shared" si="62"/>
        <v>0</v>
      </c>
      <c r="AX17" s="4">
        <f t="shared" si="62"/>
        <v>0</v>
      </c>
      <c r="AY17" s="4">
        <f t="shared" si="62"/>
        <v>0</v>
      </c>
      <c r="AZ17" s="4">
        <f t="shared" si="62"/>
        <v>0</v>
      </c>
      <c r="BA17" s="4">
        <f t="shared" si="62"/>
        <v>0</v>
      </c>
      <c r="BB17" s="4">
        <f t="shared" si="62"/>
        <v>0</v>
      </c>
      <c r="BC17" s="4">
        <f t="shared" si="62"/>
        <v>0</v>
      </c>
      <c r="BD17" s="4">
        <f t="shared" si="62"/>
        <v>0</v>
      </c>
      <c r="BE17" s="4">
        <f t="shared" si="62"/>
        <v>0</v>
      </c>
      <c r="BF17" s="4">
        <f t="shared" si="62"/>
        <v>0</v>
      </c>
      <c r="BG17" s="4">
        <f t="shared" si="62"/>
        <v>0</v>
      </c>
      <c r="BH17" s="4">
        <f t="shared" si="62"/>
        <v>0</v>
      </c>
      <c r="BI17" s="4">
        <f t="shared" si="62"/>
        <v>0</v>
      </c>
      <c r="BJ17" s="4">
        <f t="shared" si="62"/>
        <v>0</v>
      </c>
      <c r="BK17" s="4">
        <f t="shared" si="62"/>
        <v>0</v>
      </c>
      <c r="BL17" s="4">
        <f t="shared" si="62"/>
        <v>0</v>
      </c>
      <c r="BM17" s="4">
        <f t="shared" si="62"/>
        <v>0</v>
      </c>
      <c r="BN17" s="4">
        <f t="shared" si="62"/>
        <v>0</v>
      </c>
      <c r="BO17" s="4">
        <f t="shared" si="62"/>
        <v>0</v>
      </c>
      <c r="BP17" s="4">
        <f t="shared" si="62"/>
        <v>0</v>
      </c>
      <c r="BQ17" s="4">
        <f t="shared" si="62"/>
        <v>0</v>
      </c>
      <c r="BR17" s="4">
        <f t="shared" si="62"/>
        <v>0</v>
      </c>
      <c r="BS17" s="4">
        <f t="shared" si="62"/>
        <v>0</v>
      </c>
      <c r="BT17" s="4">
        <f t="shared" si="62"/>
        <v>0</v>
      </c>
      <c r="BU17" s="4">
        <f t="shared" si="62"/>
        <v>0</v>
      </c>
      <c r="BV17" s="4">
        <f t="shared" si="62"/>
        <v>0</v>
      </c>
      <c r="BW17" s="4">
        <f t="shared" si="62"/>
        <v>0</v>
      </c>
      <c r="BX17" s="4">
        <f t="shared" si="62"/>
        <v>0</v>
      </c>
      <c r="BY17" s="4">
        <f t="shared" si="62"/>
        <v>0</v>
      </c>
      <c r="BZ17" s="4">
        <f t="shared" si="62"/>
        <v>0</v>
      </c>
      <c r="CA17" s="4">
        <f t="shared" si="62"/>
        <v>0</v>
      </c>
      <c r="CB17" s="4">
        <f t="shared" si="62"/>
        <v>0</v>
      </c>
      <c r="CC17" s="4">
        <f t="shared" si="62"/>
        <v>0</v>
      </c>
      <c r="CD17" s="4">
        <f t="shared" si="62"/>
        <v>0</v>
      </c>
    </row>
    <row r="18" spans="2:82" x14ac:dyDescent="0.2">
      <c r="B18" s="1" t="s">
        <v>39</v>
      </c>
      <c r="G18" s="2">
        <f t="shared" ref="G18" si="63">+G17/G19</f>
        <v>4774.5762711864409</v>
      </c>
      <c r="H18" s="2">
        <f t="shared" ref="H18:I18" si="64">+H17/H19</f>
        <v>3800</v>
      </c>
      <c r="I18" s="2">
        <f t="shared" si="64"/>
        <v>5412.4999999999991</v>
      </c>
      <c r="J18" s="2">
        <f t="shared" ref="J18:U18" si="65">+J17/J19</f>
        <v>8139.4736842105258</v>
      </c>
      <c r="K18" s="2">
        <f t="shared" si="65"/>
        <v>4847.3684210526317</v>
      </c>
      <c r="L18" s="2">
        <f t="shared" si="65"/>
        <v>4956.0975609756097</v>
      </c>
      <c r="M18" s="2">
        <f t="shared" si="65"/>
        <v>5062.9032258064517</v>
      </c>
      <c r="N18" s="2">
        <f t="shared" si="65"/>
        <v>4460.2739726027403</v>
      </c>
      <c r="O18" s="2">
        <f t="shared" si="65"/>
        <v>5064</v>
      </c>
      <c r="P18" s="2">
        <f t="shared" si="65"/>
        <v>4675.6410256410254</v>
      </c>
      <c r="Q18" s="2">
        <f t="shared" si="65"/>
        <v>4994.4444444444443</v>
      </c>
      <c r="R18" s="2">
        <f t="shared" si="65"/>
        <v>4598.9690721649486</v>
      </c>
      <c r="S18" s="2">
        <f t="shared" si="65"/>
        <v>4967.7083333333339</v>
      </c>
      <c r="T18" s="2">
        <f t="shared" si="65"/>
        <v>4776.3440860215051</v>
      </c>
      <c r="U18" s="2">
        <f t="shared" si="65"/>
        <v>5187.9629629629626</v>
      </c>
      <c r="V18" s="2">
        <f t="shared" ref="V18:W18" si="66">+V17/V19</f>
        <v>5116.521739130435</v>
      </c>
      <c r="W18" s="2">
        <f t="shared" si="66"/>
        <v>5581.4285714285716</v>
      </c>
      <c r="X18" s="2"/>
      <c r="Y18" s="2"/>
      <c r="Z18" s="2"/>
      <c r="AA18" s="2"/>
      <c r="AB18" s="2"/>
      <c r="AD18" s="2">
        <f>AVERAGE(G18:J18)</f>
        <v>5531.6374888492419</v>
      </c>
      <c r="AE18" s="2">
        <f>AVERAGE(K18:N18)</f>
        <v>4831.6607951093583</v>
      </c>
      <c r="AF18" s="2">
        <f>AVERAGE(O18:R18)</f>
        <v>4833.2636355626046</v>
      </c>
    </row>
    <row r="19" spans="2:82" s="6" customFormat="1" x14ac:dyDescent="0.2">
      <c r="B19" s="6" t="s">
        <v>40</v>
      </c>
      <c r="G19" s="6">
        <v>0.59</v>
      </c>
      <c r="H19" s="6">
        <v>0.47</v>
      </c>
      <c r="I19" s="6">
        <v>0.56000000000000005</v>
      </c>
      <c r="J19" s="6">
        <v>0.38</v>
      </c>
      <c r="K19" s="6">
        <v>0.38</v>
      </c>
      <c r="L19" s="6">
        <v>0.41</v>
      </c>
      <c r="M19" s="6">
        <v>0.62</v>
      </c>
      <c r="N19" s="6">
        <v>0.73</v>
      </c>
      <c r="O19" s="6">
        <v>0.75</v>
      </c>
      <c r="P19" s="6">
        <v>0.78</v>
      </c>
      <c r="Q19" s="6">
        <v>0.9</v>
      </c>
      <c r="R19" s="6">
        <v>0.97</v>
      </c>
      <c r="S19" s="6">
        <v>0.96</v>
      </c>
      <c r="T19" s="6">
        <v>0.93</v>
      </c>
      <c r="U19" s="6">
        <v>1.08</v>
      </c>
      <c r="V19" s="6">
        <v>1.1499999999999999</v>
      </c>
      <c r="W19" s="6">
        <v>1.4</v>
      </c>
      <c r="AA19" s="9"/>
      <c r="AD19" s="7">
        <f>AVERAGE(G19:J19)</f>
        <v>0.5</v>
      </c>
      <c r="AE19" s="7">
        <f>AVERAGE(K19:N19)</f>
        <v>0.53500000000000003</v>
      </c>
      <c r="AF19" s="7">
        <f>AVERAGE(O19:R19)</f>
        <v>0.85000000000000009</v>
      </c>
    </row>
    <row r="21" spans="2:82" x14ac:dyDescent="0.2">
      <c r="B21" s="1" t="s">
        <v>58</v>
      </c>
      <c r="K21" s="8">
        <f t="shared" ref="K21" si="67">+K6/K4</f>
        <v>0.41319052987598648</v>
      </c>
      <c r="L21" s="8">
        <f t="shared" ref="L21:O21" si="68">+L6/L4</f>
        <v>0.43041569842499355</v>
      </c>
      <c r="M21" s="8">
        <f t="shared" si="68"/>
        <v>0.47573435504469985</v>
      </c>
      <c r="N21" s="8">
        <f t="shared" si="68"/>
        <v>0.50182797767943044</v>
      </c>
      <c r="O21" s="8">
        <f t="shared" si="68"/>
        <v>0.51765961575781094</v>
      </c>
      <c r="P21" s="8">
        <f t="shared" ref="P21:T21" si="69">+P6/P4</f>
        <v>0.52980259990370726</v>
      </c>
      <c r="Q21" s="8">
        <f t="shared" si="69"/>
        <v>0.53443730433349812</v>
      </c>
      <c r="R21" s="8">
        <f t="shared" si="69"/>
        <v>0.53999684443041973</v>
      </c>
      <c r="S21" s="8">
        <f t="shared" si="69"/>
        <v>0.52380215186933976</v>
      </c>
      <c r="T21" s="8">
        <f t="shared" si="69"/>
        <v>0.50033862593122136</v>
      </c>
      <c r="U21" s="8">
        <f>+U6/U4</f>
        <v>0.51303938701438367</v>
      </c>
      <c r="V21" s="8">
        <f>+V6/V4</f>
        <v>0.52662684290798167</v>
      </c>
      <c r="W21" s="8">
        <f>+W6/W4</f>
        <v>0.55632720441737349</v>
      </c>
      <c r="X21" s="8"/>
      <c r="Y21" s="8"/>
      <c r="Z21" s="8"/>
      <c r="AA21" s="8"/>
      <c r="AB21" s="8"/>
      <c r="AE21" s="8">
        <f>+AE6/AE4</f>
        <v>0.4606144606144606</v>
      </c>
      <c r="AF21" s="8">
        <f>+AF6/AF4</f>
        <v>0.53204621970987986</v>
      </c>
      <c r="AG21" s="8"/>
      <c r="AH21" s="8"/>
      <c r="AI21" s="8"/>
      <c r="AJ21" s="8"/>
      <c r="AK21" s="8"/>
      <c r="AL21" s="8"/>
      <c r="AM21" s="8"/>
      <c r="AN21" s="8"/>
    </row>
    <row r="22" spans="2:82" s="6" customFormat="1" x14ac:dyDescent="0.2">
      <c r="B22" s="6" t="s">
        <v>83</v>
      </c>
      <c r="K22" s="8">
        <f t="shared" ref="K22" si="70">+K11/K4</f>
        <v>0.29382750845546785</v>
      </c>
      <c r="L22" s="8">
        <f t="shared" ref="L22:O22" si="71">+L11/L4</f>
        <v>0.31667957655564161</v>
      </c>
      <c r="M22" s="8">
        <f t="shared" si="71"/>
        <v>0.36813537675606639</v>
      </c>
      <c r="N22" s="8">
        <f t="shared" si="71"/>
        <v>0.39166827015585914</v>
      </c>
      <c r="O22" s="8">
        <f t="shared" si="71"/>
        <v>0.41383660003881234</v>
      </c>
      <c r="P22" s="8">
        <f t="shared" ref="P22:T22" si="72">+P11/P4</f>
        <v>0.42195474241694753</v>
      </c>
      <c r="Q22" s="8">
        <f t="shared" si="72"/>
        <v>0.42099192618223757</v>
      </c>
      <c r="R22" s="8">
        <f t="shared" si="72"/>
        <v>0.4346008204480909</v>
      </c>
      <c r="S22" s="8">
        <f t="shared" si="72"/>
        <v>0.41535722579146994</v>
      </c>
      <c r="T22" s="8">
        <f t="shared" si="72"/>
        <v>0.39137632628489727</v>
      </c>
      <c r="U22" s="8">
        <f>+U11/U4</f>
        <v>0.41282430434198147</v>
      </c>
      <c r="V22" s="8">
        <f>+V11/V4</f>
        <v>0.41713268937468223</v>
      </c>
      <c r="W22" s="8">
        <f>+W11/W4</f>
        <v>0.45574087778220529</v>
      </c>
      <c r="X22" s="8"/>
      <c r="Y22" s="8"/>
      <c r="Z22" s="8"/>
      <c r="AA22" s="8"/>
      <c r="AB22" s="8"/>
      <c r="AE22" s="8">
        <f>+AE11/AE4</f>
        <v>0.34846384846384848</v>
      </c>
      <c r="AF22" s="8">
        <f>+AF11/AF4</f>
        <v>0.42327195644041732</v>
      </c>
      <c r="AG22" s="8"/>
      <c r="AH22" s="8"/>
      <c r="AI22" s="8"/>
      <c r="AJ22" s="8"/>
      <c r="AK22" s="8"/>
      <c r="AL22" s="8"/>
      <c r="AM22" s="8"/>
      <c r="AN22" s="8"/>
    </row>
    <row r="23" spans="2:82" x14ac:dyDescent="0.2">
      <c r="B23" s="6" t="s">
        <v>59</v>
      </c>
      <c r="C23" s="6"/>
      <c r="D23" s="6"/>
      <c r="E23" s="6"/>
      <c r="F23" s="6"/>
      <c r="G23" s="6"/>
      <c r="H23" s="6"/>
      <c r="I23" s="6"/>
      <c r="J23" s="6"/>
      <c r="K23" s="8">
        <f t="shared" ref="K23:W23" si="73">+K14/K13</f>
        <v>9.9457504520795659E-2</v>
      </c>
      <c r="L23" s="8">
        <f t="shared" si="73"/>
        <v>0.17110853611432986</v>
      </c>
      <c r="M23" s="8">
        <f t="shared" si="73"/>
        <v>9.9944475291504714E-2</v>
      </c>
      <c r="N23" s="8">
        <f t="shared" si="73"/>
        <v>9.8815165876777245E-2</v>
      </c>
      <c r="O23" s="8">
        <f t="shared" si="73"/>
        <v>0.11425313568985176</v>
      </c>
      <c r="P23" s="8">
        <f t="shared" si="73"/>
        <v>0.11362140820355342</v>
      </c>
      <c r="Q23" s="8">
        <f t="shared" si="73"/>
        <v>0.11451826613666477</v>
      </c>
      <c r="R23" s="8">
        <f t="shared" si="73"/>
        <v>0.11347141086918039</v>
      </c>
      <c r="S23" s="8">
        <f t="shared" si="73"/>
        <v>9.8950795947901599E-2</v>
      </c>
      <c r="T23" s="8">
        <f t="shared" si="73"/>
        <v>9.9737532808398949E-2</v>
      </c>
      <c r="U23" s="8">
        <f t="shared" si="73"/>
        <v>9.9935938500960927E-2</v>
      </c>
      <c r="V23" s="8">
        <f t="shared" si="73"/>
        <v>9.9743860177791174E-2</v>
      </c>
      <c r="W23" s="8">
        <f t="shared" si="73"/>
        <v>0.10561991619423219</v>
      </c>
      <c r="X23" s="8"/>
      <c r="Y23" s="8"/>
      <c r="Z23" s="8"/>
      <c r="AA23" s="8"/>
      <c r="AB23" s="8"/>
      <c r="AE23" s="8">
        <f t="shared" ref="AE23:AF23" si="74">+AE14/AE13</f>
        <v>0.11407747762021707</v>
      </c>
      <c r="AF23" s="8">
        <f t="shared" si="74"/>
        <v>0.10994814215709596</v>
      </c>
      <c r="AG23" s="8"/>
      <c r="AH23" s="8"/>
      <c r="AI23" s="8"/>
      <c r="AJ23" s="8"/>
      <c r="AK23" s="8"/>
      <c r="AL23" s="8"/>
      <c r="AM23" s="8"/>
      <c r="AN23" s="8"/>
    </row>
    <row r="24" spans="2:82" x14ac:dyDescent="0.2">
      <c r="B24" s="6"/>
      <c r="C24" s="6"/>
      <c r="D24" s="6"/>
      <c r="E24" s="6"/>
      <c r="F24" s="6"/>
      <c r="G24" s="6"/>
      <c r="H24" s="6"/>
      <c r="I24" s="6"/>
      <c r="J24" s="6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E24" s="8"/>
      <c r="AF24" s="8"/>
      <c r="AG24" s="8"/>
      <c r="AH24" s="8"/>
      <c r="AI24" s="8"/>
      <c r="AJ24" s="8"/>
      <c r="AK24" s="8"/>
      <c r="AL24" s="8"/>
      <c r="AM24" s="8"/>
      <c r="AN24" s="8"/>
    </row>
    <row r="25" spans="2:82" x14ac:dyDescent="0.2">
      <c r="B25" s="6" t="s">
        <v>97</v>
      </c>
      <c r="K25" s="8">
        <f t="shared" ref="K25:V25" si="75">+K7/K6</f>
        <v>0.2257844474761255</v>
      </c>
      <c r="L25" s="8">
        <f t="shared" si="75"/>
        <v>0.20635872825434912</v>
      </c>
      <c r="M25" s="8">
        <f t="shared" si="75"/>
        <v>0.1720357941834452</v>
      </c>
      <c r="N25" s="8">
        <f t="shared" si="75"/>
        <v>0.16104294478527606</v>
      </c>
      <c r="O25" s="8">
        <f t="shared" si="75"/>
        <v>0.15520149953139645</v>
      </c>
      <c r="P25" s="8">
        <f t="shared" si="75"/>
        <v>0.15121773900399854</v>
      </c>
      <c r="Q25" s="8">
        <f t="shared" si="75"/>
        <v>0.15585016186218592</v>
      </c>
      <c r="R25" s="8">
        <f t="shared" si="75"/>
        <v>0.15325054784514244</v>
      </c>
      <c r="S25" s="8">
        <f t="shared" si="75"/>
        <v>0.16196246490320673</v>
      </c>
      <c r="T25" s="8">
        <f t="shared" si="75"/>
        <v>0.16588960745976838</v>
      </c>
      <c r="U25" s="8">
        <f t="shared" si="75"/>
        <v>0.14502816716887201</v>
      </c>
      <c r="V25" s="8">
        <f t="shared" si="75"/>
        <v>0.13973693737178713</v>
      </c>
      <c r="W25" s="8">
        <f>+W7/W6</f>
        <v>0.1319963163818684</v>
      </c>
      <c r="X25" s="8"/>
      <c r="Y25" s="8"/>
      <c r="Z25" s="8"/>
      <c r="AA25" s="8"/>
      <c r="AB25" s="8"/>
      <c r="AE25" s="8">
        <f t="shared" ref="AE25:AF25" si="76">+AE7/AE6</f>
        <v>0.18549398194583752</v>
      </c>
      <c r="AF25" s="8">
        <f t="shared" si="76"/>
        <v>0.1557751650326159</v>
      </c>
      <c r="AG25" s="8"/>
      <c r="AH25" s="8"/>
      <c r="AI25" s="8"/>
      <c r="AJ25" s="8"/>
      <c r="AK25" s="8"/>
      <c r="AL25" s="8"/>
      <c r="AM25" s="8"/>
      <c r="AN25" s="8"/>
    </row>
    <row r="26" spans="2:82" x14ac:dyDescent="0.2">
      <c r="V26" s="2"/>
      <c r="W26" s="2"/>
      <c r="X26" s="2"/>
      <c r="Y26" s="2"/>
      <c r="Z26" s="2"/>
      <c r="AA26" s="2"/>
      <c r="AB26" s="2"/>
      <c r="AR26" s="8"/>
    </row>
    <row r="27" spans="2:82" x14ac:dyDescent="0.2">
      <c r="B27" s="6" t="s">
        <v>84</v>
      </c>
      <c r="K27" s="8">
        <f t="shared" ref="K27:W27" si="77">+K4/G4-1</f>
        <v>-0.16113015722898683</v>
      </c>
      <c r="L27" s="8">
        <f t="shared" si="77"/>
        <v>-1.3625366102126613E-2</v>
      </c>
      <c r="M27" s="8">
        <f t="shared" si="77"/>
        <v>0.10723544661795903</v>
      </c>
      <c r="N27" s="8">
        <f t="shared" si="77"/>
        <v>0.10597999574377526</v>
      </c>
      <c r="O27" s="8">
        <f t="shared" si="77"/>
        <v>0.45236753100338212</v>
      </c>
      <c r="P27" s="8">
        <f t="shared" si="77"/>
        <v>0.3406919700490576</v>
      </c>
      <c r="Q27" s="8">
        <f t="shared" si="77"/>
        <v>0.29182630906768847</v>
      </c>
      <c r="R27" s="8">
        <f t="shared" si="77"/>
        <v>0.21954974023475082</v>
      </c>
      <c r="S27" s="8">
        <f t="shared" si="77"/>
        <v>0.25354162623714349</v>
      </c>
      <c r="T27" s="8">
        <f t="shared" si="77"/>
        <v>0.27963408762638431</v>
      </c>
      <c r="U27" s="8">
        <f t="shared" si="77"/>
        <v>0.22573735376503534</v>
      </c>
      <c r="V27" s="8">
        <f t="shared" si="77"/>
        <v>0.24140107289365731</v>
      </c>
      <c r="W27" s="8">
        <f t="shared" si="77"/>
        <v>0.35978016874371077</v>
      </c>
      <c r="X27" s="8"/>
      <c r="Y27" s="8"/>
      <c r="Z27" s="8"/>
      <c r="AA27" s="8"/>
      <c r="AB27" s="8"/>
      <c r="AE27" s="8">
        <f t="shared" ref="AE27:AF27" si="78">+AE4/AD4-1</f>
        <v>1.2750029243186356E-2</v>
      </c>
      <c r="AF27" s="8">
        <f t="shared" si="78"/>
        <v>0.38940863940863935</v>
      </c>
      <c r="AG27" s="8"/>
      <c r="AH27" s="8"/>
      <c r="AI27" s="8"/>
      <c r="AJ27" s="8"/>
      <c r="AK27" s="8"/>
      <c r="AL27" s="8"/>
      <c r="AM27" s="8"/>
      <c r="AN27" s="8"/>
      <c r="AR27" s="9"/>
    </row>
    <row r="28" spans="2:82" x14ac:dyDescent="0.2">
      <c r="B28" s="6" t="s">
        <v>85</v>
      </c>
      <c r="K28" s="8">
        <f t="shared" ref="K28:W28" si="79">+K17/G17-1</f>
        <v>-0.34611288604898827</v>
      </c>
      <c r="L28" s="8">
        <f t="shared" si="79"/>
        <v>0.13773796192609189</v>
      </c>
      <c r="M28" s="8">
        <f t="shared" si="79"/>
        <v>3.5631804684922441E-2</v>
      </c>
      <c r="N28" s="8">
        <f t="shared" si="79"/>
        <v>5.2699644358228159E-2</v>
      </c>
      <c r="O28" s="8">
        <f t="shared" si="79"/>
        <v>1.0618892508143323</v>
      </c>
      <c r="P28" s="8">
        <f t="shared" si="79"/>
        <v>0.79478346456692917</v>
      </c>
      <c r="Q28" s="8">
        <f t="shared" si="79"/>
        <v>0.43198470850589366</v>
      </c>
      <c r="R28" s="8">
        <f t="shared" si="79"/>
        <v>0.37008599508599516</v>
      </c>
      <c r="S28" s="8">
        <f t="shared" si="79"/>
        <v>0.25566087414428651</v>
      </c>
      <c r="T28" s="8">
        <f t="shared" si="79"/>
        <v>0.21798738689333708</v>
      </c>
      <c r="U28" s="8">
        <f t="shared" si="79"/>
        <v>0.24649610678531708</v>
      </c>
      <c r="V28" s="8">
        <f t="shared" si="79"/>
        <v>0.31898677426585964</v>
      </c>
      <c r="W28" s="8">
        <f t="shared" si="79"/>
        <v>0.6384986370308241</v>
      </c>
      <c r="X28" s="8"/>
      <c r="Y28" s="8"/>
      <c r="Z28" s="8"/>
      <c r="AA28" s="8"/>
      <c r="AB28" s="8"/>
      <c r="AE28" s="8">
        <f t="shared" ref="AE28:AF28" si="80">+AE17/AD17-1</f>
        <v>-4.2696000745781726E-2</v>
      </c>
      <c r="AF28" s="8">
        <f t="shared" si="80"/>
        <v>0.69169344629467333</v>
      </c>
      <c r="AG28" s="8"/>
      <c r="AH28" s="8"/>
      <c r="AI28" s="8"/>
      <c r="AJ28" s="8"/>
      <c r="AK28" s="8"/>
      <c r="AL28" s="8"/>
      <c r="AM28" s="8"/>
      <c r="AN28" s="8"/>
      <c r="AR28" s="2"/>
    </row>
    <row r="29" spans="2:82" x14ac:dyDescent="0.2">
      <c r="B29" s="6" t="s">
        <v>86</v>
      </c>
      <c r="K29" s="8">
        <f t="shared" ref="K29:W29" si="81">+K19/G19-1</f>
        <v>-0.35593220338983045</v>
      </c>
      <c r="L29" s="8">
        <f t="shared" si="81"/>
        <v>-0.12765957446808507</v>
      </c>
      <c r="M29" s="8">
        <f t="shared" si="81"/>
        <v>0.10714285714285698</v>
      </c>
      <c r="N29" s="8">
        <f t="shared" si="81"/>
        <v>0.92105263157894735</v>
      </c>
      <c r="O29" s="8">
        <f t="shared" si="81"/>
        <v>0.97368421052631571</v>
      </c>
      <c r="P29" s="8">
        <f t="shared" si="81"/>
        <v>0.90243902439024404</v>
      </c>
      <c r="Q29" s="8">
        <f t="shared" si="81"/>
        <v>0.45161290322580649</v>
      </c>
      <c r="R29" s="8">
        <f t="shared" si="81"/>
        <v>0.32876712328767121</v>
      </c>
      <c r="S29" s="8">
        <f t="shared" si="81"/>
        <v>0.28000000000000003</v>
      </c>
      <c r="T29" s="8">
        <f t="shared" si="81"/>
        <v>0.19230769230769229</v>
      </c>
      <c r="U29" s="8">
        <f t="shared" si="81"/>
        <v>0.19999999999999996</v>
      </c>
      <c r="V29" s="8">
        <f t="shared" si="81"/>
        <v>0.18556701030927836</v>
      </c>
      <c r="W29" s="8">
        <f t="shared" si="81"/>
        <v>0.45833333333333326</v>
      </c>
      <c r="X29" s="8"/>
      <c r="Y29" s="8"/>
      <c r="Z29" s="8"/>
      <c r="AA29" s="8"/>
      <c r="AB29" s="8"/>
      <c r="AE29" s="8">
        <f>+AE19/AD19-1</f>
        <v>7.0000000000000062E-2</v>
      </c>
      <c r="AF29" s="8">
        <f>+AF19/AE19-1</f>
        <v>0.58878504672897214</v>
      </c>
      <c r="AG29" s="8"/>
      <c r="AH29" s="8"/>
      <c r="AI29" s="8"/>
      <c r="AJ29" s="8"/>
      <c r="AK29" s="8"/>
      <c r="AL29" s="8"/>
      <c r="AM29" s="8"/>
      <c r="AN29" s="8"/>
      <c r="AR29" s="2"/>
    </row>
    <row r="30" spans="2:82" ht="15" x14ac:dyDescent="0.25">
      <c r="B30" s="6" t="s">
        <v>87</v>
      </c>
      <c r="K30" s="8">
        <f t="shared" ref="K30:W31" si="82">+K7/G7-1</f>
        <v>-5.0215208034433245E-2</v>
      </c>
      <c r="L30" s="8">
        <f t="shared" si="82"/>
        <v>2.6865671641790989E-2</v>
      </c>
      <c r="M30" s="8">
        <f t="shared" si="82"/>
        <v>7.8541374474053294E-2</v>
      </c>
      <c r="N30" s="8">
        <f t="shared" si="82"/>
        <v>9.375E-2</v>
      </c>
      <c r="O30" s="8">
        <f t="shared" si="82"/>
        <v>0.25075528700906347</v>
      </c>
      <c r="P30" s="8">
        <f t="shared" si="82"/>
        <v>0.20930232558139528</v>
      </c>
      <c r="Q30" s="8">
        <f t="shared" si="82"/>
        <v>0.31469440832249673</v>
      </c>
      <c r="R30" s="8">
        <f t="shared" si="82"/>
        <v>0.24880952380952381</v>
      </c>
      <c r="S30" s="8">
        <f t="shared" si="82"/>
        <v>0.32367149758454117</v>
      </c>
      <c r="T30" s="8">
        <f t="shared" si="82"/>
        <v>0.32572115384615374</v>
      </c>
      <c r="U30" s="8">
        <f t="shared" si="82"/>
        <v>9.4955489614243271E-2</v>
      </c>
      <c r="V30" s="8">
        <f t="shared" si="82"/>
        <v>0.10390848427073407</v>
      </c>
      <c r="W30" s="8">
        <f t="shared" si="82"/>
        <v>0.17700729927007308</v>
      </c>
      <c r="X30" s="8"/>
      <c r="Y30" s="8"/>
      <c r="Z30" s="8"/>
      <c r="AA30" s="8"/>
      <c r="AB30" s="8"/>
      <c r="AE30" s="8">
        <f t="shared" ref="AE30:AF30" si="83">+AE7/AD7-1</f>
        <v>3.89747191011236E-2</v>
      </c>
      <c r="AF30" s="8">
        <f t="shared" si="83"/>
        <v>0.34775261912808375</v>
      </c>
      <c r="AG30" s="8"/>
      <c r="AH30" s="8"/>
      <c r="AI30" s="8"/>
      <c r="AJ30" s="8"/>
      <c r="AK30" s="8"/>
      <c r="AL30" s="8"/>
      <c r="AM30" s="8"/>
      <c r="AN30" s="8"/>
      <c r="AQ30" s="3"/>
      <c r="AR30" s="2"/>
    </row>
    <row r="31" spans="2:82" x14ac:dyDescent="0.2">
      <c r="B31" s="6" t="s">
        <v>88</v>
      </c>
      <c r="K31" s="8">
        <f t="shared" si="82"/>
        <v>-0.15348837209302324</v>
      </c>
      <c r="L31" s="8">
        <f t="shared" si="82"/>
        <v>-0.15909090909090906</v>
      </c>
      <c r="M31" s="8">
        <f t="shared" si="82"/>
        <v>0.16176470588235303</v>
      </c>
      <c r="N31" s="8">
        <f t="shared" si="82"/>
        <v>0.31465517241379315</v>
      </c>
      <c r="O31" s="8">
        <f t="shared" si="82"/>
        <v>0.34065934065934056</v>
      </c>
      <c r="P31" s="8">
        <f t="shared" si="82"/>
        <v>0.55675675675675684</v>
      </c>
      <c r="Q31" s="8">
        <f t="shared" si="82"/>
        <v>0.60759493670886067</v>
      </c>
      <c r="R31" s="8">
        <f t="shared" si="82"/>
        <v>-3.6065573770491799E-2</v>
      </c>
      <c r="S31" s="8">
        <f t="shared" si="82"/>
        <v>0.22131147540983598</v>
      </c>
      <c r="T31" s="8">
        <f t="shared" si="82"/>
        <v>0.20486111111111116</v>
      </c>
      <c r="U31" s="8">
        <f t="shared" si="82"/>
        <v>1.5748031496062964E-2</v>
      </c>
      <c r="V31" s="8">
        <f t="shared" si="82"/>
        <v>0.90816326530612246</v>
      </c>
      <c r="W31" s="8">
        <f t="shared" si="82"/>
        <v>0.50671140939597326</v>
      </c>
      <c r="X31" s="8"/>
      <c r="Y31" s="8"/>
      <c r="Z31" s="8"/>
      <c r="AA31" s="8"/>
      <c r="AB31" s="8"/>
      <c r="AE31" s="8">
        <f t="shared" ref="AE31:AF31" si="84">+AE8/AD8-1</f>
        <v>4.3628013777267549E-2</v>
      </c>
      <c r="AF31" s="8">
        <f t="shared" si="84"/>
        <v>0.38723872387238734</v>
      </c>
      <c r="AG31" s="8"/>
      <c r="AH31" s="8"/>
      <c r="AI31" s="8"/>
      <c r="AJ31" s="8"/>
      <c r="AK31" s="8"/>
      <c r="AL31" s="8"/>
      <c r="AM31" s="8"/>
      <c r="AN31" s="8"/>
      <c r="AR31" s="6"/>
    </row>
    <row r="32" spans="2:82" x14ac:dyDescent="0.2">
      <c r="B32" s="6" t="s">
        <v>121</v>
      </c>
      <c r="K32" s="8">
        <f t="shared" ref="K32:W32" si="85">+K5/G5-1</f>
        <v>-8.8074268031420599E-3</v>
      </c>
      <c r="L32" s="8">
        <f t="shared" si="85"/>
        <v>7.6360087826299106E-2</v>
      </c>
      <c r="M32" s="8">
        <f t="shared" si="85"/>
        <v>0.10324748040313558</v>
      </c>
      <c r="N32" s="8">
        <f t="shared" si="85"/>
        <v>5.2652978247611282E-2</v>
      </c>
      <c r="O32" s="8">
        <f t="shared" si="85"/>
        <v>0.19380403458213258</v>
      </c>
      <c r="P32" s="8">
        <f t="shared" si="85"/>
        <v>0.10675430643699002</v>
      </c>
      <c r="Q32" s="8">
        <f t="shared" si="85"/>
        <v>0.1471782379212343</v>
      </c>
      <c r="R32" s="8">
        <f t="shared" si="85"/>
        <v>0.12611046736191578</v>
      </c>
      <c r="S32" s="8">
        <f t="shared" si="85"/>
        <v>0.23757795212230937</v>
      </c>
      <c r="T32" s="8">
        <f t="shared" si="85"/>
        <v>0.35981978292033578</v>
      </c>
      <c r="U32" s="8">
        <f t="shared" si="85"/>
        <v>0.28207396920898953</v>
      </c>
      <c r="V32" s="8">
        <f t="shared" si="85"/>
        <v>0.27748242154004465</v>
      </c>
      <c r="W32" s="8">
        <f t="shared" si="85"/>
        <v>0.26690507152145648</v>
      </c>
      <c r="X32" s="8"/>
      <c r="Y32" s="8"/>
      <c r="Z32" s="8"/>
      <c r="AA32" s="8"/>
      <c r="AB32" s="8"/>
      <c r="AE32" s="8">
        <f t="shared" ref="AE32:AF32" si="86">+AE5/AD5-1</f>
        <v>5.6322099072608101E-2</v>
      </c>
      <c r="AF32" s="8">
        <f t="shared" si="86"/>
        <v>0.20540685224839406</v>
      </c>
      <c r="AG32" s="8"/>
      <c r="AH32" s="8"/>
      <c r="AI32" s="8"/>
      <c r="AJ32" s="8"/>
      <c r="AK32" s="8"/>
      <c r="AL32" s="8"/>
      <c r="AM32" s="8"/>
      <c r="AN32" s="8"/>
    </row>
    <row r="33" spans="2:44" x14ac:dyDescent="0.2">
      <c r="AR33" s="8"/>
    </row>
    <row r="35" spans="2:44" s="3" customFormat="1" ht="15" x14ac:dyDescent="0.25">
      <c r="B35" s="3" t="s">
        <v>36</v>
      </c>
      <c r="R35" s="4">
        <f>+R36-R44</f>
        <v>26004</v>
      </c>
      <c r="S35" s="4">
        <f t="shared" ref="S35:U35" si="87">+S36-S44</f>
        <v>24160</v>
      </c>
      <c r="T35" s="4">
        <f t="shared" si="87"/>
        <v>27269</v>
      </c>
      <c r="U35" s="4">
        <f t="shared" si="87"/>
        <v>31751</v>
      </c>
      <c r="V35" s="4">
        <f t="shared" ref="V35:W35" si="88">+V36-V44</f>
        <v>39689</v>
      </c>
      <c r="W35" s="4">
        <f t="shared" si="88"/>
        <v>40788</v>
      </c>
      <c r="X35" s="4"/>
      <c r="Y35" s="4"/>
      <c r="Z35" s="4"/>
      <c r="AA35" s="4"/>
      <c r="AB35" s="4"/>
    </row>
    <row r="36" spans="2:44" x14ac:dyDescent="0.2">
      <c r="B36" s="1" t="s">
        <v>34</v>
      </c>
      <c r="R36" s="2">
        <f>23496+4673+987</f>
        <v>29156</v>
      </c>
      <c r="S36" s="2">
        <f>23318+4630+1022</f>
        <v>28970</v>
      </c>
      <c r="T36" s="2">
        <f>26820+4405+1042</f>
        <v>32267</v>
      </c>
      <c r="U36" s="2">
        <f>30642+4379+995</f>
        <v>36016</v>
      </c>
      <c r="V36" s="2">
        <f>38484+4461+1062</f>
        <v>44007</v>
      </c>
      <c r="W36" s="2">
        <f>40268+4562+1600</f>
        <v>46430</v>
      </c>
      <c r="X36" s="2"/>
      <c r="Y36" s="2"/>
      <c r="Z36" s="2"/>
      <c r="AA36" s="2"/>
      <c r="AB36" s="2"/>
    </row>
    <row r="37" spans="2:44" x14ac:dyDescent="0.2">
      <c r="B37" s="1" t="s">
        <v>44</v>
      </c>
      <c r="R37" s="2">
        <v>5198</v>
      </c>
      <c r="S37" s="2">
        <v>5875</v>
      </c>
      <c r="T37" s="2">
        <v>6392</v>
      </c>
      <c r="U37" s="2">
        <v>6717</v>
      </c>
      <c r="V37" s="2">
        <v>7166</v>
      </c>
      <c r="W37" s="2">
        <v>7463</v>
      </c>
      <c r="X37" s="2"/>
      <c r="Y37" s="2"/>
      <c r="Z37" s="2"/>
      <c r="AA37" s="2"/>
      <c r="AB37" s="2"/>
    </row>
    <row r="38" spans="2:44" x14ac:dyDescent="0.2">
      <c r="B38" s="1" t="s">
        <v>45</v>
      </c>
      <c r="R38" s="2">
        <v>4889</v>
      </c>
      <c r="S38" s="2">
        <v>5422</v>
      </c>
      <c r="T38" s="2">
        <v>6111</v>
      </c>
      <c r="U38" s="2">
        <v>6540</v>
      </c>
      <c r="V38" s="2">
        <v>6978</v>
      </c>
      <c r="W38" s="2">
        <v>6998</v>
      </c>
      <c r="X38" s="2"/>
      <c r="Y38" s="2"/>
      <c r="Z38" s="2"/>
      <c r="AA38" s="2"/>
      <c r="AB38" s="2"/>
    </row>
    <row r="39" spans="2:44" x14ac:dyDescent="0.2">
      <c r="B39" s="1" t="s">
        <v>46</v>
      </c>
      <c r="R39" s="2">
        <v>616</v>
      </c>
      <c r="S39" s="2">
        <v>738</v>
      </c>
      <c r="T39" s="2">
        <v>773</v>
      </c>
      <c r="U39" s="2">
        <v>912</v>
      </c>
      <c r="V39" s="2">
        <v>983</v>
      </c>
      <c r="W39" s="2">
        <v>931</v>
      </c>
      <c r="X39" s="2"/>
      <c r="Y39" s="2"/>
      <c r="Z39" s="2"/>
      <c r="AA39" s="2"/>
      <c r="AB39" s="2"/>
    </row>
    <row r="40" spans="2:44" x14ac:dyDescent="0.2">
      <c r="B40" s="1" t="s">
        <v>47</v>
      </c>
      <c r="R40" s="2">
        <v>55365</v>
      </c>
      <c r="S40" s="2">
        <v>58181</v>
      </c>
      <c r="T40" s="2">
        <v>61769</v>
      </c>
      <c r="U40" s="2">
        <v>65637</v>
      </c>
      <c r="V40" s="2">
        <v>71371</v>
      </c>
      <c r="W40" s="2">
        <v>73583</v>
      </c>
      <c r="X40" s="2"/>
      <c r="Y40" s="2"/>
      <c r="Z40" s="2"/>
      <c r="AA40" s="2"/>
      <c r="AB40" s="2"/>
    </row>
    <row r="41" spans="2:44" x14ac:dyDescent="0.2">
      <c r="B41" s="1" t="s">
        <v>48</v>
      </c>
      <c r="R41" s="2">
        <v>3032</v>
      </c>
      <c r="S41" s="2">
        <v>3215</v>
      </c>
      <c r="T41" s="2">
        <v>3585</v>
      </c>
      <c r="U41" s="2">
        <v>3770</v>
      </c>
      <c r="V41" s="2">
        <v>4116</v>
      </c>
      <c r="W41" s="2">
        <v>4209</v>
      </c>
      <c r="X41" s="2"/>
      <c r="Y41" s="2"/>
      <c r="Z41" s="2"/>
      <c r="AA41" s="2"/>
      <c r="AB41" s="2"/>
    </row>
    <row r="42" spans="2:44" x14ac:dyDescent="0.2">
      <c r="B42" s="1" t="s">
        <v>49</v>
      </c>
      <c r="R42" s="2">
        <f t="shared" ref="R42:W42" si="89">+SUM(R36:R41)</f>
        <v>98256</v>
      </c>
      <c r="S42" s="2">
        <f t="shared" si="89"/>
        <v>102401</v>
      </c>
      <c r="T42" s="2">
        <f t="shared" si="89"/>
        <v>110897</v>
      </c>
      <c r="U42" s="2">
        <f t="shared" si="89"/>
        <v>119592</v>
      </c>
      <c r="V42" s="2">
        <f t="shared" si="89"/>
        <v>134621</v>
      </c>
      <c r="W42" s="2">
        <f t="shared" si="89"/>
        <v>139614</v>
      </c>
      <c r="X42" s="2"/>
      <c r="Y42" s="2"/>
      <c r="Z42" s="2"/>
      <c r="AA42" s="2"/>
      <c r="AB42" s="2"/>
    </row>
    <row r="43" spans="2:44" x14ac:dyDescent="0.2">
      <c r="S43" s="2"/>
      <c r="T43" s="2"/>
      <c r="V43" s="2"/>
      <c r="W43" s="2"/>
      <c r="X43" s="2"/>
      <c r="Y43" s="2"/>
      <c r="Z43" s="2"/>
      <c r="AA43" s="2"/>
      <c r="AB43" s="2"/>
    </row>
    <row r="44" spans="2:44" x14ac:dyDescent="0.2">
      <c r="B44" s="1" t="s">
        <v>35</v>
      </c>
      <c r="R44" s="2">
        <v>3152</v>
      </c>
      <c r="S44" s="2">
        <v>4810</v>
      </c>
      <c r="T44" s="2">
        <v>4998</v>
      </c>
      <c r="U44" s="2">
        <v>4265</v>
      </c>
      <c r="V44" s="2">
        <f>4153+165</f>
        <v>4318</v>
      </c>
      <c r="W44" s="2">
        <f>5055+587</f>
        <v>5642</v>
      </c>
      <c r="X44" s="2"/>
      <c r="Y44" s="2"/>
      <c r="Z44" s="2"/>
      <c r="AA44" s="2"/>
      <c r="AB44" s="2"/>
    </row>
    <row r="45" spans="2:44" x14ac:dyDescent="0.2">
      <c r="B45" s="1" t="s">
        <v>50</v>
      </c>
      <c r="R45" s="2">
        <v>1463</v>
      </c>
      <c r="S45" s="2">
        <v>1354</v>
      </c>
      <c r="T45" s="2">
        <v>1478</v>
      </c>
      <c r="U45" s="2">
        <v>1575</v>
      </c>
      <c r="V45" s="2">
        <v>1761</v>
      </c>
      <c r="W45" s="2">
        <v>1752</v>
      </c>
      <c r="X45" s="2"/>
      <c r="Y45" s="2"/>
      <c r="Z45" s="2"/>
      <c r="AA45" s="2"/>
      <c r="AB45" s="2"/>
    </row>
    <row r="46" spans="2:44" x14ac:dyDescent="0.2">
      <c r="B46" s="1" t="s">
        <v>51</v>
      </c>
      <c r="R46" s="2">
        <v>5616</v>
      </c>
      <c r="S46" s="2">
        <v>3825</v>
      </c>
      <c r="T46" s="2">
        <v>3842</v>
      </c>
      <c r="U46" s="2">
        <v>4607</v>
      </c>
      <c r="V46" s="2">
        <v>5266</v>
      </c>
      <c r="W46" s="2">
        <v>4298</v>
      </c>
      <c r="X46" s="2"/>
      <c r="Y46" s="2"/>
      <c r="Z46" s="2"/>
      <c r="AA46" s="2"/>
      <c r="AB46" s="2"/>
    </row>
    <row r="47" spans="2:44" x14ac:dyDescent="0.2">
      <c r="B47" s="1" t="s">
        <v>52</v>
      </c>
      <c r="R47" s="2">
        <v>4614</v>
      </c>
      <c r="S47" s="2">
        <v>4548</v>
      </c>
      <c r="T47" s="2">
        <v>4881</v>
      </c>
      <c r="U47" s="2">
        <v>5118</v>
      </c>
      <c r="V47" s="2">
        <v>5153</v>
      </c>
      <c r="W47" s="2">
        <v>4987</v>
      </c>
      <c r="X47" s="2"/>
      <c r="Y47" s="2"/>
      <c r="Z47" s="2"/>
      <c r="AA47" s="2"/>
      <c r="AB47" s="2"/>
    </row>
    <row r="48" spans="2:44" x14ac:dyDescent="0.2">
      <c r="B48" s="1" t="s">
        <v>53</v>
      </c>
      <c r="R48" s="2">
        <v>7027</v>
      </c>
      <c r="S48" s="2">
        <v>8673</v>
      </c>
      <c r="T48" s="2">
        <v>8027</v>
      </c>
      <c r="U48" s="2">
        <v>7964</v>
      </c>
      <c r="V48" s="2">
        <v>10224</v>
      </c>
      <c r="W48" s="2">
        <v>12095</v>
      </c>
      <c r="X48" s="2"/>
      <c r="Y48" s="2"/>
      <c r="Z48" s="2"/>
      <c r="AA48" s="2"/>
      <c r="AB48" s="2"/>
    </row>
    <row r="49" spans="2:28" x14ac:dyDescent="0.2">
      <c r="B49" s="1" t="s">
        <v>54</v>
      </c>
      <c r="R49" s="2">
        <f>93+9044</f>
        <v>9137</v>
      </c>
      <c r="S49" s="2">
        <v>9711</v>
      </c>
      <c r="T49" s="2">
        <v>14717</v>
      </c>
      <c r="U49" s="2">
        <v>16499</v>
      </c>
      <c r="V49" s="2">
        <v>22045</v>
      </c>
      <c r="W49" s="2">
        <v>22017</v>
      </c>
      <c r="X49" s="2"/>
      <c r="Y49" s="2"/>
      <c r="Z49" s="2"/>
      <c r="AA49" s="2"/>
      <c r="AB49" s="2"/>
    </row>
    <row r="50" spans="2:28" x14ac:dyDescent="0.2">
      <c r="B50" s="1" t="s">
        <v>55</v>
      </c>
      <c r="R50" s="2">
        <v>1382</v>
      </c>
      <c r="S50" s="2">
        <v>1391</v>
      </c>
      <c r="T50" s="2">
        <v>1457</v>
      </c>
      <c r="U50" s="2">
        <v>4976</v>
      </c>
      <c r="V50" s="2">
        <v>7415</v>
      </c>
      <c r="W50" s="2">
        <v>7647</v>
      </c>
      <c r="X50" s="2"/>
      <c r="Y50" s="2"/>
      <c r="Z50" s="2"/>
      <c r="AA50" s="2"/>
      <c r="AB50" s="2"/>
    </row>
    <row r="51" spans="2:28" x14ac:dyDescent="0.2">
      <c r="B51" s="1" t="s">
        <v>56</v>
      </c>
      <c r="R51" s="2">
        <f t="shared" ref="R51:W51" si="90">+SUM(R44:R50)</f>
        <v>32391</v>
      </c>
      <c r="S51" s="2">
        <f t="shared" si="90"/>
        <v>34312</v>
      </c>
      <c r="T51" s="2">
        <f t="shared" si="90"/>
        <v>39400</v>
      </c>
      <c r="U51" s="2">
        <f t="shared" si="90"/>
        <v>45004</v>
      </c>
      <c r="V51" s="2">
        <f t="shared" si="90"/>
        <v>56182</v>
      </c>
      <c r="W51" s="2">
        <f t="shared" si="90"/>
        <v>58438</v>
      </c>
      <c r="X51" s="2"/>
      <c r="Y51" s="2"/>
      <c r="Z51" s="2"/>
      <c r="AA51" s="2"/>
      <c r="AB51" s="2"/>
    </row>
    <row r="52" spans="2:28" x14ac:dyDescent="0.2">
      <c r="B52" s="1" t="s">
        <v>122</v>
      </c>
      <c r="R52" s="2">
        <f t="shared" ref="R52:U52" si="91">+R42-R51</f>
        <v>65865</v>
      </c>
      <c r="S52" s="2">
        <f t="shared" si="91"/>
        <v>68089</v>
      </c>
      <c r="T52" s="2">
        <f t="shared" si="91"/>
        <v>71497</v>
      </c>
      <c r="U52" s="2">
        <f t="shared" si="91"/>
        <v>74588</v>
      </c>
      <c r="V52" s="2">
        <f>+V42-V51</f>
        <v>78439</v>
      </c>
      <c r="W52" s="2">
        <f>+W42-W51</f>
        <v>81176</v>
      </c>
      <c r="X52" s="2"/>
      <c r="Y52" s="2"/>
      <c r="Z52" s="2"/>
      <c r="AA52" s="2"/>
      <c r="AB52" s="2"/>
    </row>
    <row r="53" spans="2:28" x14ac:dyDescent="0.2">
      <c r="B53" s="1" t="s">
        <v>57</v>
      </c>
      <c r="R53" s="2">
        <f>+R51+65865</f>
        <v>98256</v>
      </c>
      <c r="S53" s="2">
        <f>+S51+68089</f>
        <v>102401</v>
      </c>
      <c r="T53" s="2">
        <f>+T51+71497</f>
        <v>110897</v>
      </c>
      <c r="U53" s="2">
        <f>+U51+74588</f>
        <v>119592</v>
      </c>
      <c r="V53" s="2">
        <f>+SUM(V51:V52)</f>
        <v>134621</v>
      </c>
      <c r="W53" s="2">
        <f>+SUM(W51:W52)</f>
        <v>139614</v>
      </c>
      <c r="X53" s="2"/>
      <c r="Y53" s="2"/>
      <c r="Z53" s="2"/>
      <c r="AA53" s="2"/>
      <c r="AB53" s="2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2021-12-05T20:05:53Z</dcterms:created>
  <dcterms:modified xsi:type="dcterms:W3CDTF">2022-05-14T13:57:21Z</dcterms:modified>
</cp:coreProperties>
</file>