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3DD16855-B721-4916-90F0-23BE46F80D98}" xr6:coauthVersionLast="47" xr6:coauthVersionMax="47" xr10:uidLastSave="{00000000-0000-0000-0000-000000000000}"/>
  <bookViews>
    <workbookView xWindow="-120" yWindow="-120" windowWidth="29040" windowHeight="16440" activeTab="1" xr2:uid="{96F3E46B-633B-4CE8-A659-872462EFA1EF}"/>
  </bookViews>
  <sheets>
    <sheet name="Main" sheetId="1" r:id="rId1"/>
    <sheet name="Model" sheetId="2" r:id="rId2"/>
    <sheet name="S&amp;M Regressed on MAPC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1" i="2" l="1"/>
  <c r="I81" i="2"/>
  <c r="H81" i="2"/>
  <c r="G81" i="2"/>
  <c r="F81" i="2"/>
  <c r="C50" i="4" l="1"/>
  <c r="C49" i="4"/>
  <c r="J35" i="4"/>
  <c r="C11" i="4" a="1"/>
  <c r="C11" i="4"/>
  <c r="C23" i="4"/>
  <c r="C24" i="4"/>
  <c r="D24" i="4"/>
  <c r="D25" i="4" s="1"/>
  <c r="C25" i="4"/>
  <c r="C27" i="4"/>
  <c r="C28" i="4" s="1"/>
  <c r="D28" i="4" s="1"/>
  <c r="C32" i="4"/>
  <c r="C40" i="4"/>
  <c r="E42" i="4"/>
  <c r="F42" i="4"/>
  <c r="E43" i="4"/>
  <c r="C29" i="4" s="1"/>
  <c r="C44" i="4"/>
  <c r="B53" i="4"/>
  <c r="B54" i="4" s="1"/>
  <c r="B55" i="4" s="1"/>
  <c r="B56" i="4" s="1"/>
  <c r="B57" i="4" s="1"/>
  <c r="B58" i="4" s="1"/>
  <c r="B59" i="4" s="1"/>
  <c r="K50" i="2"/>
  <c r="K3" i="2"/>
  <c r="J21" i="2"/>
  <c r="J10" i="2" s="1"/>
  <c r="J51" i="2"/>
  <c r="J50" i="2"/>
  <c r="I52" i="2"/>
  <c r="H52" i="2"/>
  <c r="G52" i="2"/>
  <c r="I51" i="2"/>
  <c r="H51" i="2"/>
  <c r="G51" i="2"/>
  <c r="I50" i="2"/>
  <c r="H50" i="2"/>
  <c r="G50" i="2"/>
  <c r="J52" i="2"/>
  <c r="C21" i="2"/>
  <c r="C10" i="2" s="1"/>
  <c r="D21" i="2"/>
  <c r="D10" i="2" s="1"/>
  <c r="G21" i="2"/>
  <c r="G10" i="2" s="1"/>
  <c r="G31" i="2"/>
  <c r="C31" i="2"/>
  <c r="I13" i="2"/>
  <c r="H13" i="2"/>
  <c r="G13" i="2"/>
  <c r="J13" i="2"/>
  <c r="J12" i="2"/>
  <c r="I12" i="2"/>
  <c r="H12" i="2"/>
  <c r="G12" i="2"/>
  <c r="R4" i="2"/>
  <c r="Q4" i="2"/>
  <c r="Q3" i="2"/>
  <c r="R3" i="2"/>
  <c r="H21" i="2"/>
  <c r="H10" i="2" s="1"/>
  <c r="E21" i="2"/>
  <c r="E10" i="2" s="1"/>
  <c r="I21" i="2"/>
  <c r="I10" i="2" s="1"/>
  <c r="F5" i="2"/>
  <c r="Q5" i="2" s="1"/>
  <c r="J5" i="2"/>
  <c r="R5" i="2" s="1"/>
  <c r="F21" i="2"/>
  <c r="F10" i="2" s="1"/>
  <c r="Q21" i="2"/>
  <c r="Q48" i="2" s="1"/>
  <c r="R21" i="2"/>
  <c r="C128" i="2"/>
  <c r="C118" i="2"/>
  <c r="C106" i="2"/>
  <c r="G128" i="2"/>
  <c r="G118" i="2"/>
  <c r="G106" i="2"/>
  <c r="C29" i="2"/>
  <c r="C24" i="2"/>
  <c r="G29" i="2"/>
  <c r="G24" i="2"/>
  <c r="G57" i="2"/>
  <c r="G56" i="2" s="1"/>
  <c r="G64" i="2"/>
  <c r="G77" i="2"/>
  <c r="D128" i="2"/>
  <c r="D118" i="2"/>
  <c r="H106" i="2"/>
  <c r="D106" i="2"/>
  <c r="H128" i="2"/>
  <c r="H118" i="2"/>
  <c r="D31" i="2"/>
  <c r="D29" i="2"/>
  <c r="D24" i="2"/>
  <c r="H31" i="2"/>
  <c r="H29" i="2"/>
  <c r="H24" i="2"/>
  <c r="H64" i="2"/>
  <c r="H57" i="2"/>
  <c r="H56" i="2" s="1"/>
  <c r="H77" i="2"/>
  <c r="E128" i="2"/>
  <c r="E118" i="2"/>
  <c r="E106" i="2"/>
  <c r="I128" i="2"/>
  <c r="I118" i="2"/>
  <c r="I106" i="2"/>
  <c r="E31" i="2"/>
  <c r="E29" i="2"/>
  <c r="E24" i="2"/>
  <c r="I31" i="2"/>
  <c r="I29" i="2"/>
  <c r="I24" i="2"/>
  <c r="I64" i="2"/>
  <c r="I57" i="2"/>
  <c r="I56" i="2" s="1"/>
  <c r="I77" i="2"/>
  <c r="J128" i="2"/>
  <c r="F128" i="2"/>
  <c r="J118" i="2"/>
  <c r="F118" i="2"/>
  <c r="J106" i="2"/>
  <c r="F106" i="2"/>
  <c r="F77" i="2"/>
  <c r="J77" i="2"/>
  <c r="J64" i="2"/>
  <c r="J57" i="2"/>
  <c r="J56" i="2" s="1"/>
  <c r="F64" i="2"/>
  <c r="F57" i="2"/>
  <c r="F56" i="2" s="1"/>
  <c r="J31" i="2"/>
  <c r="F31" i="2"/>
  <c r="F29" i="2"/>
  <c r="F24" i="2"/>
  <c r="J24" i="2"/>
  <c r="J29" i="2"/>
  <c r="R31" i="2"/>
  <c r="Q31" i="2"/>
  <c r="P31" i="2"/>
  <c r="R29" i="2"/>
  <c r="R24" i="2"/>
  <c r="Q29" i="2"/>
  <c r="Q24" i="2"/>
  <c r="P29" i="2"/>
  <c r="P24" i="2"/>
  <c r="P25" i="2" s="1"/>
  <c r="P40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M23" i="1"/>
  <c r="M22" i="1"/>
  <c r="D23" i="4" l="1"/>
  <c r="H16" i="4"/>
  <c r="I16" i="4" s="1"/>
  <c r="C46" i="4"/>
  <c r="C22" i="4"/>
  <c r="J48" i="2"/>
  <c r="C45" i="2"/>
  <c r="D45" i="2"/>
  <c r="E46" i="2"/>
  <c r="J46" i="2"/>
  <c r="C44" i="2"/>
  <c r="E45" i="2"/>
  <c r="F46" i="2"/>
  <c r="I25" i="2"/>
  <c r="I40" i="2" s="1"/>
  <c r="D44" i="2"/>
  <c r="G46" i="2"/>
  <c r="F44" i="2"/>
  <c r="G45" i="2"/>
  <c r="H46" i="2"/>
  <c r="E44" i="2"/>
  <c r="G44" i="2"/>
  <c r="H45" i="2"/>
  <c r="I46" i="2"/>
  <c r="F45" i="2"/>
  <c r="J44" i="2"/>
  <c r="H44" i="2"/>
  <c r="I45" i="2"/>
  <c r="J45" i="2"/>
  <c r="I44" i="2"/>
  <c r="C46" i="2"/>
  <c r="D46" i="2"/>
  <c r="R12" i="2"/>
  <c r="M25" i="1"/>
  <c r="Q10" i="2"/>
  <c r="R10" i="2"/>
  <c r="I48" i="2"/>
  <c r="G48" i="2"/>
  <c r="C25" i="2"/>
  <c r="C40" i="2" s="1"/>
  <c r="G25" i="2"/>
  <c r="G40" i="2" s="1"/>
  <c r="D25" i="2"/>
  <c r="D40" i="2" s="1"/>
  <c r="H48" i="2"/>
  <c r="H25" i="2"/>
  <c r="H40" i="2" s="1"/>
  <c r="E25" i="2"/>
  <c r="E40" i="2" s="1"/>
  <c r="J25" i="2"/>
  <c r="J40" i="2" s="1"/>
  <c r="I66" i="2"/>
  <c r="I78" i="2" s="1"/>
  <c r="I79" i="2" s="1"/>
  <c r="Q25" i="2"/>
  <c r="Q40" i="2" s="1"/>
  <c r="R48" i="2"/>
  <c r="F25" i="2"/>
  <c r="F40" i="2" s="1"/>
  <c r="R25" i="2"/>
  <c r="R40" i="2" s="1"/>
  <c r="C129" i="2"/>
  <c r="J129" i="2"/>
  <c r="F129" i="2"/>
  <c r="H66" i="2"/>
  <c r="H78" i="2" s="1"/>
  <c r="H79" i="2" s="1"/>
  <c r="G66" i="2"/>
  <c r="G78" i="2" s="1"/>
  <c r="G79" i="2" s="1"/>
  <c r="G129" i="2"/>
  <c r="D129" i="2"/>
  <c r="H129" i="2"/>
  <c r="E129" i="2"/>
  <c r="I129" i="2"/>
  <c r="F66" i="2"/>
  <c r="F78" i="2" s="1"/>
  <c r="F79" i="2" s="1"/>
  <c r="J66" i="2"/>
  <c r="J78" i="2" s="1"/>
  <c r="J79" i="2" s="1"/>
  <c r="P30" i="2"/>
  <c r="C47" i="4" l="1"/>
  <c r="C58" i="4"/>
  <c r="C55" i="4"/>
  <c r="C52" i="4"/>
  <c r="F13" i="4"/>
  <c r="F16" i="4"/>
  <c r="H20" i="4"/>
  <c r="I20" i="4" s="1"/>
  <c r="H17" i="4"/>
  <c r="I17" i="4" s="1"/>
  <c r="H15" i="4"/>
  <c r="I15" i="4" s="1"/>
  <c r="H14" i="4"/>
  <c r="I14" i="4" s="1"/>
  <c r="H13" i="4"/>
  <c r="I13" i="4" s="1"/>
  <c r="H19" i="4"/>
  <c r="I19" i="4" s="1"/>
  <c r="H18" i="4"/>
  <c r="I18" i="4" s="1"/>
  <c r="F36" i="4"/>
  <c r="F35" i="4"/>
  <c r="F37" i="4"/>
  <c r="I30" i="2"/>
  <c r="I32" i="2" s="1"/>
  <c r="G30" i="2"/>
  <c r="G41" i="2" s="1"/>
  <c r="E30" i="2"/>
  <c r="H30" i="2"/>
  <c r="H41" i="2" s="1"/>
  <c r="Q30" i="2"/>
  <c r="Q32" i="2" s="1"/>
  <c r="C30" i="2"/>
  <c r="C32" i="2" s="1"/>
  <c r="D30" i="2"/>
  <c r="D32" i="2" s="1"/>
  <c r="J30" i="2"/>
  <c r="J32" i="2" s="1"/>
  <c r="J36" i="2" s="1"/>
  <c r="J84" i="2" s="1"/>
  <c r="F30" i="2"/>
  <c r="F32" i="2" s="1"/>
  <c r="F36" i="2" s="1"/>
  <c r="F38" i="2" s="1"/>
  <c r="R30" i="2"/>
  <c r="R32" i="2" s="1"/>
  <c r="R42" i="2" s="1"/>
  <c r="E32" i="2"/>
  <c r="E41" i="2"/>
  <c r="P32" i="2"/>
  <c r="P41" i="2"/>
  <c r="I41" i="2" l="1"/>
  <c r="C37" i="4"/>
  <c r="C36" i="4"/>
  <c r="C35" i="4"/>
  <c r="C53" i="4"/>
  <c r="C51" i="4"/>
  <c r="F14" i="4"/>
  <c r="F18" i="4"/>
  <c r="C56" i="4"/>
  <c r="C57" i="4"/>
  <c r="F20" i="4"/>
  <c r="F19" i="4"/>
  <c r="F17" i="4"/>
  <c r="C54" i="4"/>
  <c r="C59" i="4"/>
  <c r="F15" i="4"/>
  <c r="H32" i="2"/>
  <c r="H42" i="2" s="1"/>
  <c r="Q41" i="2"/>
  <c r="G32" i="2"/>
  <c r="G42" i="2" s="1"/>
  <c r="C41" i="2"/>
  <c r="D41" i="2"/>
  <c r="J41" i="2"/>
  <c r="R41" i="2"/>
  <c r="F84" i="2"/>
  <c r="F41" i="2"/>
  <c r="F42" i="2"/>
  <c r="D36" i="2"/>
  <c r="D42" i="2"/>
  <c r="I36" i="2"/>
  <c r="I42" i="2"/>
  <c r="E36" i="2"/>
  <c r="E42" i="2"/>
  <c r="C36" i="2"/>
  <c r="C42" i="2"/>
  <c r="Q36" i="2"/>
  <c r="Q38" i="2" s="1"/>
  <c r="Q42" i="2"/>
  <c r="P36" i="2"/>
  <c r="P38" i="2" s="1"/>
  <c r="P42" i="2"/>
  <c r="J42" i="2"/>
  <c r="R36" i="2"/>
  <c r="R38" i="2" s="1"/>
  <c r="H35" i="4" l="1"/>
  <c r="I35" i="4"/>
  <c r="H36" i="4"/>
  <c r="I36" i="4"/>
  <c r="J36" i="4" s="1"/>
  <c r="H37" i="4"/>
  <c r="I37" i="4"/>
  <c r="J37" i="4" s="1"/>
  <c r="H36" i="2"/>
  <c r="H38" i="2" s="1"/>
  <c r="G36" i="2"/>
  <c r="G38" i="2" s="1"/>
  <c r="C38" i="2"/>
  <c r="C84" i="2"/>
  <c r="E38" i="2"/>
  <c r="E84" i="2"/>
  <c r="I38" i="2"/>
  <c r="I84" i="2"/>
  <c r="D38" i="2"/>
  <c r="D84" i="2"/>
  <c r="J38" i="2"/>
  <c r="H84" i="2" l="1"/>
  <c r="G8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Case</author>
  </authors>
  <commentList>
    <comment ref="B3" authorId="0" shapeId="0" xr:uid="{C0AA8E69-4FB9-47D6-9C8B-21F85051998F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Monthly Active Platform Consumers (in millions)
</t>
        </r>
      </text>
    </comment>
    <comment ref="B19" authorId="0" shapeId="0" xr:uid="{CBB67103-06FB-4551-AE14-7BAE491182E2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Advance Technology Group (yes that's what it's called, ATG)
Self driving</t>
        </r>
      </text>
    </comment>
    <comment ref="G31" authorId="0" shapeId="0" xr:uid="{DB4032B5-F8E8-46FB-BAF1-ACB9C68E66EC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Impairments</t>
        </r>
      </text>
    </comment>
    <comment ref="F60" authorId="0" shapeId="0" xr:uid="{92F1BF91-DAF9-40CB-9083-9231F091DFFA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Sold ATG to Aureroa</t>
        </r>
      </text>
    </comment>
    <comment ref="F114" authorId="0" shapeId="0" xr:uid="{95192677-9E65-4FC9-9AAC-4C0CD02B71CC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Transplace
</t>
        </r>
      </text>
    </comment>
    <comment ref="J114" authorId="0" shapeId="0" xr:uid="{EC2FB487-B475-46CE-8153-D98C1C8DBEFF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Drizly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<sst xmlns="http://schemas.openxmlformats.org/spreadsheetml/2006/main" count="187" uniqueCount="170">
  <si>
    <t>Price</t>
  </si>
  <si>
    <t>Shares</t>
  </si>
  <si>
    <t>MC</t>
  </si>
  <si>
    <t>Cash</t>
  </si>
  <si>
    <t>Debt</t>
  </si>
  <si>
    <t>EV</t>
  </si>
  <si>
    <t>Q421</t>
  </si>
  <si>
    <t>Revenue</t>
  </si>
  <si>
    <t>Q120</t>
  </si>
  <si>
    <t>Q220</t>
  </si>
  <si>
    <t>Q320</t>
  </si>
  <si>
    <t>Q420</t>
  </si>
  <si>
    <t>Q121</t>
  </si>
  <si>
    <t>Q221</t>
  </si>
  <si>
    <t>Q321</t>
  </si>
  <si>
    <t>Q122</t>
  </si>
  <si>
    <t>Q222</t>
  </si>
  <si>
    <t>Q322</t>
  </si>
  <si>
    <t>Q422</t>
  </si>
  <si>
    <t>Operations &amp; Support</t>
  </si>
  <si>
    <t>Costs of Revenue</t>
  </si>
  <si>
    <t>COGS</t>
  </si>
  <si>
    <t>Gross Profit</t>
  </si>
  <si>
    <t>S&amp;M</t>
  </si>
  <si>
    <t>R&amp;D</t>
  </si>
  <si>
    <t>G&amp;A</t>
  </si>
  <si>
    <t>Operating Expenses</t>
  </si>
  <si>
    <t>Operating Income</t>
  </si>
  <si>
    <t>Other Income</t>
  </si>
  <si>
    <t>Pretax Income</t>
  </si>
  <si>
    <t>Taxes</t>
  </si>
  <si>
    <t>Investment</t>
  </si>
  <si>
    <t>NI</t>
  </si>
  <si>
    <t>Net Income</t>
  </si>
  <si>
    <t>EPS</t>
  </si>
  <si>
    <t>Gross Margin %</t>
  </si>
  <si>
    <t>Operating Margin %</t>
  </si>
  <si>
    <t>Tax Rate %</t>
  </si>
  <si>
    <t>Revenue Growth Y/Y</t>
  </si>
  <si>
    <t>A/R</t>
  </si>
  <si>
    <t>Prepaids</t>
  </si>
  <si>
    <t>Assets for Sale</t>
  </si>
  <si>
    <t>Insurance</t>
  </si>
  <si>
    <t>PP&amp;E</t>
  </si>
  <si>
    <t>Operating Lease</t>
  </si>
  <si>
    <t>Intangibles</t>
  </si>
  <si>
    <t>OA</t>
  </si>
  <si>
    <t>Total Assets</t>
  </si>
  <si>
    <t>A/P</t>
  </si>
  <si>
    <t>ST Insurance Reserves</t>
  </si>
  <si>
    <t>A/L</t>
  </si>
  <si>
    <t>LT Insurance Reserves</t>
  </si>
  <si>
    <t>NC Operating Lease</t>
  </si>
  <si>
    <t>OLTL</t>
  </si>
  <si>
    <t>Total Liabilties</t>
  </si>
  <si>
    <t>Net Cash</t>
  </si>
  <si>
    <t>Liabilties for Sale</t>
  </si>
  <si>
    <t>Model NI</t>
  </si>
  <si>
    <t>Reported NI</t>
  </si>
  <si>
    <t>D&amp;A</t>
  </si>
  <si>
    <t>SBC</t>
  </si>
  <si>
    <t>Gain on Business</t>
  </si>
  <si>
    <t>D/T</t>
  </si>
  <si>
    <t>Impariment of Debt</t>
  </si>
  <si>
    <t>Impairment of Goodwill</t>
  </si>
  <si>
    <t>Unrealized forex transcation</t>
  </si>
  <si>
    <t>Loss from Investments</t>
  </si>
  <si>
    <t>Insurance Collateral</t>
  </si>
  <si>
    <t>Accured Insurance</t>
  </si>
  <si>
    <t>Accured Expense</t>
  </si>
  <si>
    <t>Operating Lease Liabiltity</t>
  </si>
  <si>
    <t>Operating Lease Asset</t>
  </si>
  <si>
    <t>Unrealized loss on Debt</t>
  </si>
  <si>
    <t>Other</t>
  </si>
  <si>
    <t>Gain from Investment Sale</t>
  </si>
  <si>
    <t>Bad Debt</t>
  </si>
  <si>
    <t>CFFO</t>
  </si>
  <si>
    <t>Capex</t>
  </si>
  <si>
    <t>Marketable Securities Purchase</t>
  </si>
  <si>
    <t>Non-Marketable Securities Purchase</t>
  </si>
  <si>
    <t>Maturity Proceeds</t>
  </si>
  <si>
    <t>Non-Marketable Securities Proceeds</t>
  </si>
  <si>
    <t>Marketable Securities Proceeds</t>
  </si>
  <si>
    <t>Acquistion</t>
  </si>
  <si>
    <t>Notes Purchasing</t>
  </si>
  <si>
    <t>Other Investments</t>
  </si>
  <si>
    <t>CFFF</t>
  </si>
  <si>
    <t>SB Award Taxes</t>
  </si>
  <si>
    <t>Sale of Subsidiary</t>
  </si>
  <si>
    <t>Employee Stock Plan</t>
  </si>
  <si>
    <t>Repayment on Term Loan</t>
  </si>
  <si>
    <t>Repayment on "Careem" Notes</t>
  </si>
  <si>
    <t>Repayment on Lease</t>
  </si>
  <si>
    <t>CFFI</t>
  </si>
  <si>
    <t>CF</t>
  </si>
  <si>
    <t>Main</t>
  </si>
  <si>
    <t>Returned Capital</t>
  </si>
  <si>
    <t>Senior Notes Issuance Cost</t>
  </si>
  <si>
    <t>Mobility</t>
  </si>
  <si>
    <t>Delivery</t>
  </si>
  <si>
    <t>Frieght</t>
  </si>
  <si>
    <t>Business</t>
  </si>
  <si>
    <t>Description</t>
  </si>
  <si>
    <t>% of Revenue</t>
  </si>
  <si>
    <t>Competition</t>
  </si>
  <si>
    <t>Taxi Service</t>
  </si>
  <si>
    <t>Delivery Service</t>
  </si>
  <si>
    <t>Mass Shipping via Semi-Truck</t>
  </si>
  <si>
    <t>Freight</t>
  </si>
  <si>
    <t>MAPCs</t>
  </si>
  <si>
    <t>Trips</t>
  </si>
  <si>
    <t>Gross Booking</t>
  </si>
  <si>
    <t xml:space="preserve"> Mobility</t>
  </si>
  <si>
    <t xml:space="preserve"> Delivery</t>
  </si>
  <si>
    <t xml:space="preserve"> Freight</t>
  </si>
  <si>
    <t>MAPCs Y/Y</t>
  </si>
  <si>
    <t>Average Revenue Per User</t>
  </si>
  <si>
    <t>Trips Y/Y</t>
  </si>
  <si>
    <t>intercept</t>
  </si>
  <si>
    <t>slope</t>
  </si>
  <si>
    <t>SST</t>
  </si>
  <si>
    <t>SSE</t>
  </si>
  <si>
    <t>SSR</t>
  </si>
  <si>
    <t>Not Rejected</t>
  </si>
  <si>
    <t>F</t>
  </si>
  <si>
    <t>MS</t>
  </si>
  <si>
    <t>df</t>
  </si>
  <si>
    <t>#</t>
  </si>
  <si>
    <t>F Value</t>
  </si>
  <si>
    <t>Forecast</t>
  </si>
  <si>
    <t>Se</t>
  </si>
  <si>
    <t>correlation</t>
  </si>
  <si>
    <t>covarience</t>
  </si>
  <si>
    <t>stnd dev</t>
  </si>
  <si>
    <t>varience</t>
  </si>
  <si>
    <t>average</t>
  </si>
  <si>
    <t>n</t>
  </si>
  <si>
    <t>^Yi</t>
  </si>
  <si>
    <t>X</t>
  </si>
  <si>
    <t>Y</t>
  </si>
  <si>
    <t xml:space="preserve"> Uber Eats</t>
  </si>
  <si>
    <t xml:space="preserve"> Transplace</t>
  </si>
  <si>
    <t xml:space="preserve"> Drizly</t>
  </si>
  <si>
    <t xml:space="preserve"> Uber</t>
  </si>
  <si>
    <t>Logistics</t>
  </si>
  <si>
    <t>Alcohol Delivery</t>
  </si>
  <si>
    <t>LYFT</t>
  </si>
  <si>
    <t>Doordash, GrubHub, Postmates</t>
  </si>
  <si>
    <t>Oracle, MercuryGate, SAP, Blue Yonder</t>
  </si>
  <si>
    <t>GoPuff</t>
  </si>
  <si>
    <t>Mobility Margins %</t>
  </si>
  <si>
    <t>Delivery Margins %</t>
  </si>
  <si>
    <t>Freight Margins %</t>
  </si>
  <si>
    <t>R&amp;D Spending Y/Y</t>
  </si>
  <si>
    <t>G&amp;A Spending Y/Y</t>
  </si>
  <si>
    <t>S&amp;M Spending Y/Y</t>
  </si>
  <si>
    <t>c)</t>
  </si>
  <si>
    <t>b)</t>
  </si>
  <si>
    <t>a)</t>
  </si>
  <si>
    <t>Upper</t>
  </si>
  <si>
    <t>Lower</t>
  </si>
  <si>
    <t>Sf</t>
  </si>
  <si>
    <t>Y/Y</t>
  </si>
  <si>
    <t>T Value</t>
  </si>
  <si>
    <t>^Xi</t>
  </si>
  <si>
    <t>Xf</t>
  </si>
  <si>
    <t>Yf</t>
  </si>
  <si>
    <t>S/E</t>
  </si>
  <si>
    <t>L + S/E</t>
  </si>
  <si>
    <t>Debt to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</si>
</sst>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  <xf numFmtId="4" fontId="0" fillId="0" borderId="0" xfId="0" applyNumberFormat="1"/>
    <xf numFmtId="9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Border="1"/>
    <xf numFmtId="9" fontId="0" fillId="0" borderId="0" xfId="0" applyNumberFormat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0"/>
            <c:backward val="30"/>
            <c:intercept val="0"/>
            <c:dispRSqr val="1"/>
            <c:dispEq val="1"/>
            <c:trendlineLbl>
              <c:layout>
                <c:manualLayout>
                  <c:x val="-0.56407720909886261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'S&amp;M Regressed on MAPCs'!$D$13:$D$20</c:f>
              <c:numCache>
                <c:formatCode>General</c:formatCode>
                <c:ptCount val="8"/>
                <c:pt idx="0">
                  <c:v>103</c:v>
                </c:pt>
                <c:pt idx="1">
                  <c:v>55</c:v>
                </c:pt>
                <c:pt idx="2">
                  <c:v>78</c:v>
                </c:pt>
                <c:pt idx="3">
                  <c:v>93</c:v>
                </c:pt>
                <c:pt idx="4">
                  <c:v>98</c:v>
                </c:pt>
                <c:pt idx="5">
                  <c:v>101</c:v>
                </c:pt>
                <c:pt idx="6">
                  <c:v>109</c:v>
                </c:pt>
                <c:pt idx="7">
                  <c:v>118</c:v>
                </c:pt>
              </c:numCache>
            </c:numRef>
          </c:xVal>
          <c:yVal>
            <c:numRef>
              <c:f>'S&amp;M Regressed on MAPCs'!$C$13:$C$20</c:f>
              <c:numCache>
                <c:formatCode>General</c:formatCode>
                <c:ptCount val="8"/>
                <c:pt idx="0">
                  <c:v>885</c:v>
                </c:pt>
                <c:pt idx="1">
                  <c:v>736</c:v>
                </c:pt>
                <c:pt idx="2">
                  <c:v>924</c:v>
                </c:pt>
                <c:pt idx="3">
                  <c:v>1038</c:v>
                </c:pt>
                <c:pt idx="4">
                  <c:v>1103</c:v>
                </c:pt>
                <c:pt idx="5">
                  <c:v>1256</c:v>
                </c:pt>
                <c:pt idx="6">
                  <c:v>1168</c:v>
                </c:pt>
                <c:pt idx="7">
                  <c:v>1262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D9-4ED0-8338-1DD7C1AD1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654560"/>
        <c:axId val="80182160"/>
      </c:scatterChart>
      <c:valAx>
        <c:axId val="168265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82160"/>
        <c:crosses val="autoZero"/>
        <c:crossBetween val="midCat"/>
      </c:valAx>
      <c:valAx>
        <c:axId val="801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65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0</xdr:row>
      <xdr:rowOff>28575</xdr:rowOff>
    </xdr:from>
    <xdr:to>
      <xdr:col>18</xdr:col>
      <xdr:colOff>28575</xdr:colOff>
      <xdr:row>73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61F0964-959F-4289-ADF9-2C577DF9C7FB}"/>
            </a:ext>
          </a:extLst>
        </xdr:cNvPr>
        <xdr:cNvCxnSpPr/>
      </xdr:nvCxnSpPr>
      <xdr:spPr>
        <a:xfrm>
          <a:off x="12839700" y="28575"/>
          <a:ext cx="0" cy="803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0</xdr:row>
      <xdr:rowOff>47625</xdr:rowOff>
    </xdr:from>
    <xdr:to>
      <xdr:col>10</xdr:col>
      <xdr:colOff>38100</xdr:colOff>
      <xdr:row>68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CB003E7-BF0B-4403-9B54-B22ECFA785BF}"/>
            </a:ext>
          </a:extLst>
        </xdr:cNvPr>
        <xdr:cNvCxnSpPr/>
      </xdr:nvCxnSpPr>
      <xdr:spPr>
        <a:xfrm>
          <a:off x="8220075" y="47625"/>
          <a:ext cx="0" cy="7572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201706</xdr:colOff>
      <xdr:row>45</xdr:row>
      <xdr:rowOff>124383</xdr:rowOff>
    </xdr:from>
    <xdr:to>
      <xdr:col>10</xdr:col>
      <xdr:colOff>672353</xdr:colOff>
      <xdr:row>60</xdr:row>
      <xdr:rowOff>178171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C8CB4F-D3F7-473B-BC76-E3B204658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6C98-E35D-473B-851D-07C662EF9449}">
  <dimension ref="B4:N25"/>
  <sheetViews>
    <sheetView workbookViewId="0">
      <selection activeCell="D17" sqref="D17"/>
    </sheetView>
  </sheetViews>
  <sheetFormatPr defaultRowHeight="14.25" x14ac:dyDescent="0.2"/>
  <cols>
    <col min="2" max="2" width="10.5" bestFit="1" customWidth="1"/>
    <col min="3" max="3" width="26" bestFit="1" customWidth="1"/>
    <col min="4" max="4" width="12.25" bestFit="1" customWidth="1"/>
    <col min="5" max="5" width="34" bestFit="1" customWidth="1"/>
    <col min="8" max="8" width="9" style="2"/>
  </cols>
  <sheetData>
    <row r="4" spans="2:12" ht="15" thickBot="1" x14ac:dyDescent="0.25"/>
    <row r="5" spans="2:12" ht="15" thickBot="1" x14ac:dyDescent="0.25">
      <c r="B5" s="9" t="s">
        <v>101</v>
      </c>
      <c r="C5" s="10" t="s">
        <v>102</v>
      </c>
      <c r="D5" s="10" t="s">
        <v>103</v>
      </c>
      <c r="E5" s="11" t="s">
        <v>104</v>
      </c>
    </row>
    <row r="6" spans="2:12" x14ac:dyDescent="0.2">
      <c r="B6" s="14" t="s">
        <v>98</v>
      </c>
      <c r="C6" s="8" t="s">
        <v>105</v>
      </c>
      <c r="D6" s="20">
        <v>0.39425406715126343</v>
      </c>
      <c r="E6" s="15"/>
    </row>
    <row r="7" spans="2:12" x14ac:dyDescent="0.2">
      <c r="B7" s="14" t="s">
        <v>143</v>
      </c>
      <c r="C7" s="8"/>
      <c r="D7" s="6"/>
      <c r="E7" s="15" t="s">
        <v>146</v>
      </c>
      <c r="F7" s="1"/>
    </row>
    <row r="8" spans="2:12" x14ac:dyDescent="0.2">
      <c r="B8" s="14" t="s">
        <v>99</v>
      </c>
      <c r="C8" s="8" t="s">
        <v>106</v>
      </c>
      <c r="D8" s="20">
        <v>0.41883004499826931</v>
      </c>
      <c r="E8" s="15"/>
      <c r="F8" s="1"/>
    </row>
    <row r="9" spans="2:12" x14ac:dyDescent="0.2">
      <c r="B9" s="16" t="s">
        <v>140</v>
      </c>
      <c r="C9" s="12"/>
      <c r="D9" s="6"/>
      <c r="E9" s="15" t="s">
        <v>147</v>
      </c>
      <c r="F9" s="1"/>
    </row>
    <row r="10" spans="2:12" x14ac:dyDescent="0.2">
      <c r="B10" s="14" t="s">
        <v>100</v>
      </c>
      <c r="C10" s="8" t="s">
        <v>107</v>
      </c>
      <c r="D10" s="20">
        <v>0.18691588785046728</v>
      </c>
      <c r="E10" s="15"/>
      <c r="F10" s="1"/>
    </row>
    <row r="11" spans="2:12" x14ac:dyDescent="0.2">
      <c r="B11" s="21" t="s">
        <v>141</v>
      </c>
      <c r="C11" s="22" t="s">
        <v>144</v>
      </c>
      <c r="D11" s="22"/>
      <c r="E11" s="23" t="s">
        <v>148</v>
      </c>
    </row>
    <row r="12" spans="2:12" ht="15" x14ac:dyDescent="0.25">
      <c r="B12" s="17" t="s">
        <v>142</v>
      </c>
      <c r="C12" s="18" t="s">
        <v>145</v>
      </c>
      <c r="D12" s="13"/>
      <c r="E12" s="19" t="s">
        <v>149</v>
      </c>
      <c r="F12" s="4"/>
    </row>
    <row r="13" spans="2:12" x14ac:dyDescent="0.2">
      <c r="B13" s="8"/>
      <c r="C13" s="8"/>
      <c r="D13" s="8"/>
      <c r="E13" s="8"/>
      <c r="L13" s="2"/>
    </row>
    <row r="14" spans="2:12" x14ac:dyDescent="0.2">
      <c r="B14" s="8"/>
      <c r="C14" s="8"/>
      <c r="D14" s="8"/>
      <c r="E14" s="8"/>
    </row>
    <row r="20" spans="12:14" x14ac:dyDescent="0.2">
      <c r="L20" t="s">
        <v>0</v>
      </c>
      <c r="M20">
        <v>32.68</v>
      </c>
      <c r="N20" s="2"/>
    </row>
    <row r="21" spans="12:14" x14ac:dyDescent="0.2">
      <c r="L21" t="s">
        <v>1</v>
      </c>
      <c r="M21" s="1">
        <v>1954.4640879999999</v>
      </c>
      <c r="N21" s="2" t="s">
        <v>6</v>
      </c>
    </row>
    <row r="22" spans="12:14" x14ac:dyDescent="0.2">
      <c r="L22" t="s">
        <v>2</v>
      </c>
      <c r="M22" s="1">
        <f>+M21*M20</f>
        <v>63871.886395839996</v>
      </c>
      <c r="N22" s="2"/>
    </row>
    <row r="23" spans="12:14" x14ac:dyDescent="0.2">
      <c r="L23" t="s">
        <v>3</v>
      </c>
      <c r="M23" s="1">
        <f>5647+1180+9052+1079</f>
        <v>16958</v>
      </c>
      <c r="N23" s="2" t="s">
        <v>6</v>
      </c>
    </row>
    <row r="24" spans="12:14" x14ac:dyDescent="0.2">
      <c r="L24" t="s">
        <v>4</v>
      </c>
      <c r="M24" s="1">
        <v>7560</v>
      </c>
      <c r="N24" s="2" t="s">
        <v>6</v>
      </c>
    </row>
    <row r="25" spans="12:14" x14ac:dyDescent="0.2">
      <c r="L25" t="s">
        <v>5</v>
      </c>
      <c r="M25" s="1">
        <f>+M22-M23+M24</f>
        <v>54473.886395839996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0FBE-CEBE-4DB5-B881-1C64916CBA59}">
  <dimension ref="A1:AF129"/>
  <sheetViews>
    <sheetView tabSelected="1" zoomScaleNormal="100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N71" sqref="N71"/>
    </sheetView>
  </sheetViews>
  <sheetFormatPr defaultRowHeight="14.25" x14ac:dyDescent="0.2"/>
  <cols>
    <col min="1" max="1" width="4.625" bestFit="1" customWidth="1"/>
    <col min="2" max="2" width="31.125" bestFit="1" customWidth="1"/>
    <col min="3" max="3" width="8.625" customWidth="1"/>
  </cols>
  <sheetData>
    <row r="1" spans="1:32" x14ac:dyDescent="0.2">
      <c r="A1" s="7" t="s">
        <v>95</v>
      </c>
    </row>
    <row r="2" spans="1:32" x14ac:dyDescent="0.2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6</v>
      </c>
      <c r="K2" t="s">
        <v>15</v>
      </c>
      <c r="L2" t="s">
        <v>16</v>
      </c>
      <c r="M2" t="s">
        <v>17</v>
      </c>
      <c r="N2" t="s">
        <v>18</v>
      </c>
      <c r="P2">
        <v>2019</v>
      </c>
      <c r="Q2">
        <f>+P2+1</f>
        <v>2020</v>
      </c>
      <c r="R2">
        <f t="shared" ref="R2:AF2" si="0">+Q2+1</f>
        <v>2021</v>
      </c>
      <c r="S2">
        <f t="shared" si="0"/>
        <v>2022</v>
      </c>
      <c r="T2">
        <f t="shared" si="0"/>
        <v>2023</v>
      </c>
      <c r="U2">
        <f t="shared" si="0"/>
        <v>2024</v>
      </c>
      <c r="V2">
        <f t="shared" si="0"/>
        <v>2025</v>
      </c>
      <c r="W2">
        <f t="shared" si="0"/>
        <v>2026</v>
      </c>
      <c r="X2">
        <f t="shared" si="0"/>
        <v>2027</v>
      </c>
      <c r="Y2">
        <f t="shared" si="0"/>
        <v>2028</v>
      </c>
      <c r="Z2">
        <f t="shared" si="0"/>
        <v>2029</v>
      </c>
      <c r="AA2">
        <f t="shared" si="0"/>
        <v>2030</v>
      </c>
      <c r="AB2">
        <f t="shared" si="0"/>
        <v>2031</v>
      </c>
      <c r="AC2">
        <f t="shared" si="0"/>
        <v>2032</v>
      </c>
      <c r="AD2">
        <f t="shared" si="0"/>
        <v>2033</v>
      </c>
      <c r="AE2">
        <f t="shared" si="0"/>
        <v>2034</v>
      </c>
      <c r="AF2">
        <f t="shared" si="0"/>
        <v>2035</v>
      </c>
    </row>
    <row r="3" spans="1:32" s="1" customFormat="1" x14ac:dyDescent="0.2">
      <c r="B3" s="1" t="s">
        <v>109</v>
      </c>
      <c r="C3" s="1">
        <v>103</v>
      </c>
      <c r="D3" s="1">
        <v>55</v>
      </c>
      <c r="E3" s="1">
        <v>78</v>
      </c>
      <c r="F3" s="1">
        <v>93</v>
      </c>
      <c r="G3" s="1">
        <v>98</v>
      </c>
      <c r="H3" s="1">
        <v>101</v>
      </c>
      <c r="I3" s="1">
        <v>109</v>
      </c>
      <c r="J3" s="1">
        <v>118</v>
      </c>
      <c r="K3" s="1">
        <f>+G3*1.09</f>
        <v>106.82000000000001</v>
      </c>
      <c r="Q3" s="1">
        <f>+SUM(C3:F3)</f>
        <v>329</v>
      </c>
      <c r="R3" s="1">
        <f>+SUM(G3:J3)</f>
        <v>426</v>
      </c>
    </row>
    <row r="4" spans="1:32" s="1" customFormat="1" x14ac:dyDescent="0.2">
      <c r="B4" s="1" t="s">
        <v>110</v>
      </c>
      <c r="C4" s="1">
        <v>1661</v>
      </c>
      <c r="D4" s="1">
        <v>737</v>
      </c>
      <c r="E4" s="1">
        <v>1184</v>
      </c>
      <c r="F4" s="1">
        <v>1443</v>
      </c>
      <c r="G4" s="1">
        <v>1447</v>
      </c>
      <c r="H4" s="1">
        <v>1511</v>
      </c>
      <c r="I4" s="1">
        <v>1641</v>
      </c>
      <c r="J4" s="1">
        <v>1769</v>
      </c>
      <c r="Q4" s="1">
        <f>+SUM(C4:F4)</f>
        <v>5025</v>
      </c>
      <c r="R4" s="1">
        <f>+SUM(G4:J4)</f>
        <v>6368</v>
      </c>
    </row>
    <row r="5" spans="1:32" s="1" customFormat="1" x14ac:dyDescent="0.2">
      <c r="B5" s="1" t="s">
        <v>111</v>
      </c>
      <c r="C5" s="1">
        <v>15776</v>
      </c>
      <c r="D5" s="1">
        <v>10224</v>
      </c>
      <c r="E5" s="1">
        <v>14745</v>
      </c>
      <c r="F5" s="1">
        <f>+SUM(F6:F8)</f>
        <v>17152</v>
      </c>
      <c r="G5" s="1">
        <v>19536</v>
      </c>
      <c r="H5" s="1">
        <v>21900</v>
      </c>
      <c r="I5" s="1">
        <v>23113</v>
      </c>
      <c r="J5" s="1">
        <f>+SUM(J6:J8)</f>
        <v>25866</v>
      </c>
      <c r="Q5" s="1">
        <f>+SUM(C5:F5)</f>
        <v>57897</v>
      </c>
      <c r="R5" s="1">
        <f>+SUM(G5:J5)</f>
        <v>90415</v>
      </c>
    </row>
    <row r="6" spans="1:32" s="1" customFormat="1" x14ac:dyDescent="0.2">
      <c r="B6" s="1" t="s">
        <v>112</v>
      </c>
      <c r="F6" s="1">
        <v>6789</v>
      </c>
      <c r="J6" s="1">
        <v>11340</v>
      </c>
    </row>
    <row r="7" spans="1:32" s="1" customFormat="1" x14ac:dyDescent="0.2">
      <c r="B7" s="1" t="s">
        <v>113</v>
      </c>
      <c r="F7" s="1">
        <v>10050</v>
      </c>
      <c r="J7" s="1">
        <v>13444</v>
      </c>
    </row>
    <row r="8" spans="1:32" s="1" customFormat="1" x14ac:dyDescent="0.2">
      <c r="B8" s="1" t="s">
        <v>114</v>
      </c>
      <c r="F8" s="1">
        <v>313</v>
      </c>
      <c r="J8" s="1">
        <v>1082</v>
      </c>
    </row>
    <row r="9" spans="1:32" s="1" customFormat="1" x14ac:dyDescent="0.2"/>
    <row r="10" spans="1:32" s="1" customFormat="1" x14ac:dyDescent="0.2">
      <c r="B10" s="1" t="s">
        <v>116</v>
      </c>
      <c r="C10" s="5">
        <f t="shared" ref="C10:J10" si="1">+C21/C3</f>
        <v>31.533980582524272</v>
      </c>
      <c r="D10" s="5">
        <f t="shared" si="1"/>
        <v>34.781818181818181</v>
      </c>
      <c r="E10" s="5">
        <f t="shared" si="1"/>
        <v>36.064102564102562</v>
      </c>
      <c r="F10" s="5">
        <f t="shared" si="1"/>
        <v>34.032258064516128</v>
      </c>
      <c r="G10" s="5">
        <f t="shared" si="1"/>
        <v>29.622448979591837</v>
      </c>
      <c r="H10" s="5">
        <f t="shared" si="1"/>
        <v>38.900990099009903</v>
      </c>
      <c r="I10" s="5">
        <f t="shared" si="1"/>
        <v>44.449541284403672</v>
      </c>
      <c r="J10" s="5">
        <f t="shared" si="1"/>
        <v>48.966101694915253</v>
      </c>
      <c r="Q10" s="5">
        <f>+Q21/Q3</f>
        <v>33.857142857142854</v>
      </c>
      <c r="R10" s="5">
        <f>+R21/R3</f>
        <v>40.974178403755872</v>
      </c>
    </row>
    <row r="11" spans="1:32" s="1" customFormat="1" x14ac:dyDescent="0.2">
      <c r="C11" s="5"/>
      <c r="D11" s="5"/>
      <c r="E11" s="5"/>
      <c r="F11" s="5"/>
      <c r="G11" s="5"/>
      <c r="H11" s="5"/>
      <c r="I11" s="5"/>
      <c r="J11" s="5"/>
      <c r="Q11" s="5"/>
      <c r="R11" s="5"/>
    </row>
    <row r="12" spans="1:32" s="1" customFormat="1" x14ac:dyDescent="0.2">
      <c r="B12" s="1" t="s">
        <v>115</v>
      </c>
      <c r="C12" s="5"/>
      <c r="D12" s="5"/>
      <c r="E12" s="5"/>
      <c r="F12" s="5"/>
      <c r="G12" s="6">
        <f t="shared" ref="G12:J13" si="2">+G3/C3-1</f>
        <v>-4.8543689320388328E-2</v>
      </c>
      <c r="H12" s="6">
        <f t="shared" si="2"/>
        <v>0.83636363636363642</v>
      </c>
      <c r="I12" s="6">
        <f t="shared" si="2"/>
        <v>0.39743589743589736</v>
      </c>
      <c r="J12" s="6">
        <f t="shared" si="2"/>
        <v>0.26881720430107525</v>
      </c>
      <c r="Q12" s="5"/>
      <c r="R12" s="6">
        <f>+R3/Q3-1</f>
        <v>0.29483282674772027</v>
      </c>
    </row>
    <row r="13" spans="1:32" s="1" customFormat="1" x14ac:dyDescent="0.2">
      <c r="B13" s="1" t="s">
        <v>117</v>
      </c>
      <c r="C13" s="5"/>
      <c r="D13" s="5"/>
      <c r="E13" s="5"/>
      <c r="F13" s="5"/>
      <c r="G13" s="6">
        <f t="shared" si="2"/>
        <v>-0.1288380493678507</v>
      </c>
      <c r="H13" s="6">
        <f t="shared" si="2"/>
        <v>1.050203527815468</v>
      </c>
      <c r="I13" s="6">
        <f t="shared" si="2"/>
        <v>0.38597972972972983</v>
      </c>
      <c r="J13" s="6">
        <f t="shared" si="2"/>
        <v>0.22591822591822597</v>
      </c>
      <c r="Q13" s="5"/>
      <c r="R13" s="5"/>
    </row>
    <row r="14" spans="1:32" s="1" customFormat="1" x14ac:dyDescent="0.2">
      <c r="C14" s="5"/>
      <c r="D14" s="5"/>
      <c r="E14" s="5"/>
      <c r="F14" s="5"/>
      <c r="G14" s="5"/>
      <c r="H14" s="5"/>
      <c r="I14" s="5"/>
      <c r="J14" s="5"/>
      <c r="Q14" s="5"/>
      <c r="R14" s="5"/>
    </row>
    <row r="15" spans="1:32" s="1" customFormat="1" x14ac:dyDescent="0.2"/>
    <row r="16" spans="1:32" s="1" customFormat="1" x14ac:dyDescent="0.2">
      <c r="B16" s="1" t="s">
        <v>98</v>
      </c>
      <c r="C16" s="1">
        <v>2467</v>
      </c>
      <c r="D16" s="1">
        <v>787</v>
      </c>
      <c r="E16" s="1">
        <v>1364</v>
      </c>
      <c r="F16" s="1">
        <v>1471</v>
      </c>
      <c r="G16" s="1">
        <v>853</v>
      </c>
      <c r="H16" s="1">
        <v>1618</v>
      </c>
      <c r="I16" s="1">
        <v>2205</v>
      </c>
      <c r="J16" s="1">
        <v>2278</v>
      </c>
      <c r="Q16" s="1">
        <v>6089</v>
      </c>
      <c r="R16" s="1">
        <v>6953</v>
      </c>
    </row>
    <row r="17" spans="2:18" s="1" customFormat="1" x14ac:dyDescent="0.2">
      <c r="B17" s="1" t="s">
        <v>99</v>
      </c>
      <c r="C17" s="1">
        <v>527</v>
      </c>
      <c r="D17" s="1">
        <v>886</v>
      </c>
      <c r="E17" s="1">
        <v>1136</v>
      </c>
      <c r="F17" s="1">
        <v>1356</v>
      </c>
      <c r="G17" s="1">
        <v>1741</v>
      </c>
      <c r="H17" s="1">
        <v>1963</v>
      </c>
      <c r="I17" s="1">
        <v>2238</v>
      </c>
      <c r="J17" s="1">
        <v>2420</v>
      </c>
      <c r="Q17" s="1">
        <v>3904</v>
      </c>
      <c r="R17" s="1">
        <v>8362</v>
      </c>
    </row>
    <row r="18" spans="2:18" s="1" customFormat="1" x14ac:dyDescent="0.2">
      <c r="B18" s="1" t="s">
        <v>108</v>
      </c>
      <c r="C18" s="1">
        <v>199</v>
      </c>
      <c r="D18" s="1">
        <v>211</v>
      </c>
      <c r="E18" s="1">
        <v>288</v>
      </c>
      <c r="F18" s="1">
        <v>313</v>
      </c>
      <c r="G18" s="1">
        <v>301</v>
      </c>
      <c r="H18" s="1">
        <v>348</v>
      </c>
      <c r="I18" s="1">
        <v>402</v>
      </c>
      <c r="J18" s="1">
        <v>1080</v>
      </c>
      <c r="Q18" s="1">
        <v>1011</v>
      </c>
      <c r="R18" s="1">
        <v>2132</v>
      </c>
    </row>
    <row r="19" spans="2:18" s="1" customFormat="1" x14ac:dyDescent="0.2">
      <c r="B19" s="1" t="s">
        <v>73</v>
      </c>
      <c r="C19" s="1">
        <v>55</v>
      </c>
      <c r="D19" s="1">
        <v>29</v>
      </c>
      <c r="E19" s="1">
        <v>25</v>
      </c>
      <c r="F19" s="1">
        <v>25</v>
      </c>
      <c r="G19" s="1">
        <v>8</v>
      </c>
      <c r="Q19" s="1">
        <v>135</v>
      </c>
      <c r="R19" s="1">
        <v>8</v>
      </c>
    </row>
    <row r="21" spans="2:18" s="3" customFormat="1" ht="15" x14ac:dyDescent="0.25">
      <c r="B21" s="3" t="s">
        <v>7</v>
      </c>
      <c r="C21" s="4">
        <f>+SUM(C16:C19)</f>
        <v>3248</v>
      </c>
      <c r="D21" s="4">
        <f>+SUM(D16:D19)</f>
        <v>1913</v>
      </c>
      <c r="E21" s="4">
        <f t="shared" ref="E21:I21" si="3">+SUM(E16:E19)</f>
        <v>2813</v>
      </c>
      <c r="F21" s="4">
        <f t="shared" si="3"/>
        <v>3165</v>
      </c>
      <c r="G21" s="4">
        <f>+SUM(G16:G19)</f>
        <v>2903</v>
      </c>
      <c r="H21" s="4">
        <f t="shared" si="3"/>
        <v>3929</v>
      </c>
      <c r="I21" s="4">
        <f t="shared" si="3"/>
        <v>4845</v>
      </c>
      <c r="J21" s="4">
        <f>+SUM(J16:J19)</f>
        <v>5778</v>
      </c>
      <c r="P21" s="4">
        <v>13000</v>
      </c>
      <c r="Q21" s="4">
        <f>+SUM(Q16:Q19)</f>
        <v>11139</v>
      </c>
      <c r="R21" s="4">
        <f>+SUM(R16:R19)</f>
        <v>17455</v>
      </c>
    </row>
    <row r="22" spans="2:18" x14ac:dyDescent="0.2">
      <c r="B22" t="s">
        <v>20</v>
      </c>
      <c r="C22" s="1">
        <v>1491</v>
      </c>
      <c r="D22" s="1">
        <v>924</v>
      </c>
      <c r="E22" s="1">
        <v>1298</v>
      </c>
      <c r="F22" s="1">
        <v>1441</v>
      </c>
      <c r="G22" s="1">
        <v>1710</v>
      </c>
      <c r="H22" s="1">
        <v>2099</v>
      </c>
      <c r="I22" s="1">
        <v>2438</v>
      </c>
      <c r="J22" s="1">
        <v>3104</v>
      </c>
      <c r="P22" s="1">
        <v>6061</v>
      </c>
      <c r="Q22" s="1">
        <v>5154</v>
      </c>
      <c r="R22" s="1">
        <v>9351</v>
      </c>
    </row>
    <row r="23" spans="2:18" x14ac:dyDescent="0.2">
      <c r="B23" t="s">
        <v>19</v>
      </c>
      <c r="C23" s="1">
        <v>503</v>
      </c>
      <c r="D23" s="1">
        <v>582</v>
      </c>
      <c r="E23" s="1">
        <v>365</v>
      </c>
      <c r="F23" s="1">
        <v>369</v>
      </c>
      <c r="G23" s="1">
        <v>423</v>
      </c>
      <c r="H23" s="1">
        <v>432</v>
      </c>
      <c r="I23" s="1">
        <v>475</v>
      </c>
      <c r="J23" s="1">
        <v>369</v>
      </c>
      <c r="P23" s="1">
        <v>2302</v>
      </c>
      <c r="Q23" s="1">
        <v>1819</v>
      </c>
      <c r="R23" s="1">
        <v>1877</v>
      </c>
    </row>
    <row r="24" spans="2:18" x14ac:dyDescent="0.2">
      <c r="B24" t="s">
        <v>21</v>
      </c>
      <c r="C24" s="1">
        <f t="shared" ref="C24:J24" si="4">+SUM(C22:C23)</f>
        <v>1994</v>
      </c>
      <c r="D24" s="1">
        <f t="shared" si="4"/>
        <v>1506</v>
      </c>
      <c r="E24" s="1">
        <f t="shared" si="4"/>
        <v>1663</v>
      </c>
      <c r="F24" s="1">
        <f t="shared" si="4"/>
        <v>1810</v>
      </c>
      <c r="G24" s="1">
        <f t="shared" si="4"/>
        <v>2133</v>
      </c>
      <c r="H24" s="1">
        <f t="shared" si="4"/>
        <v>2531</v>
      </c>
      <c r="I24" s="1">
        <f t="shared" si="4"/>
        <v>2913</v>
      </c>
      <c r="J24" s="1">
        <f t="shared" si="4"/>
        <v>3473</v>
      </c>
      <c r="P24" s="1">
        <f>+SUM(P22:P23)</f>
        <v>8363</v>
      </c>
      <c r="Q24" s="1">
        <f>+SUM(Q22:Q23)</f>
        <v>6973</v>
      </c>
      <c r="R24" s="1">
        <f>+SUM(R22:R23)</f>
        <v>11228</v>
      </c>
    </row>
    <row r="25" spans="2:18" x14ac:dyDescent="0.2">
      <c r="B25" t="s">
        <v>22</v>
      </c>
      <c r="C25" s="1">
        <f t="shared" ref="C25:J25" si="5">+C21-C24</f>
        <v>1254</v>
      </c>
      <c r="D25" s="1">
        <f t="shared" si="5"/>
        <v>407</v>
      </c>
      <c r="E25" s="1">
        <f t="shared" si="5"/>
        <v>1150</v>
      </c>
      <c r="F25" s="1">
        <f t="shared" si="5"/>
        <v>1355</v>
      </c>
      <c r="G25" s="1">
        <f t="shared" si="5"/>
        <v>770</v>
      </c>
      <c r="H25" s="1">
        <f t="shared" si="5"/>
        <v>1398</v>
      </c>
      <c r="I25" s="1">
        <f t="shared" si="5"/>
        <v>1932</v>
      </c>
      <c r="J25" s="1">
        <f t="shared" si="5"/>
        <v>2305</v>
      </c>
      <c r="P25" s="1">
        <f>+P21-P24</f>
        <v>4637</v>
      </c>
      <c r="Q25" s="1">
        <f>+Q21-Q24</f>
        <v>4166</v>
      </c>
      <c r="R25" s="1">
        <f>+R21-R24</f>
        <v>6227</v>
      </c>
    </row>
    <row r="26" spans="2:18" x14ac:dyDescent="0.2">
      <c r="B26" t="s">
        <v>23</v>
      </c>
      <c r="C26" s="1">
        <v>885</v>
      </c>
      <c r="D26" s="1">
        <v>736</v>
      </c>
      <c r="E26" s="1">
        <v>924</v>
      </c>
      <c r="F26" s="1">
        <v>1038</v>
      </c>
      <c r="G26" s="1">
        <v>1103</v>
      </c>
      <c r="H26" s="1">
        <v>1256</v>
      </c>
      <c r="I26" s="1">
        <v>1168</v>
      </c>
      <c r="J26" s="1">
        <v>1262</v>
      </c>
      <c r="K26" s="1">
        <v>1295</v>
      </c>
      <c r="P26" s="1">
        <v>4626</v>
      </c>
      <c r="Q26" s="1">
        <v>3583</v>
      </c>
      <c r="R26" s="1">
        <v>4789</v>
      </c>
    </row>
    <row r="27" spans="2:18" x14ac:dyDescent="0.2">
      <c r="B27" t="s">
        <v>24</v>
      </c>
      <c r="C27" s="1">
        <v>645</v>
      </c>
      <c r="D27" s="1">
        <v>584</v>
      </c>
      <c r="E27" s="1">
        <v>493</v>
      </c>
      <c r="F27" s="1">
        <v>483</v>
      </c>
      <c r="G27" s="1">
        <v>515</v>
      </c>
      <c r="H27" s="1">
        <v>488</v>
      </c>
      <c r="I27" s="1">
        <v>493</v>
      </c>
      <c r="J27" s="1">
        <v>558</v>
      </c>
      <c r="P27" s="1">
        <v>4836</v>
      </c>
      <c r="Q27" s="1">
        <v>2205</v>
      </c>
      <c r="R27" s="1">
        <v>2054</v>
      </c>
    </row>
    <row r="28" spans="2:18" x14ac:dyDescent="0.2">
      <c r="B28" t="s">
        <v>25</v>
      </c>
      <c r="C28" s="1">
        <v>859</v>
      </c>
      <c r="D28" s="1">
        <v>565</v>
      </c>
      <c r="E28" s="1">
        <v>711</v>
      </c>
      <c r="F28" s="1">
        <v>531</v>
      </c>
      <c r="G28" s="1">
        <v>464</v>
      </c>
      <c r="H28" s="1">
        <v>616</v>
      </c>
      <c r="I28" s="1">
        <v>625</v>
      </c>
      <c r="J28" s="1">
        <v>611</v>
      </c>
      <c r="P28" s="1">
        <v>3299</v>
      </c>
      <c r="Q28" s="1">
        <v>2666</v>
      </c>
      <c r="R28" s="1">
        <v>2316</v>
      </c>
    </row>
    <row r="29" spans="2:18" x14ac:dyDescent="0.2">
      <c r="B29" t="s">
        <v>26</v>
      </c>
      <c r="C29" s="1">
        <f t="shared" ref="C29:J29" si="6">+SUM(C26:C28)</f>
        <v>2389</v>
      </c>
      <c r="D29" s="1">
        <f t="shared" si="6"/>
        <v>1885</v>
      </c>
      <c r="E29" s="1">
        <f t="shared" si="6"/>
        <v>2128</v>
      </c>
      <c r="F29" s="1">
        <f t="shared" si="6"/>
        <v>2052</v>
      </c>
      <c r="G29" s="1">
        <f t="shared" si="6"/>
        <v>2082</v>
      </c>
      <c r="H29" s="1">
        <f t="shared" si="6"/>
        <v>2360</v>
      </c>
      <c r="I29" s="1">
        <f t="shared" si="6"/>
        <v>2286</v>
      </c>
      <c r="J29" s="1">
        <f t="shared" si="6"/>
        <v>2431</v>
      </c>
      <c r="P29" s="1">
        <f>+SUM(P26:P28)</f>
        <v>12761</v>
      </c>
      <c r="Q29" s="1">
        <f>+SUM(Q26:Q28)</f>
        <v>8454</v>
      </c>
      <c r="R29" s="1">
        <f>+SUM(R26:R28)</f>
        <v>9159</v>
      </c>
    </row>
    <row r="30" spans="2:18" x14ac:dyDescent="0.2">
      <c r="B30" t="s">
        <v>27</v>
      </c>
      <c r="C30" s="1">
        <f t="shared" ref="C30:J30" si="7">+C25-C29</f>
        <v>-1135</v>
      </c>
      <c r="D30" s="1">
        <f t="shared" si="7"/>
        <v>-1478</v>
      </c>
      <c r="E30" s="1">
        <f t="shared" si="7"/>
        <v>-978</v>
      </c>
      <c r="F30" s="1">
        <f t="shared" si="7"/>
        <v>-697</v>
      </c>
      <c r="G30" s="1">
        <f t="shared" si="7"/>
        <v>-1312</v>
      </c>
      <c r="H30" s="1">
        <f t="shared" si="7"/>
        <v>-962</v>
      </c>
      <c r="I30" s="1">
        <f t="shared" si="7"/>
        <v>-354</v>
      </c>
      <c r="J30" s="1">
        <f t="shared" si="7"/>
        <v>-126</v>
      </c>
      <c r="P30" s="1">
        <f>+P25-P29</f>
        <v>-8124</v>
      </c>
      <c r="Q30" s="1">
        <f>+Q25-Q29</f>
        <v>-4288</v>
      </c>
      <c r="R30" s="1">
        <f>+R25-R29</f>
        <v>-2932</v>
      </c>
    </row>
    <row r="31" spans="2:18" x14ac:dyDescent="0.2">
      <c r="B31" t="s">
        <v>28</v>
      </c>
      <c r="C31" s="1">
        <f>+-118+-1795</f>
        <v>-1913</v>
      </c>
      <c r="D31" s="1">
        <f>+-110+-44</f>
        <v>-154</v>
      </c>
      <c r="E31" s="1">
        <f>+-112+151</f>
        <v>39</v>
      </c>
      <c r="F31" s="1">
        <f>+-118+63</f>
        <v>-55</v>
      </c>
      <c r="G31" s="1">
        <f>+-115+1710</f>
        <v>1595</v>
      </c>
      <c r="H31" s="1">
        <f>+-115+1943</f>
        <v>1828</v>
      </c>
      <c r="I31" s="1">
        <f>+-123+-1832</f>
        <v>-1955</v>
      </c>
      <c r="J31" s="1">
        <f>+-130+1471</f>
        <v>1341</v>
      </c>
      <c r="P31" s="1">
        <f>+-599+722</f>
        <v>123</v>
      </c>
      <c r="Q31" s="1">
        <f>+-458+-1625</f>
        <v>-2083</v>
      </c>
      <c r="R31" s="1">
        <f>+-483+3292</f>
        <v>2809</v>
      </c>
    </row>
    <row r="32" spans="2:18" x14ac:dyDescent="0.2">
      <c r="B32" t="s">
        <v>29</v>
      </c>
      <c r="C32" s="1">
        <f t="shared" ref="C32:J32" si="8">+C30+C31</f>
        <v>-3048</v>
      </c>
      <c r="D32" s="1">
        <f t="shared" si="8"/>
        <v>-1632</v>
      </c>
      <c r="E32" s="1">
        <f t="shared" si="8"/>
        <v>-939</v>
      </c>
      <c r="F32" s="1">
        <f t="shared" si="8"/>
        <v>-752</v>
      </c>
      <c r="G32" s="1">
        <f t="shared" si="8"/>
        <v>283</v>
      </c>
      <c r="H32" s="1">
        <f t="shared" si="8"/>
        <v>866</v>
      </c>
      <c r="I32" s="1">
        <f t="shared" si="8"/>
        <v>-2309</v>
      </c>
      <c r="J32" s="1">
        <f t="shared" si="8"/>
        <v>1215</v>
      </c>
      <c r="P32" s="1">
        <f>+P30+P31</f>
        <v>-8001</v>
      </c>
      <c r="Q32" s="1">
        <f>+Q30+Q31</f>
        <v>-6371</v>
      </c>
      <c r="R32" s="1">
        <f>+R30+R31</f>
        <v>-123</v>
      </c>
    </row>
    <row r="33" spans="2:18" x14ac:dyDescent="0.2">
      <c r="B33" t="s">
        <v>30</v>
      </c>
      <c r="C33" s="1">
        <v>-242</v>
      </c>
      <c r="D33" s="1">
        <v>4</v>
      </c>
      <c r="E33" s="1">
        <v>23</v>
      </c>
      <c r="F33" s="1">
        <v>23</v>
      </c>
      <c r="G33" s="1">
        <v>185</v>
      </c>
      <c r="H33" s="1">
        <v>-479</v>
      </c>
      <c r="I33" s="1">
        <v>-101</v>
      </c>
      <c r="J33" s="1">
        <v>-97</v>
      </c>
      <c r="P33" s="1">
        <v>45</v>
      </c>
      <c r="Q33" s="1">
        <v>-192</v>
      </c>
      <c r="R33" s="1">
        <v>-492</v>
      </c>
    </row>
    <row r="34" spans="2:18" x14ac:dyDescent="0.2">
      <c r="B34" t="s">
        <v>31</v>
      </c>
      <c r="C34" s="1">
        <v>-12</v>
      </c>
      <c r="D34" s="1">
        <v>-7</v>
      </c>
      <c r="E34" s="1">
        <v>-8</v>
      </c>
      <c r="F34" s="1">
        <v>-7</v>
      </c>
      <c r="G34" s="1">
        <v>-8</v>
      </c>
      <c r="H34" s="1">
        <v>-7</v>
      </c>
      <c r="I34" s="1">
        <v>-13</v>
      </c>
      <c r="J34" s="1">
        <v>-9</v>
      </c>
      <c r="P34" s="1">
        <v>-34</v>
      </c>
      <c r="Q34" s="1">
        <v>-34</v>
      </c>
      <c r="R34" s="1">
        <v>-37</v>
      </c>
    </row>
    <row r="35" spans="2:18" x14ac:dyDescent="0.2">
      <c r="B35" t="s">
        <v>32</v>
      </c>
      <c r="C35" s="1">
        <v>-10</v>
      </c>
      <c r="D35" s="1">
        <v>3</v>
      </c>
      <c r="E35" s="1">
        <v>-19</v>
      </c>
      <c r="F35" s="1">
        <v>6</v>
      </c>
      <c r="G35" s="1">
        <v>-14</v>
      </c>
      <c r="H35" s="1">
        <v>-32</v>
      </c>
      <c r="I35" s="1">
        <v>-15</v>
      </c>
      <c r="J35" s="1">
        <v>-13</v>
      </c>
      <c r="P35" s="1">
        <v>-6</v>
      </c>
      <c r="Q35" s="1">
        <v>-20</v>
      </c>
      <c r="R35" s="1">
        <v>-74</v>
      </c>
    </row>
    <row r="36" spans="2:18" s="3" customFormat="1" ht="15" x14ac:dyDescent="0.25">
      <c r="B36" s="3" t="s">
        <v>33</v>
      </c>
      <c r="C36" s="4">
        <f t="shared" ref="C36:J36" si="9">+C32-C33+C34+C35</f>
        <v>-2828</v>
      </c>
      <c r="D36" s="4">
        <f t="shared" si="9"/>
        <v>-1640</v>
      </c>
      <c r="E36" s="4">
        <f t="shared" si="9"/>
        <v>-989</v>
      </c>
      <c r="F36" s="4">
        <f t="shared" si="9"/>
        <v>-776</v>
      </c>
      <c r="G36" s="4">
        <f t="shared" si="9"/>
        <v>76</v>
      </c>
      <c r="H36" s="4">
        <f t="shared" si="9"/>
        <v>1306</v>
      </c>
      <c r="I36" s="4">
        <f t="shared" si="9"/>
        <v>-2236</v>
      </c>
      <c r="J36" s="4">
        <f t="shared" si="9"/>
        <v>1290</v>
      </c>
      <c r="P36" s="4">
        <f>+P32-P33+P34+P35</f>
        <v>-8086</v>
      </c>
      <c r="Q36" s="4">
        <f>+Q32-Q33+Q34+Q35</f>
        <v>-6233</v>
      </c>
      <c r="R36" s="4">
        <f>+R32-R33+R34+R35</f>
        <v>258</v>
      </c>
    </row>
    <row r="37" spans="2:18" x14ac:dyDescent="0.2">
      <c r="B37" t="s">
        <v>1</v>
      </c>
      <c r="C37" s="1">
        <v>1724.367</v>
      </c>
      <c r="D37" s="1">
        <v>1738.8969999999999</v>
      </c>
      <c r="E37" s="1">
        <v>1755.029</v>
      </c>
      <c r="F37" s="1">
        <v>1793.0840000000001</v>
      </c>
      <c r="G37" s="1">
        <v>1858.5250000000001</v>
      </c>
      <c r="H37" s="1">
        <v>1955.9749999999999</v>
      </c>
      <c r="I37" s="1">
        <v>1898.954</v>
      </c>
      <c r="J37" s="1">
        <v>2005.5909999999999</v>
      </c>
      <c r="P37" s="1">
        <v>1248.3530000000001</v>
      </c>
      <c r="Q37" s="1">
        <v>1752.96</v>
      </c>
      <c r="R37" s="1">
        <v>1895.519</v>
      </c>
    </row>
    <row r="38" spans="2:18" x14ac:dyDescent="0.2">
      <c r="B38" t="s">
        <v>34</v>
      </c>
      <c r="C38" s="5">
        <f t="shared" ref="C38:J38" si="10">+C36/C37</f>
        <v>-1.6400221066629088</v>
      </c>
      <c r="D38" s="5">
        <f t="shared" si="10"/>
        <v>-0.94312659116669939</v>
      </c>
      <c r="E38" s="5">
        <f t="shared" si="10"/>
        <v>-0.56352345174923035</v>
      </c>
      <c r="F38" s="5">
        <f t="shared" si="10"/>
        <v>-0.43277392470179865</v>
      </c>
      <c r="G38" s="5">
        <f t="shared" si="10"/>
        <v>4.0892643359653487E-2</v>
      </c>
      <c r="H38" s="5">
        <f t="shared" si="10"/>
        <v>0.66769769552269331</v>
      </c>
      <c r="I38" s="5">
        <f t="shared" si="10"/>
        <v>-1.1774903446844946</v>
      </c>
      <c r="J38" s="5">
        <f t="shared" si="10"/>
        <v>0.64320192900745965</v>
      </c>
      <c r="P38" s="5">
        <f>+P36/P37</f>
        <v>-6.4773345359846131</v>
      </c>
      <c r="Q38" s="5">
        <f>+Q36/Q37</f>
        <v>-3.55570007301935</v>
      </c>
      <c r="R38" s="5">
        <f>+R36/R37</f>
        <v>0.13611047950455785</v>
      </c>
    </row>
    <row r="40" spans="2:18" x14ac:dyDescent="0.2">
      <c r="B40" t="s">
        <v>35</v>
      </c>
      <c r="C40" s="6">
        <f t="shared" ref="C40:D40" si="11">+C25/C21</f>
        <v>0.38608374384236455</v>
      </c>
      <c r="D40" s="6">
        <f t="shared" si="11"/>
        <v>0.21275483533716674</v>
      </c>
      <c r="E40" s="6">
        <f t="shared" ref="E40:F40" si="12">+E25/E21</f>
        <v>0.40881621045147531</v>
      </c>
      <c r="F40" s="6">
        <f t="shared" si="12"/>
        <v>0.42812006319115326</v>
      </c>
      <c r="G40" s="6">
        <f t="shared" ref="G40:H40" si="13">+G25/G21</f>
        <v>0.26524285222183946</v>
      </c>
      <c r="H40" s="6">
        <f t="shared" si="13"/>
        <v>0.35581572919317894</v>
      </c>
      <c r="I40" s="6">
        <f t="shared" ref="I40:J40" si="14">+I25/I21</f>
        <v>0.39876160990712073</v>
      </c>
      <c r="J40" s="6">
        <f t="shared" si="14"/>
        <v>0.39892696434752511</v>
      </c>
      <c r="P40" s="6">
        <f t="shared" ref="P40:Q40" si="15">+P25/P21</f>
        <v>0.3566923076923077</v>
      </c>
      <c r="Q40" s="6">
        <f t="shared" si="15"/>
        <v>0.37400125684531826</v>
      </c>
      <c r="R40" s="6">
        <f>+R25/R21</f>
        <v>0.35674591807505013</v>
      </c>
    </row>
    <row r="41" spans="2:18" x14ac:dyDescent="0.2">
      <c r="B41" t="s">
        <v>36</v>
      </c>
      <c r="C41" s="6">
        <f t="shared" ref="C41:D41" si="16">+C30/C21</f>
        <v>-0.34944581280788178</v>
      </c>
      <c r="D41" s="6">
        <f t="shared" si="16"/>
        <v>-0.77260846837428121</v>
      </c>
      <c r="E41" s="6">
        <f t="shared" ref="E41:F41" si="17">+E30/E21</f>
        <v>-0.34767152506221116</v>
      </c>
      <c r="F41" s="6">
        <f t="shared" si="17"/>
        <v>-0.2202211690363349</v>
      </c>
      <c r="G41" s="6">
        <f>+G30/G21</f>
        <v>-0.45194626248708231</v>
      </c>
      <c r="H41" s="6">
        <f>+H30/H21</f>
        <v>-0.24484601679816748</v>
      </c>
      <c r="I41" s="6">
        <f t="shared" ref="I41:J41" si="18">+I30/I21</f>
        <v>-7.3065015479876164E-2</v>
      </c>
      <c r="J41" s="6">
        <f t="shared" si="18"/>
        <v>-2.1806853582554516E-2</v>
      </c>
      <c r="P41" s="6">
        <f t="shared" ref="P41:Q41" si="19">+P30/P21</f>
        <v>-0.62492307692307691</v>
      </c>
      <c r="Q41" s="6">
        <f t="shared" si="19"/>
        <v>-0.38495376604722148</v>
      </c>
      <c r="R41" s="6">
        <f>+R30/R21</f>
        <v>-0.16797479232311657</v>
      </c>
    </row>
    <row r="42" spans="2:18" x14ac:dyDescent="0.2">
      <c r="B42" t="s">
        <v>37</v>
      </c>
      <c r="C42" s="6">
        <f t="shared" ref="C42:D42" si="20">+C33/C32</f>
        <v>7.9396325459317588E-2</v>
      </c>
      <c r="D42" s="6">
        <f t="shared" si="20"/>
        <v>-2.4509803921568627E-3</v>
      </c>
      <c r="E42" s="6">
        <f t="shared" ref="E42:F42" si="21">+E33/E32</f>
        <v>-2.4494142705005325E-2</v>
      </c>
      <c r="F42" s="6">
        <f t="shared" si="21"/>
        <v>-3.0585106382978722E-2</v>
      </c>
      <c r="G42" s="6">
        <f t="shared" ref="G42:H42" si="22">+G33/G32</f>
        <v>0.6537102473498233</v>
      </c>
      <c r="H42" s="6">
        <f t="shared" si="22"/>
        <v>-0.55311778290993074</v>
      </c>
      <c r="I42" s="6">
        <f t="shared" ref="I42:J42" si="23">+I33/I32</f>
        <v>4.3741879601559119E-2</v>
      </c>
      <c r="J42" s="6">
        <f t="shared" si="23"/>
        <v>-7.9835390946502063E-2</v>
      </c>
      <c r="P42" s="6">
        <f t="shared" ref="P42" si="24">+P33/P32</f>
        <v>-5.6242969628796397E-3</v>
      </c>
      <c r="Q42" s="6">
        <f>+Q33/Q32</f>
        <v>3.0136556270601161E-2</v>
      </c>
      <c r="R42" s="6">
        <f>+R33/R32</f>
        <v>4</v>
      </c>
    </row>
    <row r="43" spans="2:18" x14ac:dyDescent="0.2">
      <c r="C43" s="6"/>
      <c r="D43" s="6"/>
      <c r="E43" s="6"/>
      <c r="F43" s="6"/>
      <c r="G43" s="6"/>
      <c r="H43" s="6"/>
      <c r="I43" s="6"/>
      <c r="J43" s="6"/>
      <c r="P43" s="6"/>
      <c r="Q43" s="6"/>
      <c r="R43" s="6"/>
    </row>
    <row r="44" spans="2:18" x14ac:dyDescent="0.2">
      <c r="B44" t="s">
        <v>150</v>
      </c>
      <c r="C44" s="6">
        <f t="shared" ref="C44:I46" si="25">+C16/$J$21</f>
        <v>0.42696434752509521</v>
      </c>
      <c r="D44" s="6">
        <f t="shared" si="25"/>
        <v>0.13620629975770163</v>
      </c>
      <c r="E44" s="6">
        <f t="shared" si="25"/>
        <v>0.23606784354447907</v>
      </c>
      <c r="F44" s="6">
        <f t="shared" si="25"/>
        <v>0.25458636206299756</v>
      </c>
      <c r="G44" s="6">
        <f t="shared" si="25"/>
        <v>0.14762893734856353</v>
      </c>
      <c r="H44" s="6">
        <f t="shared" si="25"/>
        <v>0.28002769124264454</v>
      </c>
      <c r="I44" s="6">
        <f t="shared" si="25"/>
        <v>0.38161993769470404</v>
      </c>
      <c r="J44" s="6">
        <f>+J16/$J$21</f>
        <v>0.39425406715126343</v>
      </c>
      <c r="P44" s="6"/>
      <c r="Q44" s="6"/>
      <c r="R44" s="6"/>
    </row>
    <row r="45" spans="2:18" x14ac:dyDescent="0.2">
      <c r="B45" t="s">
        <v>151</v>
      </c>
      <c r="C45" s="6">
        <f t="shared" si="25"/>
        <v>9.1208030460366907E-2</v>
      </c>
      <c r="D45" s="6">
        <f t="shared" si="25"/>
        <v>0.15334025614399446</v>
      </c>
      <c r="E45" s="6">
        <f t="shared" si="25"/>
        <v>0.19660782277604708</v>
      </c>
      <c r="F45" s="6">
        <f t="shared" si="25"/>
        <v>0.23468328141225336</v>
      </c>
      <c r="G45" s="6">
        <f t="shared" si="25"/>
        <v>0.30131533402561439</v>
      </c>
      <c r="H45" s="6">
        <f t="shared" si="25"/>
        <v>0.33973693319487713</v>
      </c>
      <c r="I45" s="6">
        <f t="shared" si="25"/>
        <v>0.387331256490135</v>
      </c>
      <c r="J45" s="6">
        <f t="shared" ref="J45:J46" si="26">+J17/$J$21</f>
        <v>0.41883004499826931</v>
      </c>
      <c r="P45" s="6"/>
      <c r="Q45" s="6"/>
      <c r="R45" s="6"/>
    </row>
    <row r="46" spans="2:18" x14ac:dyDescent="0.2">
      <c r="B46" t="s">
        <v>152</v>
      </c>
      <c r="C46" s="6">
        <f t="shared" si="25"/>
        <v>3.444098303911388E-2</v>
      </c>
      <c r="D46" s="6">
        <f t="shared" si="25"/>
        <v>3.6517826237452408E-2</v>
      </c>
      <c r="E46" s="6">
        <f t="shared" si="25"/>
        <v>4.9844236760124609E-2</v>
      </c>
      <c r="F46" s="6">
        <f t="shared" si="25"/>
        <v>5.4170993423329872E-2</v>
      </c>
      <c r="G46" s="6">
        <f t="shared" si="25"/>
        <v>5.2094150224991344E-2</v>
      </c>
      <c r="H46" s="6">
        <f t="shared" si="25"/>
        <v>6.0228452751817235E-2</v>
      </c>
      <c r="I46" s="6">
        <f t="shared" si="25"/>
        <v>6.9574247144340601E-2</v>
      </c>
      <c r="J46" s="6">
        <f t="shared" si="26"/>
        <v>0.18691588785046728</v>
      </c>
      <c r="P46" s="6"/>
      <c r="Q46" s="6"/>
      <c r="R46" s="6"/>
    </row>
    <row r="48" spans="2:18" x14ac:dyDescent="0.2">
      <c r="B48" t="s">
        <v>38</v>
      </c>
      <c r="G48" s="6">
        <f>+G21/C21-1</f>
        <v>-0.10621921182266014</v>
      </c>
      <c r="H48" s="6">
        <f>+H21/D21-1</f>
        <v>1.053842132775745</v>
      </c>
      <c r="I48" s="6">
        <f>+I21/E21-1</f>
        <v>0.72236046924991104</v>
      </c>
      <c r="J48" s="6">
        <f>+J21/F21-1</f>
        <v>0.82559241706161135</v>
      </c>
      <c r="Q48" s="6">
        <f>+Q21/P21-1</f>
        <v>-0.14315384615384619</v>
      </c>
      <c r="R48" s="6">
        <f>+R21/Q21-1</f>
        <v>0.56701678786246523</v>
      </c>
    </row>
    <row r="49" spans="2:18" x14ac:dyDescent="0.2">
      <c r="G49" s="6"/>
      <c r="H49" s="6"/>
      <c r="I49" s="6"/>
      <c r="J49" s="6"/>
      <c r="Q49" s="6"/>
      <c r="R49" s="6"/>
    </row>
    <row r="50" spans="2:18" x14ac:dyDescent="0.2">
      <c r="B50" t="s">
        <v>155</v>
      </c>
      <c r="G50" s="6">
        <f t="shared" ref="G50:I50" si="27">+G26/C26-1</f>
        <v>0.24632768361581925</v>
      </c>
      <c r="H50" s="6">
        <f t="shared" si="27"/>
        <v>0.70652173913043481</v>
      </c>
      <c r="I50" s="6">
        <f t="shared" si="27"/>
        <v>0.26406926406926412</v>
      </c>
      <c r="J50" s="6">
        <f>+J26/F26-1</f>
        <v>0.21579961464354525</v>
      </c>
      <c r="K50" s="6">
        <f>+K26/G26-1</f>
        <v>0.17407071622846781</v>
      </c>
    </row>
    <row r="51" spans="2:18" x14ac:dyDescent="0.2">
      <c r="B51" t="s">
        <v>153</v>
      </c>
      <c r="G51" s="6">
        <f t="shared" ref="G51:I51" si="28">+G27/C27-1</f>
        <v>-0.20155038759689925</v>
      </c>
      <c r="H51" s="6">
        <f t="shared" si="28"/>
        <v>-0.16438356164383561</v>
      </c>
      <c r="I51" s="6">
        <f t="shared" si="28"/>
        <v>0</v>
      </c>
      <c r="J51" s="6">
        <f>+J27/F27-1</f>
        <v>0.15527950310559002</v>
      </c>
    </row>
    <row r="52" spans="2:18" x14ac:dyDescent="0.2">
      <c r="B52" t="s">
        <v>154</v>
      </c>
      <c r="G52" s="6">
        <f t="shared" ref="G52:I52" si="29">+G28/C28-1</f>
        <v>-0.45983701979045399</v>
      </c>
      <c r="H52" s="6">
        <f t="shared" si="29"/>
        <v>9.0265486725663813E-2</v>
      </c>
      <c r="I52" s="6">
        <f t="shared" si="29"/>
        <v>-0.1209563994374121</v>
      </c>
      <c r="J52" s="6">
        <f>+J28/F28-1</f>
        <v>0.15065913370998119</v>
      </c>
    </row>
    <row r="56" spans="2:18" s="3" customFormat="1" ht="15" x14ac:dyDescent="0.25">
      <c r="B56" s="3" t="s">
        <v>55</v>
      </c>
      <c r="F56" s="4">
        <f>+F57-F74</f>
        <v>11142</v>
      </c>
      <c r="G56" s="4">
        <f>+G57-G74</f>
        <v>12546</v>
      </c>
      <c r="H56" s="4">
        <f>+H57-H74</f>
        <v>14087</v>
      </c>
      <c r="I56" s="4">
        <f>+I57-I74</f>
        <v>13721</v>
      </c>
      <c r="J56" s="4">
        <f>+J57-J74</f>
        <v>11135</v>
      </c>
    </row>
    <row r="57" spans="2:18" x14ac:dyDescent="0.2">
      <c r="B57" t="s">
        <v>3</v>
      </c>
      <c r="F57" s="1">
        <f>5647+1180+250+1494+9052+1079</f>
        <v>18702</v>
      </c>
      <c r="G57" s="1">
        <f>4836+819+247+1524+11794+1127</f>
        <v>20347</v>
      </c>
      <c r="H57" s="1">
        <f>4443+560+324+1687+13774+1097</f>
        <v>21885</v>
      </c>
      <c r="I57" s="1">
        <f>6482+414+2894+971+12239</f>
        <v>23000</v>
      </c>
      <c r="J57" s="1">
        <f>4295+631+11806+800+2879</f>
        <v>20411</v>
      </c>
    </row>
    <row r="58" spans="2:18" x14ac:dyDescent="0.2">
      <c r="B58" t="s">
        <v>39</v>
      </c>
      <c r="F58" s="1">
        <v>1073</v>
      </c>
      <c r="G58" s="1">
        <v>1075</v>
      </c>
      <c r="H58" s="1">
        <v>1201</v>
      </c>
      <c r="I58" s="1">
        <v>1333</v>
      </c>
      <c r="J58" s="1">
        <v>2439</v>
      </c>
    </row>
    <row r="59" spans="2:18" x14ac:dyDescent="0.2">
      <c r="B59" t="s">
        <v>40</v>
      </c>
      <c r="F59" s="1">
        <v>1215</v>
      </c>
      <c r="G59" s="1">
        <v>1318</v>
      </c>
      <c r="H59" s="1">
        <v>1255</v>
      </c>
      <c r="I59" s="1">
        <v>1455</v>
      </c>
      <c r="J59" s="1">
        <v>1454</v>
      </c>
    </row>
    <row r="60" spans="2:18" x14ac:dyDescent="0.2">
      <c r="B60" t="s">
        <v>41</v>
      </c>
      <c r="F60" s="1">
        <v>517</v>
      </c>
      <c r="G60" s="1"/>
      <c r="H60" s="1"/>
      <c r="I60" s="1"/>
      <c r="J60" s="1"/>
    </row>
    <row r="61" spans="2:18" x14ac:dyDescent="0.2">
      <c r="B61" t="s">
        <v>42</v>
      </c>
      <c r="F61" s="1">
        <v>860</v>
      </c>
      <c r="G61" s="1">
        <v>752</v>
      </c>
      <c r="H61" s="1">
        <v>724</v>
      </c>
      <c r="I61" s="1"/>
      <c r="J61" s="1"/>
    </row>
    <row r="62" spans="2:18" x14ac:dyDescent="0.2">
      <c r="B62" t="s">
        <v>43</v>
      </c>
      <c r="F62" s="1">
        <v>1814</v>
      </c>
      <c r="G62" s="1">
        <v>1757</v>
      </c>
      <c r="H62" s="1">
        <v>1776</v>
      </c>
      <c r="I62" s="1">
        <v>1781</v>
      </c>
      <c r="J62" s="1">
        <v>1853</v>
      </c>
    </row>
    <row r="63" spans="2:18" x14ac:dyDescent="0.2">
      <c r="B63" t="s">
        <v>44</v>
      </c>
      <c r="F63" s="1">
        <v>1274</v>
      </c>
      <c r="G63" s="1">
        <v>1267</v>
      </c>
      <c r="H63" s="1">
        <v>1238</v>
      </c>
      <c r="I63" s="1">
        <v>1218</v>
      </c>
      <c r="J63" s="1">
        <v>1388</v>
      </c>
    </row>
    <row r="64" spans="2:18" x14ac:dyDescent="0.2">
      <c r="B64" t="s">
        <v>45</v>
      </c>
      <c r="F64" s="1">
        <f>1564+6109</f>
        <v>7673</v>
      </c>
      <c r="G64" s="1">
        <f>1455+6352</f>
        <v>7807</v>
      </c>
      <c r="H64" s="1">
        <f>1378+6448</f>
        <v>7826</v>
      </c>
      <c r="I64" s="1">
        <f>1278+6447</f>
        <v>7725</v>
      </c>
      <c r="J64" s="1">
        <f>2412+8420</f>
        <v>10832</v>
      </c>
    </row>
    <row r="65" spans="2:10" x14ac:dyDescent="0.2">
      <c r="B65" t="s">
        <v>46</v>
      </c>
      <c r="F65" s="1">
        <v>124</v>
      </c>
      <c r="G65" s="1">
        <v>332</v>
      </c>
      <c r="H65" s="1">
        <v>346</v>
      </c>
      <c r="I65" s="1">
        <v>372</v>
      </c>
      <c r="J65" s="1">
        <v>397</v>
      </c>
    </row>
    <row r="66" spans="2:10" x14ac:dyDescent="0.2">
      <c r="B66" t="s">
        <v>47</v>
      </c>
      <c r="F66" s="1">
        <f>+SUM(F57:F65)</f>
        <v>33252</v>
      </c>
      <c r="G66" s="1">
        <f>+SUM(G57:G65)</f>
        <v>34655</v>
      </c>
      <c r="H66" s="1">
        <f>+SUM(H57:H65)</f>
        <v>36251</v>
      </c>
      <c r="I66" s="1">
        <f>+SUM(I57:I65)</f>
        <v>36884</v>
      </c>
      <c r="J66" s="1">
        <f>+SUM(J57:J65)</f>
        <v>38774</v>
      </c>
    </row>
    <row r="68" spans="2:10" x14ac:dyDescent="0.2">
      <c r="B68" t="s">
        <v>48</v>
      </c>
      <c r="F68" s="1">
        <v>235</v>
      </c>
      <c r="G68" s="1">
        <v>232</v>
      </c>
      <c r="H68" s="1">
        <v>429</v>
      </c>
      <c r="I68" s="1">
        <v>310</v>
      </c>
      <c r="J68" s="1">
        <v>860</v>
      </c>
    </row>
    <row r="69" spans="2:10" x14ac:dyDescent="0.2">
      <c r="B69" t="s">
        <v>49</v>
      </c>
      <c r="F69" s="1">
        <v>1243</v>
      </c>
      <c r="G69" s="1">
        <v>1216</v>
      </c>
      <c r="H69" s="1">
        <v>1221</v>
      </c>
      <c r="I69" s="1">
        <v>1379</v>
      </c>
      <c r="J69" s="1">
        <v>1442</v>
      </c>
    </row>
    <row r="70" spans="2:10" x14ac:dyDescent="0.2">
      <c r="B70" t="s">
        <v>44</v>
      </c>
      <c r="F70" s="1">
        <v>175</v>
      </c>
      <c r="G70" s="1">
        <v>171</v>
      </c>
      <c r="H70" s="1">
        <v>177</v>
      </c>
      <c r="I70" s="1">
        <v>168</v>
      </c>
      <c r="J70" s="1">
        <v>185</v>
      </c>
    </row>
    <row r="71" spans="2:10" x14ac:dyDescent="0.2">
      <c r="B71" t="s">
        <v>50</v>
      </c>
      <c r="F71" s="1">
        <v>5112</v>
      </c>
      <c r="G71" s="1">
        <v>5669</v>
      </c>
      <c r="H71" s="1">
        <v>5857</v>
      </c>
      <c r="I71" s="1">
        <v>6269</v>
      </c>
      <c r="J71" s="1">
        <v>6537</v>
      </c>
    </row>
    <row r="72" spans="2:10" x14ac:dyDescent="0.2">
      <c r="B72" t="s">
        <v>56</v>
      </c>
      <c r="F72" s="1">
        <v>100</v>
      </c>
      <c r="G72" s="1"/>
      <c r="H72" s="1"/>
      <c r="I72" s="1"/>
      <c r="J72" s="1"/>
    </row>
    <row r="73" spans="2:10" x14ac:dyDescent="0.2">
      <c r="B73" t="s">
        <v>51</v>
      </c>
      <c r="F73" s="1">
        <v>2223</v>
      </c>
      <c r="G73" s="1">
        <v>2224</v>
      </c>
      <c r="H73" s="1">
        <v>2268</v>
      </c>
      <c r="I73" s="1">
        <v>2577</v>
      </c>
      <c r="J73" s="1">
        <v>2546</v>
      </c>
    </row>
    <row r="74" spans="2:10" x14ac:dyDescent="0.2">
      <c r="B74" t="s">
        <v>4</v>
      </c>
      <c r="F74" s="1">
        <v>7560</v>
      </c>
      <c r="G74" s="1">
        <v>7801</v>
      </c>
      <c r="H74" s="1">
        <v>7798</v>
      </c>
      <c r="I74" s="1">
        <v>9279</v>
      </c>
      <c r="J74" s="1">
        <v>9276</v>
      </c>
    </row>
    <row r="75" spans="2:10" x14ac:dyDescent="0.2">
      <c r="B75" t="s">
        <v>52</v>
      </c>
      <c r="F75" s="1">
        <v>1544</v>
      </c>
      <c r="G75" s="1">
        <v>1531</v>
      </c>
      <c r="H75" s="1">
        <v>1513</v>
      </c>
      <c r="I75" s="1">
        <v>1488</v>
      </c>
      <c r="J75" s="1">
        <v>1644</v>
      </c>
    </row>
    <row r="76" spans="2:10" x14ac:dyDescent="0.2">
      <c r="B76" t="s">
        <v>53</v>
      </c>
      <c r="F76" s="1">
        <v>1306</v>
      </c>
      <c r="G76" s="1">
        <v>1740</v>
      </c>
      <c r="H76" s="1">
        <v>1244</v>
      </c>
      <c r="I76" s="1">
        <v>1129</v>
      </c>
      <c r="J76" s="1">
        <v>935</v>
      </c>
    </row>
    <row r="77" spans="2:10" x14ac:dyDescent="0.2">
      <c r="B77" t="s">
        <v>54</v>
      </c>
      <c r="F77" s="1">
        <f>+SUM(F68:F76)</f>
        <v>19498</v>
      </c>
      <c r="G77" s="1">
        <f>+SUM(G68:G76)</f>
        <v>20584</v>
      </c>
      <c r="H77" s="1">
        <f>+SUM(H68:H76)</f>
        <v>20507</v>
      </c>
      <c r="I77" s="1">
        <f>+SUM(I68:I76)</f>
        <v>22599</v>
      </c>
      <c r="J77" s="1">
        <f>+SUM(J68:J76)</f>
        <v>23425</v>
      </c>
    </row>
    <row r="78" spans="2:10" x14ac:dyDescent="0.2">
      <c r="B78" t="s">
        <v>167</v>
      </c>
      <c r="F78" s="1">
        <f>+F66-F77</f>
        <v>13754</v>
      </c>
      <c r="G78" s="1">
        <f>+G66-G77</f>
        <v>14071</v>
      </c>
      <c r="H78" s="1">
        <f>+H66-H77</f>
        <v>15744</v>
      </c>
      <c r="I78" s="1">
        <f>+I66-I77</f>
        <v>14285</v>
      </c>
      <c r="J78" s="1">
        <f>+J66-J77</f>
        <v>15349</v>
      </c>
    </row>
    <row r="79" spans="2:10" x14ac:dyDescent="0.2">
      <c r="B79" t="s">
        <v>168</v>
      </c>
      <c r="F79" s="1">
        <f t="shared" ref="F79:I79" si="30">+SUM(F77:F78)</f>
        <v>33252</v>
      </c>
      <c r="G79" s="1">
        <f t="shared" si="30"/>
        <v>34655</v>
      </c>
      <c r="H79" s="1">
        <f t="shared" si="30"/>
        <v>36251</v>
      </c>
      <c r="I79" s="1">
        <f t="shared" si="30"/>
        <v>36884</v>
      </c>
      <c r="J79" s="1">
        <f>+SUM(J77:J78)</f>
        <v>38774</v>
      </c>
    </row>
    <row r="80" spans="2:10" x14ac:dyDescent="0.2">
      <c r="F80" s="1"/>
      <c r="G80" s="1"/>
      <c r="H80" s="1"/>
      <c r="I80" s="1"/>
      <c r="J80" s="1"/>
    </row>
    <row r="81" spans="2:10" x14ac:dyDescent="0.2">
      <c r="B81" t="s">
        <v>169</v>
      </c>
      <c r="F81" s="6">
        <f>+F74/F78</f>
        <v>0.54965828122727933</v>
      </c>
      <c r="G81" s="6">
        <f t="shared" ref="G81:J81" si="31">+G74/G78</f>
        <v>0.55440267216260397</v>
      </c>
      <c r="H81" s="6">
        <f t="shared" si="31"/>
        <v>0.49529979674796748</v>
      </c>
      <c r="I81" s="6">
        <f t="shared" si="31"/>
        <v>0.64956247812390622</v>
      </c>
      <c r="J81" s="6">
        <f t="shared" si="31"/>
        <v>0.60433904488891788</v>
      </c>
    </row>
    <row r="82" spans="2:10" x14ac:dyDescent="0.2">
      <c r="F82" s="1"/>
      <c r="G82" s="1"/>
      <c r="H82" s="1"/>
      <c r="I82" s="1"/>
      <c r="J82" s="1"/>
    </row>
    <row r="84" spans="2:10" s="1" customFormat="1" x14ac:dyDescent="0.2">
      <c r="B84" s="1" t="s">
        <v>57</v>
      </c>
      <c r="C84" s="1">
        <f t="shared" ref="C84:J84" si="32">+C36</f>
        <v>-2828</v>
      </c>
      <c r="D84" s="1">
        <f t="shared" si="32"/>
        <v>-1640</v>
      </c>
      <c r="E84" s="1">
        <f t="shared" si="32"/>
        <v>-989</v>
      </c>
      <c r="F84" s="1">
        <f t="shared" si="32"/>
        <v>-776</v>
      </c>
      <c r="G84" s="1">
        <f t="shared" si="32"/>
        <v>76</v>
      </c>
      <c r="H84" s="1">
        <f t="shared" si="32"/>
        <v>1306</v>
      </c>
      <c r="I84" s="1">
        <f t="shared" si="32"/>
        <v>-2236</v>
      </c>
      <c r="J84" s="1">
        <f t="shared" si="32"/>
        <v>1290</v>
      </c>
    </row>
    <row r="85" spans="2:10" s="1" customFormat="1" x14ac:dyDescent="0.2">
      <c r="B85" s="1" t="s">
        <v>58</v>
      </c>
      <c r="C85" s="1">
        <v>-2946</v>
      </c>
      <c r="D85" s="1">
        <v>-4718</v>
      </c>
      <c r="E85" s="1">
        <v>-5826</v>
      </c>
      <c r="F85" s="1">
        <v>-6788</v>
      </c>
      <c r="G85" s="1">
        <v>-122</v>
      </c>
      <c r="H85" s="1">
        <v>990</v>
      </c>
      <c r="I85" s="1">
        <v>-1449</v>
      </c>
      <c r="J85" s="1">
        <v>-570</v>
      </c>
    </row>
    <row r="86" spans="2:10" s="1" customFormat="1" x14ac:dyDescent="0.2">
      <c r="B86" s="1" t="s">
        <v>59</v>
      </c>
      <c r="C86" s="1">
        <v>128</v>
      </c>
      <c r="D86" s="1">
        <v>257</v>
      </c>
      <c r="E86" s="1">
        <v>395</v>
      </c>
      <c r="F86" s="1">
        <v>575</v>
      </c>
      <c r="G86" s="1">
        <v>212</v>
      </c>
      <c r="H86" s="1">
        <v>438</v>
      </c>
      <c r="I86" s="1">
        <v>656</v>
      </c>
      <c r="J86" s="1">
        <v>902</v>
      </c>
    </row>
    <row r="87" spans="2:10" s="1" customFormat="1" x14ac:dyDescent="0.2">
      <c r="B87" s="1" t="s">
        <v>75</v>
      </c>
      <c r="C87" s="1">
        <v>22</v>
      </c>
      <c r="D87" s="1">
        <v>32</v>
      </c>
      <c r="E87" s="1">
        <v>51</v>
      </c>
      <c r="F87" s="1">
        <v>76</v>
      </c>
      <c r="G87" s="1">
        <v>23</v>
      </c>
      <c r="H87" s="1">
        <v>49</v>
      </c>
      <c r="I87" s="1">
        <v>75</v>
      </c>
      <c r="J87" s="1">
        <v>109</v>
      </c>
    </row>
    <row r="88" spans="2:10" s="1" customFormat="1" x14ac:dyDescent="0.2">
      <c r="B88" s="1" t="s">
        <v>60</v>
      </c>
      <c r="C88" s="1">
        <v>277</v>
      </c>
      <c r="D88" s="1">
        <v>408</v>
      </c>
      <c r="E88" s="1">
        <v>591</v>
      </c>
      <c r="F88" s="1">
        <v>827</v>
      </c>
      <c r="G88" s="1">
        <v>281</v>
      </c>
      <c r="H88" s="1">
        <v>553</v>
      </c>
      <c r="I88" s="1">
        <v>834</v>
      </c>
      <c r="J88" s="1">
        <v>1168</v>
      </c>
    </row>
    <row r="89" spans="2:10" s="1" customFormat="1" x14ac:dyDescent="0.2">
      <c r="B89" s="1" t="s">
        <v>74</v>
      </c>
      <c r="E89" s="1">
        <v>-127</v>
      </c>
      <c r="I89" s="1">
        <v>-1684</v>
      </c>
      <c r="J89" s="1">
        <v>-413</v>
      </c>
    </row>
    <row r="90" spans="2:10" s="1" customFormat="1" x14ac:dyDescent="0.2">
      <c r="B90" s="1" t="s">
        <v>61</v>
      </c>
      <c r="C90" s="1">
        <v>-154</v>
      </c>
      <c r="D90" s="1">
        <v>-127</v>
      </c>
      <c r="F90" s="1">
        <v>-204</v>
      </c>
      <c r="G90" s="1">
        <v>-1684</v>
      </c>
      <c r="H90" s="1">
        <v>-1684</v>
      </c>
      <c r="I90" s="1">
        <v>-171</v>
      </c>
      <c r="J90" s="1">
        <v>-1684</v>
      </c>
    </row>
    <row r="91" spans="2:10" s="1" customFormat="1" x14ac:dyDescent="0.2">
      <c r="B91" s="1" t="s">
        <v>62</v>
      </c>
      <c r="C91" s="1">
        <v>-273</v>
      </c>
      <c r="D91" s="1">
        <v>-282</v>
      </c>
      <c r="E91" s="1">
        <v>-272</v>
      </c>
      <c r="F91" s="1">
        <v>-266</v>
      </c>
      <c r="G91" s="1">
        <v>120</v>
      </c>
      <c r="H91" s="1">
        <v>-367</v>
      </c>
      <c r="I91" s="1">
        <v>-482</v>
      </c>
      <c r="J91" s="1">
        <v>-692</v>
      </c>
    </row>
    <row r="92" spans="2:10" s="1" customFormat="1" x14ac:dyDescent="0.2">
      <c r="B92" s="1" t="s">
        <v>63</v>
      </c>
      <c r="C92" s="1">
        <v>1863</v>
      </c>
      <c r="D92" s="1">
        <v>1850</v>
      </c>
      <c r="E92" s="1">
        <v>27</v>
      </c>
      <c r="F92" s="1">
        <v>1690</v>
      </c>
      <c r="I92" s="1">
        <v>28</v>
      </c>
    </row>
    <row r="93" spans="2:10" s="1" customFormat="1" x14ac:dyDescent="0.2">
      <c r="B93" s="1" t="s">
        <v>64</v>
      </c>
      <c r="C93" s="1">
        <v>193</v>
      </c>
      <c r="D93" s="1">
        <v>297</v>
      </c>
      <c r="E93" s="1">
        <v>123</v>
      </c>
      <c r="F93" s="1">
        <v>404</v>
      </c>
      <c r="G93" s="1">
        <v>16</v>
      </c>
      <c r="H93" s="1">
        <v>16</v>
      </c>
      <c r="I93" s="1">
        <v>56</v>
      </c>
      <c r="J93" s="1">
        <v>116</v>
      </c>
    </row>
    <row r="94" spans="2:10" s="1" customFormat="1" x14ac:dyDescent="0.2">
      <c r="B94" s="1" t="s">
        <v>66</v>
      </c>
      <c r="C94" s="1">
        <v>12</v>
      </c>
      <c r="D94" s="1">
        <v>19</v>
      </c>
      <c r="E94" s="1">
        <v>1690</v>
      </c>
      <c r="F94" s="1">
        <v>34</v>
      </c>
      <c r="G94" s="1">
        <v>8</v>
      </c>
      <c r="H94" s="1">
        <v>15</v>
      </c>
      <c r="J94" s="1">
        <v>37</v>
      </c>
    </row>
    <row r="95" spans="2:10" s="1" customFormat="1" x14ac:dyDescent="0.2">
      <c r="B95" s="1" t="s">
        <v>72</v>
      </c>
      <c r="C95" s="1">
        <v>114</v>
      </c>
      <c r="D95" s="1">
        <v>116</v>
      </c>
      <c r="E95" s="1">
        <v>372</v>
      </c>
      <c r="F95" s="1">
        <v>125</v>
      </c>
      <c r="G95" s="1">
        <v>-63</v>
      </c>
      <c r="H95" s="1">
        <v>-1975</v>
      </c>
      <c r="I95" s="1">
        <v>16</v>
      </c>
      <c r="J95" s="1">
        <v>-1142</v>
      </c>
    </row>
    <row r="96" spans="2:10" s="1" customFormat="1" x14ac:dyDescent="0.2">
      <c r="B96" s="1" t="s">
        <v>65</v>
      </c>
      <c r="C96" s="1">
        <v>7</v>
      </c>
      <c r="D96" s="1">
        <v>13</v>
      </c>
      <c r="E96" s="1">
        <v>44</v>
      </c>
      <c r="F96" s="1">
        <v>48</v>
      </c>
      <c r="G96" s="1">
        <v>13</v>
      </c>
      <c r="H96" s="1">
        <v>-2</v>
      </c>
      <c r="I96" s="1">
        <v>12</v>
      </c>
      <c r="J96" s="1">
        <v>38</v>
      </c>
    </row>
    <row r="97" spans="2:10" s="1" customFormat="1" x14ac:dyDescent="0.2">
      <c r="B97" s="1" t="s">
        <v>73</v>
      </c>
      <c r="C97" s="1">
        <v>10</v>
      </c>
      <c r="D97" s="1">
        <v>25</v>
      </c>
      <c r="E97" s="1">
        <v>-3</v>
      </c>
      <c r="F97" s="1">
        <v>2</v>
      </c>
      <c r="G97" s="1">
        <v>65</v>
      </c>
      <c r="H97" s="1">
        <v>62</v>
      </c>
      <c r="I97" s="1">
        <v>50</v>
      </c>
      <c r="J97" s="1">
        <v>4</v>
      </c>
    </row>
    <row r="98" spans="2:10" s="1" customFormat="1" x14ac:dyDescent="0.2">
      <c r="B98" s="1" t="s">
        <v>39</v>
      </c>
      <c r="C98" s="1">
        <v>444</v>
      </c>
      <c r="D98" s="1">
        <v>517</v>
      </c>
      <c r="E98" s="1">
        <v>380</v>
      </c>
      <c r="F98" s="1">
        <v>142</v>
      </c>
      <c r="G98" s="1">
        <v>-35</v>
      </c>
      <c r="H98" s="1">
        <v>-149</v>
      </c>
      <c r="I98" s="1">
        <v>-354</v>
      </c>
      <c r="J98" s="1">
        <v>-597</v>
      </c>
    </row>
    <row r="99" spans="2:10" s="1" customFormat="1" x14ac:dyDescent="0.2">
      <c r="B99" s="1" t="s">
        <v>40</v>
      </c>
      <c r="C99" s="1">
        <v>29</v>
      </c>
      <c r="D99" s="1">
        <v>141</v>
      </c>
      <c r="E99" s="1">
        <v>159</v>
      </c>
      <c r="F99" s="1">
        <v>94</v>
      </c>
      <c r="G99" s="1">
        <v>-67</v>
      </c>
      <c r="H99" s="1">
        <v>-9</v>
      </c>
      <c r="I99" s="1">
        <v>-229</v>
      </c>
      <c r="J99" s="1">
        <v>-236</v>
      </c>
    </row>
    <row r="100" spans="2:10" s="1" customFormat="1" x14ac:dyDescent="0.2">
      <c r="B100" s="1" t="s">
        <v>67</v>
      </c>
      <c r="C100" s="1">
        <v>92</v>
      </c>
      <c r="D100" s="1">
        <v>178</v>
      </c>
      <c r="E100" s="1">
        <v>259</v>
      </c>
      <c r="F100" s="1">
        <v>339</v>
      </c>
      <c r="G100" s="1">
        <v>108</v>
      </c>
      <c r="H100" s="1">
        <v>136</v>
      </c>
      <c r="I100" s="1">
        <v>860</v>
      </c>
      <c r="J100" s="1">
        <v>860</v>
      </c>
    </row>
    <row r="101" spans="2:10" s="1" customFormat="1" x14ac:dyDescent="0.2">
      <c r="B101" s="1" t="s">
        <v>71</v>
      </c>
      <c r="C101" s="1">
        <v>57</v>
      </c>
      <c r="D101" s="1">
        <v>137</v>
      </c>
      <c r="E101" s="1">
        <v>274</v>
      </c>
      <c r="F101" s="1">
        <v>341</v>
      </c>
      <c r="G101" s="1">
        <v>38</v>
      </c>
      <c r="H101" s="1">
        <v>77</v>
      </c>
      <c r="I101" s="1">
        <v>116</v>
      </c>
      <c r="J101" s="1">
        <v>165</v>
      </c>
    </row>
    <row r="102" spans="2:10" s="1" customFormat="1" x14ac:dyDescent="0.2">
      <c r="B102" s="1" t="s">
        <v>48</v>
      </c>
      <c r="C102" s="1">
        <v>-46</v>
      </c>
      <c r="D102" s="1">
        <v>-10</v>
      </c>
      <c r="E102" s="1">
        <v>-34</v>
      </c>
      <c r="F102" s="1">
        <v>-133</v>
      </c>
      <c r="G102" s="1">
        <v>-3</v>
      </c>
      <c r="H102" s="1">
        <v>185</v>
      </c>
      <c r="I102" s="1">
        <v>71</v>
      </c>
      <c r="J102" s="1">
        <v>90</v>
      </c>
    </row>
    <row r="103" spans="2:10" s="1" customFormat="1" x14ac:dyDescent="0.2">
      <c r="B103" s="1" t="s">
        <v>68</v>
      </c>
      <c r="C103" s="1">
        <v>77</v>
      </c>
      <c r="D103" s="1">
        <v>-8</v>
      </c>
      <c r="E103" s="1">
        <v>-16</v>
      </c>
      <c r="F103" s="1">
        <v>-3</v>
      </c>
      <c r="G103" s="1">
        <v>-27</v>
      </c>
      <c r="H103" s="1">
        <v>21</v>
      </c>
      <c r="I103" s="1">
        <v>490</v>
      </c>
      <c r="J103" s="1">
        <v>516</v>
      </c>
    </row>
    <row r="104" spans="2:10" s="1" customFormat="1" x14ac:dyDescent="0.2">
      <c r="B104" s="1" t="s">
        <v>69</v>
      </c>
      <c r="C104" s="1">
        <v>-320</v>
      </c>
      <c r="D104" s="1">
        <v>-337</v>
      </c>
      <c r="E104" s="1">
        <v>77</v>
      </c>
      <c r="F104" s="1">
        <v>83</v>
      </c>
      <c r="G104" s="1">
        <v>556</v>
      </c>
      <c r="H104" s="1">
        <v>762</v>
      </c>
      <c r="I104" s="1">
        <v>891</v>
      </c>
      <c r="J104" s="1">
        <v>1068</v>
      </c>
    </row>
    <row r="105" spans="2:10" s="1" customFormat="1" x14ac:dyDescent="0.2">
      <c r="B105" s="1" t="s">
        <v>70</v>
      </c>
      <c r="C105" s="1">
        <v>-49</v>
      </c>
      <c r="D105" s="1">
        <v>-42</v>
      </c>
      <c r="E105" s="1">
        <v>-104</v>
      </c>
      <c r="F105" s="1">
        <v>-131</v>
      </c>
      <c r="G105" s="1">
        <v>-50</v>
      </c>
      <c r="H105" s="1">
        <v>-70</v>
      </c>
      <c r="I105" s="1">
        <v>-124</v>
      </c>
      <c r="J105" s="1">
        <v>-184</v>
      </c>
    </row>
    <row r="106" spans="2:10" s="4" customFormat="1" ht="15" x14ac:dyDescent="0.25">
      <c r="B106" s="4" t="s">
        <v>76</v>
      </c>
      <c r="C106" s="4">
        <f t="shared" ref="C106:J106" si="33">+SUM(C85:C105)</f>
        <v>-463</v>
      </c>
      <c r="D106" s="4">
        <f t="shared" si="33"/>
        <v>-1534</v>
      </c>
      <c r="E106" s="4">
        <f t="shared" si="33"/>
        <v>-1940</v>
      </c>
      <c r="F106" s="4">
        <f t="shared" si="33"/>
        <v>-2745</v>
      </c>
      <c r="G106" s="4">
        <f t="shared" si="33"/>
        <v>-611</v>
      </c>
      <c r="H106" s="4">
        <f t="shared" si="33"/>
        <v>-952</v>
      </c>
      <c r="I106" s="4">
        <f t="shared" si="33"/>
        <v>-338</v>
      </c>
      <c r="J106" s="4">
        <f t="shared" si="33"/>
        <v>-445</v>
      </c>
    </row>
    <row r="107" spans="2:10" s="1" customFormat="1" x14ac:dyDescent="0.2"/>
    <row r="108" spans="2:10" s="1" customFormat="1" x14ac:dyDescent="0.2">
      <c r="B108" s="1" t="s">
        <v>77</v>
      </c>
      <c r="C108" s="1">
        <v>-198</v>
      </c>
      <c r="D108" s="1">
        <v>-362</v>
      </c>
      <c r="E108" s="1">
        <v>-493</v>
      </c>
      <c r="F108" s="1">
        <v>-616</v>
      </c>
      <c r="G108" s="1">
        <v>-71</v>
      </c>
      <c r="H108" s="1">
        <v>-128</v>
      </c>
      <c r="I108" s="1">
        <v>-218</v>
      </c>
      <c r="J108" s="1">
        <v>-298</v>
      </c>
    </row>
    <row r="109" spans="2:10" s="1" customFormat="1" x14ac:dyDescent="0.2">
      <c r="B109" s="1" t="s">
        <v>79</v>
      </c>
      <c r="C109" s="1">
        <v>-10</v>
      </c>
      <c r="D109" s="1">
        <v>-1012</v>
      </c>
      <c r="E109" s="1">
        <v>-1493</v>
      </c>
      <c r="F109" s="1">
        <v>-10</v>
      </c>
      <c r="G109" s="1">
        <v>-803</v>
      </c>
      <c r="H109" s="1">
        <v>-526</v>
      </c>
      <c r="I109" s="1">
        <v>-1113</v>
      </c>
      <c r="J109" s="1">
        <v>-982</v>
      </c>
    </row>
    <row r="110" spans="2:10" s="1" customFormat="1" x14ac:dyDescent="0.2">
      <c r="B110" s="1" t="s">
        <v>78</v>
      </c>
      <c r="C110" s="1">
        <v>-493</v>
      </c>
      <c r="D110" s="1">
        <v>-10</v>
      </c>
      <c r="E110" s="1">
        <v>-10</v>
      </c>
      <c r="F110" s="1">
        <v>-2101</v>
      </c>
      <c r="G110" s="1">
        <v>-336</v>
      </c>
      <c r="H110" s="1">
        <v>-857</v>
      </c>
      <c r="I110" s="1">
        <v>-857</v>
      </c>
      <c r="J110" s="1">
        <v>-1113</v>
      </c>
    </row>
    <row r="111" spans="2:10" s="1" customFormat="1" x14ac:dyDescent="0.2">
      <c r="B111" s="1" t="s">
        <v>80</v>
      </c>
      <c r="C111" s="1">
        <v>100</v>
      </c>
      <c r="D111" s="1">
        <v>-85</v>
      </c>
      <c r="E111" s="1">
        <v>-85</v>
      </c>
      <c r="F111" s="1">
        <v>1360</v>
      </c>
      <c r="G111" s="1">
        <v>696</v>
      </c>
      <c r="H111" s="1">
        <v>-218</v>
      </c>
      <c r="I111" s="1">
        <v>-242</v>
      </c>
      <c r="J111" s="1">
        <v>2291</v>
      </c>
    </row>
    <row r="112" spans="2:10" s="1" customFormat="1" x14ac:dyDescent="0.2">
      <c r="B112" s="1" t="s">
        <v>81</v>
      </c>
      <c r="D112" s="1">
        <v>422</v>
      </c>
      <c r="E112" s="1">
        <v>801</v>
      </c>
      <c r="G112" s="1">
        <v>500</v>
      </c>
      <c r="H112" s="1">
        <v>1143</v>
      </c>
      <c r="I112" s="1">
        <v>2291</v>
      </c>
      <c r="J112" s="1">
        <v>500</v>
      </c>
    </row>
    <row r="113" spans="2:10" s="1" customFormat="1" x14ac:dyDescent="0.2">
      <c r="B113" s="1" t="s">
        <v>82</v>
      </c>
      <c r="H113" s="1">
        <v>500</v>
      </c>
      <c r="I113" s="1">
        <v>500</v>
      </c>
      <c r="J113" s="1">
        <v>1000</v>
      </c>
    </row>
    <row r="114" spans="2:10" s="1" customFormat="1" x14ac:dyDescent="0.2">
      <c r="B114" s="1" t="s">
        <v>83</v>
      </c>
      <c r="C114" s="1">
        <v>-1346</v>
      </c>
      <c r="D114" s="1">
        <v>-1346</v>
      </c>
      <c r="F114" s="1">
        <v>-1471</v>
      </c>
      <c r="G114" s="1">
        <v>-28</v>
      </c>
      <c r="H114" s="1">
        <v>-80</v>
      </c>
      <c r="I114" s="1">
        <v>800</v>
      </c>
      <c r="J114" s="1">
        <v>-2314</v>
      </c>
    </row>
    <row r="115" spans="2:10" s="1" customFormat="1" x14ac:dyDescent="0.2">
      <c r="B115" s="1" t="s">
        <v>96</v>
      </c>
      <c r="C115" s="1">
        <v>91</v>
      </c>
      <c r="D115" s="1">
        <v>91</v>
      </c>
      <c r="E115" s="1">
        <v>-1536</v>
      </c>
      <c r="F115" s="1">
        <v>91</v>
      </c>
      <c r="I115" s="1">
        <v>-111</v>
      </c>
    </row>
    <row r="116" spans="2:10" s="1" customFormat="1" x14ac:dyDescent="0.2">
      <c r="B116" s="1" t="s">
        <v>84</v>
      </c>
      <c r="E116" s="1">
        <v>91</v>
      </c>
      <c r="F116" s="1">
        <v>-185</v>
      </c>
      <c r="G116" s="1">
        <v>-216</v>
      </c>
      <c r="J116" s="1">
        <v>-297</v>
      </c>
    </row>
    <row r="117" spans="2:10" s="1" customFormat="1" x14ac:dyDescent="0.2">
      <c r="B117" s="1" t="s">
        <v>85</v>
      </c>
      <c r="D117" s="1">
        <v>-10</v>
      </c>
      <c r="E117" s="1">
        <v>48</v>
      </c>
      <c r="F117" s="1">
        <v>63</v>
      </c>
      <c r="G117" s="1">
        <v>8</v>
      </c>
      <c r="H117" s="1">
        <v>17</v>
      </c>
      <c r="I117" s="1">
        <v>17</v>
      </c>
      <c r="J117" s="1">
        <v>12</v>
      </c>
    </row>
    <row r="118" spans="2:10" s="4" customFormat="1" ht="15" x14ac:dyDescent="0.25">
      <c r="B118" s="4" t="s">
        <v>86</v>
      </c>
      <c r="C118" s="4">
        <f t="shared" ref="C118:J118" si="34">+SUM(C108:C117)</f>
        <v>-1856</v>
      </c>
      <c r="D118" s="4">
        <f t="shared" si="34"/>
        <v>-2312</v>
      </c>
      <c r="E118" s="4">
        <f t="shared" si="34"/>
        <v>-2677</v>
      </c>
      <c r="F118" s="4">
        <f t="shared" si="34"/>
        <v>-2869</v>
      </c>
      <c r="G118" s="4">
        <f t="shared" si="34"/>
        <v>-250</v>
      </c>
      <c r="H118" s="4">
        <f t="shared" si="34"/>
        <v>-149</v>
      </c>
      <c r="I118" s="4">
        <f t="shared" si="34"/>
        <v>1067</v>
      </c>
      <c r="J118" s="4">
        <f t="shared" si="34"/>
        <v>-1201</v>
      </c>
    </row>
    <row r="119" spans="2:10" s="1" customFormat="1" x14ac:dyDescent="0.2"/>
    <row r="120" spans="2:10" s="1" customFormat="1" x14ac:dyDescent="0.2">
      <c r="B120" s="1" t="s">
        <v>87</v>
      </c>
      <c r="F120" s="1">
        <v>-17</v>
      </c>
      <c r="J120" s="1">
        <v>-27</v>
      </c>
    </row>
    <row r="121" spans="2:10" s="1" customFormat="1" x14ac:dyDescent="0.2">
      <c r="B121" s="1" t="s">
        <v>88</v>
      </c>
      <c r="F121" s="1">
        <v>247</v>
      </c>
      <c r="J121" s="1">
        <v>675</v>
      </c>
    </row>
    <row r="122" spans="2:10" s="1" customFormat="1" x14ac:dyDescent="0.2">
      <c r="B122" s="1" t="s">
        <v>89</v>
      </c>
      <c r="D122" s="1">
        <v>82</v>
      </c>
      <c r="E122" s="1">
        <v>82</v>
      </c>
      <c r="F122" s="1">
        <v>125</v>
      </c>
      <c r="H122" s="1">
        <v>67</v>
      </c>
      <c r="I122" s="1">
        <v>82</v>
      </c>
      <c r="J122" s="1">
        <v>107</v>
      </c>
    </row>
    <row r="123" spans="2:10" s="1" customFormat="1" x14ac:dyDescent="0.2">
      <c r="B123" s="1" t="s">
        <v>97</v>
      </c>
      <c r="D123" s="1">
        <v>992</v>
      </c>
      <c r="E123" s="1">
        <v>1492</v>
      </c>
      <c r="F123" s="1">
        <v>2628</v>
      </c>
      <c r="I123" s="1">
        <v>1492</v>
      </c>
      <c r="J123" s="1">
        <v>1484</v>
      </c>
    </row>
    <row r="124" spans="2:10" s="1" customFormat="1" x14ac:dyDescent="0.2">
      <c r="B124" s="1" t="s">
        <v>90</v>
      </c>
      <c r="F124" s="1">
        <v>-527</v>
      </c>
      <c r="J124" s="1">
        <v>-27</v>
      </c>
    </row>
    <row r="125" spans="2:10" s="1" customFormat="1" x14ac:dyDescent="0.2">
      <c r="B125" s="1" t="s">
        <v>91</v>
      </c>
      <c r="D125" s="1">
        <v>-891</v>
      </c>
      <c r="E125" s="1">
        <v>-891</v>
      </c>
      <c r="F125" s="1">
        <v>-891</v>
      </c>
      <c r="G125" s="1">
        <v>-194</v>
      </c>
      <c r="H125" s="1">
        <v>-194</v>
      </c>
      <c r="I125" s="1">
        <v>-891</v>
      </c>
      <c r="J125" s="1">
        <v>-307</v>
      </c>
    </row>
    <row r="126" spans="2:10" s="1" customFormat="1" x14ac:dyDescent="0.2">
      <c r="B126" s="1" t="s">
        <v>92</v>
      </c>
      <c r="C126" s="1">
        <v>-60</v>
      </c>
      <c r="D126" s="1">
        <v>-119</v>
      </c>
      <c r="E126" s="1">
        <v>-175</v>
      </c>
      <c r="F126" s="1">
        <v>-224</v>
      </c>
      <c r="G126" s="1">
        <v>-47</v>
      </c>
      <c r="H126" s="1">
        <v>-108</v>
      </c>
      <c r="I126" s="1">
        <v>-175</v>
      </c>
      <c r="J126" s="1">
        <v>-226</v>
      </c>
    </row>
    <row r="127" spans="2:10" s="1" customFormat="1" x14ac:dyDescent="0.2">
      <c r="B127" s="1" t="s">
        <v>73</v>
      </c>
      <c r="C127" s="1">
        <v>-3</v>
      </c>
      <c r="D127" s="1">
        <v>-9</v>
      </c>
      <c r="E127" s="1">
        <v>-25</v>
      </c>
      <c r="F127" s="1">
        <v>38</v>
      </c>
      <c r="G127" s="1">
        <v>15</v>
      </c>
      <c r="H127" s="1">
        <v>45</v>
      </c>
      <c r="I127" s="1">
        <v>-25</v>
      </c>
      <c r="J127" s="1">
        <v>101</v>
      </c>
    </row>
    <row r="128" spans="2:10" s="4" customFormat="1" ht="15" x14ac:dyDescent="0.25">
      <c r="B128" s="4" t="s">
        <v>93</v>
      </c>
      <c r="C128" s="4">
        <f t="shared" ref="C128:J128" si="35">+SUM(C120:C127)</f>
        <v>-63</v>
      </c>
      <c r="D128" s="4">
        <f t="shared" si="35"/>
        <v>55</v>
      </c>
      <c r="E128" s="4">
        <f t="shared" si="35"/>
        <v>483</v>
      </c>
      <c r="F128" s="4">
        <f t="shared" si="35"/>
        <v>1379</v>
      </c>
      <c r="G128" s="4">
        <f t="shared" si="35"/>
        <v>-226</v>
      </c>
      <c r="H128" s="4">
        <f t="shared" si="35"/>
        <v>-190</v>
      </c>
      <c r="I128" s="4">
        <f t="shared" si="35"/>
        <v>483</v>
      </c>
      <c r="J128" s="4">
        <f t="shared" si="35"/>
        <v>1780</v>
      </c>
    </row>
    <row r="129" spans="2:10" s="4" customFormat="1" ht="15" x14ac:dyDescent="0.25">
      <c r="B129" s="4" t="s">
        <v>94</v>
      </c>
      <c r="C129" s="4">
        <f>+C128+C118+C106</f>
        <v>-2382</v>
      </c>
      <c r="D129" s="4">
        <f>+D128+D118+D106</f>
        <v>-3791</v>
      </c>
      <c r="E129" s="4">
        <f>+E128+E118+E106</f>
        <v>-4134</v>
      </c>
      <c r="F129" s="4">
        <f>+F128+F118+F106</f>
        <v>-4235</v>
      </c>
      <c r="G129" s="4">
        <f>+G128+G118+C106</f>
        <v>-939</v>
      </c>
      <c r="H129" s="4">
        <f>+H128+H118+D106</f>
        <v>-1873</v>
      </c>
      <c r="I129" s="4">
        <f>+I128+I118+I106</f>
        <v>1212</v>
      </c>
      <c r="J129" s="4">
        <f>+J128+J118+J106</f>
        <v>134</v>
      </c>
    </row>
  </sheetData>
  <hyperlinks>
    <hyperlink ref="A1" location="Main!A1" display="Main" xr:uid="{976F2995-40E3-4C3D-B774-0A658E7BBD61}"/>
  </hyperlink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4E54-02E3-4315-ACA4-FB2D762A0CC1}">
  <dimension ref="B3:K59"/>
  <sheetViews>
    <sheetView topLeftCell="A31" zoomScale="85" zoomScaleNormal="85" workbookViewId="0">
      <selection activeCell="I38" sqref="I38"/>
    </sheetView>
  </sheetViews>
  <sheetFormatPr defaultRowHeight="14.25" x14ac:dyDescent="0.2"/>
  <sheetData>
    <row r="3" spans="2:11" x14ac:dyDescent="0.2">
      <c r="B3" t="s">
        <v>139</v>
      </c>
      <c r="C3" t="s">
        <v>23</v>
      </c>
      <c r="D3">
        <v>885</v>
      </c>
      <c r="E3">
        <v>736</v>
      </c>
      <c r="F3">
        <v>924</v>
      </c>
      <c r="G3">
        <v>1038</v>
      </c>
      <c r="H3">
        <v>1103</v>
      </c>
      <c r="I3">
        <v>1256</v>
      </c>
      <c r="J3">
        <v>1168</v>
      </c>
      <c r="K3">
        <v>1262</v>
      </c>
    </row>
    <row r="4" spans="2:11" x14ac:dyDescent="0.2">
      <c r="B4" t="s">
        <v>138</v>
      </c>
      <c r="C4" t="s">
        <v>109</v>
      </c>
      <c r="D4">
        <v>103</v>
      </c>
      <c r="E4">
        <v>55</v>
      </c>
      <c r="F4">
        <v>78</v>
      </c>
      <c r="G4">
        <v>93</v>
      </c>
      <c r="H4">
        <v>98</v>
      </c>
      <c r="I4">
        <v>101</v>
      </c>
      <c r="J4">
        <v>109</v>
      </c>
      <c r="K4">
        <v>118</v>
      </c>
    </row>
    <row r="5" spans="2:11" x14ac:dyDescent="0.2">
      <c r="C5" t="s">
        <v>116</v>
      </c>
      <c r="D5">
        <v>31.533980582524272</v>
      </c>
      <c r="E5">
        <v>34.781818181818181</v>
      </c>
      <c r="F5">
        <v>36.064102564102562</v>
      </c>
      <c r="G5">
        <v>34.032258064516128</v>
      </c>
      <c r="H5">
        <v>29.622448979591837</v>
      </c>
      <c r="I5">
        <v>38.900990099009903</v>
      </c>
      <c r="J5">
        <v>44.449541284403672</v>
      </c>
      <c r="K5">
        <v>48.966101694915253</v>
      </c>
    </row>
    <row r="11" spans="2:11" x14ac:dyDescent="0.2">
      <c r="C11" t="str" cm="1">
        <f t="array" ref="C11:D20">+TRANSPOSE(B3:K4)</f>
        <v>Y</v>
      </c>
      <c r="D11" t="str">
        <v>X</v>
      </c>
      <c r="F11" t="s">
        <v>137</v>
      </c>
      <c r="H11" t="s">
        <v>164</v>
      </c>
    </row>
    <row r="12" spans="2:11" x14ac:dyDescent="0.2">
      <c r="C12" t="str">
        <v>S&amp;M</v>
      </c>
      <c r="D12" t="str">
        <v>MAPCs</v>
      </c>
    </row>
    <row r="13" spans="2:11" x14ac:dyDescent="0.2">
      <c r="C13">
        <v>885</v>
      </c>
      <c r="D13">
        <v>103</v>
      </c>
      <c r="F13">
        <f t="shared" ref="F13:F20" si="0">+$C$46*D13+$C$47</f>
        <v>1113.9816896884035</v>
      </c>
      <c r="H13">
        <f t="shared" ref="H13:H20" si="1">+D13-$D$23</f>
        <v>8.625</v>
      </c>
      <c r="I13">
        <f t="shared" ref="I13:I20" si="2">+H13^2</f>
        <v>74.390625</v>
      </c>
    </row>
    <row r="14" spans="2:11" x14ac:dyDescent="0.2">
      <c r="C14">
        <v>736</v>
      </c>
      <c r="D14">
        <v>55</v>
      </c>
      <c r="F14">
        <f t="shared" si="0"/>
        <v>738.43141663989718</v>
      </c>
      <c r="H14">
        <f t="shared" si="1"/>
        <v>-39.375</v>
      </c>
      <c r="I14">
        <f t="shared" si="2"/>
        <v>1550.390625</v>
      </c>
    </row>
    <row r="15" spans="2:11" x14ac:dyDescent="0.2">
      <c r="C15">
        <v>924</v>
      </c>
      <c r="D15">
        <v>78</v>
      </c>
      <c r="F15">
        <f t="shared" si="0"/>
        <v>918.38258914230641</v>
      </c>
      <c r="H15">
        <f t="shared" si="1"/>
        <v>-16.375</v>
      </c>
      <c r="I15">
        <f t="shared" si="2"/>
        <v>268.140625</v>
      </c>
    </row>
    <row r="16" spans="2:11" x14ac:dyDescent="0.2">
      <c r="C16">
        <v>1038</v>
      </c>
      <c r="D16">
        <v>93</v>
      </c>
      <c r="F16">
        <f t="shared" si="0"/>
        <v>1035.7420494699645</v>
      </c>
      <c r="H16">
        <f t="shared" si="1"/>
        <v>-1.375</v>
      </c>
      <c r="I16">
        <f t="shared" si="2"/>
        <v>1.890625</v>
      </c>
    </row>
    <row r="17" spans="2:9" x14ac:dyDescent="0.2">
      <c r="C17">
        <v>1103</v>
      </c>
      <c r="D17">
        <v>98</v>
      </c>
      <c r="F17">
        <f t="shared" si="0"/>
        <v>1074.861869579184</v>
      </c>
      <c r="H17">
        <f t="shared" si="1"/>
        <v>3.625</v>
      </c>
      <c r="I17">
        <f t="shared" si="2"/>
        <v>13.140625</v>
      </c>
    </row>
    <row r="18" spans="2:9" x14ac:dyDescent="0.2">
      <c r="C18">
        <v>1256</v>
      </c>
      <c r="D18">
        <v>101</v>
      </c>
      <c r="F18">
        <f t="shared" si="0"/>
        <v>1098.3337616447157</v>
      </c>
      <c r="H18">
        <f t="shared" si="1"/>
        <v>6.625</v>
      </c>
      <c r="I18">
        <f t="shared" si="2"/>
        <v>43.890625</v>
      </c>
    </row>
    <row r="19" spans="2:9" x14ac:dyDescent="0.2">
      <c r="C19">
        <v>1168</v>
      </c>
      <c r="D19">
        <v>109</v>
      </c>
      <c r="F19">
        <f t="shared" si="0"/>
        <v>1160.9254738194668</v>
      </c>
      <c r="H19">
        <f t="shared" si="1"/>
        <v>14.625</v>
      </c>
      <c r="I19">
        <f t="shared" si="2"/>
        <v>213.890625</v>
      </c>
    </row>
    <row r="20" spans="2:9" x14ac:dyDescent="0.2">
      <c r="C20">
        <v>1262</v>
      </c>
      <c r="D20">
        <v>118</v>
      </c>
      <c r="F20">
        <f t="shared" si="0"/>
        <v>1231.3411500160616</v>
      </c>
      <c r="H20">
        <f t="shared" si="1"/>
        <v>23.625</v>
      </c>
      <c r="I20">
        <f t="shared" si="2"/>
        <v>558.140625</v>
      </c>
    </row>
    <row r="22" spans="2:9" x14ac:dyDescent="0.2">
      <c r="B22" t="s">
        <v>136</v>
      </c>
      <c r="C22">
        <f>+COUNT(C13:C20)</f>
        <v>8</v>
      </c>
    </row>
    <row r="23" spans="2:9" x14ac:dyDescent="0.2">
      <c r="B23" t="s">
        <v>135</v>
      </c>
      <c r="C23">
        <f>+AVERAGE(C13:C20)</f>
        <v>1046.5</v>
      </c>
      <c r="D23">
        <f>+AVERAGE(D13:D20)</f>
        <v>94.375</v>
      </c>
    </row>
    <row r="24" spans="2:9" x14ac:dyDescent="0.2">
      <c r="B24" t="s">
        <v>134</v>
      </c>
      <c r="C24">
        <f>+_xlfn.VAR.S(C13:C20)</f>
        <v>35122.285714285717</v>
      </c>
      <c r="D24">
        <f>+_xlfn.VAR.S(D13:D20)</f>
        <v>389.125</v>
      </c>
    </row>
    <row r="25" spans="2:9" x14ac:dyDescent="0.2">
      <c r="B25" t="s">
        <v>133</v>
      </c>
      <c r="C25">
        <f>+SQRT(C24)</f>
        <v>187.409406685699</v>
      </c>
      <c r="D25">
        <f>+SQRT(D24)</f>
        <v>19.726251544578865</v>
      </c>
    </row>
    <row r="27" spans="2:9" x14ac:dyDescent="0.2">
      <c r="B27" t="s">
        <v>132</v>
      </c>
      <c r="C27">
        <f>+_xlfn.COVARIANCE.S(C13:C20,D13:D20)</f>
        <v>3044.5</v>
      </c>
    </row>
    <row r="28" spans="2:9" x14ac:dyDescent="0.2">
      <c r="B28" t="s">
        <v>131</v>
      </c>
      <c r="C28" s="5">
        <f>+C27/PRODUCT(C25:D25)</f>
        <v>0.82353114019225282</v>
      </c>
      <c r="D28">
        <f>+C28^2</f>
        <v>0.67820353886635198</v>
      </c>
    </row>
    <row r="29" spans="2:9" x14ac:dyDescent="0.2">
      <c r="B29" t="s">
        <v>130</v>
      </c>
      <c r="C29" s="5">
        <f>+SQRT(E43)</f>
        <v>198.89141603959962</v>
      </c>
    </row>
    <row r="30" spans="2:9" x14ac:dyDescent="0.2">
      <c r="C30" s="5"/>
    </row>
    <row r="31" spans="2:9" x14ac:dyDescent="0.2">
      <c r="C31" s="5"/>
    </row>
    <row r="32" spans="2:9" x14ac:dyDescent="0.2">
      <c r="B32" t="s">
        <v>163</v>
      </c>
      <c r="C32" s="5">
        <f>+_xlfn.T.INV(0.95,6)</f>
        <v>1.9431802805153022</v>
      </c>
    </row>
    <row r="33" spans="2:10" x14ac:dyDescent="0.2">
      <c r="C33" s="5"/>
    </row>
    <row r="34" spans="2:10" ht="15" x14ac:dyDescent="0.25">
      <c r="B34" t="s">
        <v>129</v>
      </c>
      <c r="C34" s="5" t="s">
        <v>166</v>
      </c>
      <c r="D34" s="3" t="s">
        <v>165</v>
      </c>
      <c r="E34" t="s">
        <v>162</v>
      </c>
      <c r="F34" t="s">
        <v>161</v>
      </c>
      <c r="H34" t="s">
        <v>160</v>
      </c>
      <c r="I34" t="s">
        <v>159</v>
      </c>
    </row>
    <row r="35" spans="2:10" x14ac:dyDescent="0.2">
      <c r="B35" t="s">
        <v>158</v>
      </c>
      <c r="C35" s="5">
        <f>+$C$47+$C$46*D35</f>
        <v>1145.2775457757789</v>
      </c>
      <c r="D35">
        <v>107</v>
      </c>
      <c r="E35" s="6">
        <v>0.09</v>
      </c>
      <c r="F35">
        <f>+$C$29*SQRT(1+(1/8)+((D35-$D$23)^2)/2723.875)</f>
        <v>216.37303185223016</v>
      </c>
      <c r="H35">
        <f>+C35-$C$32*F35</f>
        <v>724.82573704521587</v>
      </c>
      <c r="I35">
        <f>+C35+$C$32*F35</f>
        <v>1565.7293545063419</v>
      </c>
      <c r="J35">
        <f ca="1">+RANDBETWEEN(H35,I35)</f>
        <v>966</v>
      </c>
    </row>
    <row r="36" spans="2:10" x14ac:dyDescent="0.2">
      <c r="B36" t="s">
        <v>157</v>
      </c>
      <c r="C36" s="5">
        <f>+$C$47+$C$46*D36</f>
        <v>1223.5171859942179</v>
      </c>
      <c r="D36">
        <v>117</v>
      </c>
      <c r="E36" s="6">
        <v>0.19</v>
      </c>
      <c r="F36">
        <f>+$C$29*SQRT(1+(1/8)+((D36-$D$23)^2)/2723.875)</f>
        <v>227.89583511637423</v>
      </c>
      <c r="H36">
        <f>+C36-$C$32*F36</f>
        <v>780.67449318451281</v>
      </c>
      <c r="I36">
        <f>+C36+$C$32*F36</f>
        <v>1666.359878803923</v>
      </c>
      <c r="J36">
        <f ca="1">+RANDBETWEEN(H36,I36)</f>
        <v>1633</v>
      </c>
    </row>
    <row r="37" spans="2:10" x14ac:dyDescent="0.2">
      <c r="B37" t="s">
        <v>156</v>
      </c>
      <c r="C37" s="5">
        <f>+$C$47+$C$46*D37</f>
        <v>1254.8130420815933</v>
      </c>
      <c r="D37">
        <v>121</v>
      </c>
      <c r="E37" s="6">
        <v>0.23</v>
      </c>
      <c r="F37">
        <f>+$C$29*SQRT(1+(1/8)+((D37-$D$23)^2)/2723.875)</f>
        <v>234.08858869358932</v>
      </c>
      <c r="H37">
        <f>+C37-$C$32*F37</f>
        <v>799.93671263855322</v>
      </c>
      <c r="I37">
        <f>+C37+$C$32*F37</f>
        <v>1709.6893715246333</v>
      </c>
      <c r="J37">
        <f ca="1">+RANDBETWEEN(H37,I37)</f>
        <v>1026</v>
      </c>
    </row>
    <row r="40" spans="2:10" x14ac:dyDescent="0.2">
      <c r="B40" t="s">
        <v>128</v>
      </c>
      <c r="C40" s="5">
        <f>+_xlfn.F.INV(0.95,1,6)</f>
        <v>5.9873776072736975</v>
      </c>
    </row>
    <row r="41" spans="2:10" x14ac:dyDescent="0.2">
      <c r="C41" t="s">
        <v>127</v>
      </c>
      <c r="D41" t="s">
        <v>126</v>
      </c>
      <c r="E41" t="s">
        <v>125</v>
      </c>
      <c r="F41" t="s">
        <v>124</v>
      </c>
      <c r="G41" t="s">
        <v>123</v>
      </c>
    </row>
    <row r="42" spans="2:10" x14ac:dyDescent="0.2">
      <c r="B42" t="s">
        <v>122</v>
      </c>
      <c r="C42">
        <v>166740.40925152588</v>
      </c>
      <c r="D42">
        <v>1</v>
      </c>
      <c r="E42">
        <f>+C42/D42</f>
        <v>166740.40925152588</v>
      </c>
      <c r="F42" s="5">
        <f>+E42/E43</f>
        <v>4.2151087459267078</v>
      </c>
    </row>
    <row r="43" spans="2:10" x14ac:dyDescent="0.2">
      <c r="B43" t="s">
        <v>121</v>
      </c>
      <c r="C43">
        <v>79115.590748474206</v>
      </c>
      <c r="D43">
        <v>2</v>
      </c>
      <c r="E43">
        <f>+C43/D43</f>
        <v>39557.795374237103</v>
      </c>
    </row>
    <row r="44" spans="2:10" x14ac:dyDescent="0.2">
      <c r="B44" t="s">
        <v>120</v>
      </c>
      <c r="C44">
        <f>+SUM(C42:C43)</f>
        <v>245856.00000000009</v>
      </c>
    </row>
    <row r="46" spans="2:10" x14ac:dyDescent="0.2">
      <c r="B46" t="s">
        <v>119</v>
      </c>
      <c r="C46" s="5">
        <f>+C27/D24</f>
        <v>7.8239640218438806</v>
      </c>
    </row>
    <row r="47" spans="2:10" x14ac:dyDescent="0.2">
      <c r="B47" t="s">
        <v>118</v>
      </c>
      <c r="C47" s="5">
        <f>+C23-C46*D23</f>
        <v>308.11339543848374</v>
      </c>
    </row>
    <row r="49" spans="2:3" x14ac:dyDescent="0.2">
      <c r="B49">
        <v>1</v>
      </c>
      <c r="C49">
        <f>+$C$46*B49+$C$47</f>
        <v>315.93735946032763</v>
      </c>
    </row>
    <row r="50" spans="2:3" x14ac:dyDescent="0.2">
      <c r="B50">
        <v>2</v>
      </c>
      <c r="C50">
        <f>+$C$46*B50+$C$47</f>
        <v>323.76132348217152</v>
      </c>
    </row>
    <row r="51" spans="2:3" x14ac:dyDescent="0.2">
      <c r="B51">
        <v>3</v>
      </c>
      <c r="C51">
        <f t="shared" ref="C51:C59" si="3">+$C$46*B51+$C$47</f>
        <v>331.58528750401535</v>
      </c>
    </row>
    <row r="52" spans="2:3" x14ac:dyDescent="0.2">
      <c r="B52">
        <v>4</v>
      </c>
      <c r="C52">
        <f t="shared" si="3"/>
        <v>339.40925152585925</v>
      </c>
    </row>
    <row r="53" spans="2:3" x14ac:dyDescent="0.2">
      <c r="B53">
        <f t="shared" ref="B53:B59" si="4">+B52+1</f>
        <v>5</v>
      </c>
      <c r="C53">
        <f t="shared" si="3"/>
        <v>347.23321554770314</v>
      </c>
    </row>
    <row r="54" spans="2:3" x14ac:dyDescent="0.2">
      <c r="B54">
        <f t="shared" si="4"/>
        <v>6</v>
      </c>
      <c r="C54">
        <f t="shared" si="3"/>
        <v>355.05717956954703</v>
      </c>
    </row>
    <row r="55" spans="2:3" x14ac:dyDescent="0.2">
      <c r="B55">
        <f t="shared" si="4"/>
        <v>7</v>
      </c>
      <c r="C55">
        <f t="shared" si="3"/>
        <v>362.88114359139092</v>
      </c>
    </row>
    <row r="56" spans="2:3" x14ac:dyDescent="0.2">
      <c r="B56">
        <f t="shared" si="4"/>
        <v>8</v>
      </c>
      <c r="C56">
        <f t="shared" si="3"/>
        <v>370.70510761323476</v>
      </c>
    </row>
    <row r="57" spans="2:3" x14ac:dyDescent="0.2">
      <c r="B57">
        <f t="shared" si="4"/>
        <v>9</v>
      </c>
      <c r="C57">
        <f t="shared" si="3"/>
        <v>378.52907163507865</v>
      </c>
    </row>
    <row r="58" spans="2:3" x14ac:dyDescent="0.2">
      <c r="B58">
        <f t="shared" si="4"/>
        <v>10</v>
      </c>
      <c r="C58">
        <f t="shared" si="3"/>
        <v>386.35303565692254</v>
      </c>
    </row>
    <row r="59" spans="2:3" x14ac:dyDescent="0.2">
      <c r="B59">
        <f t="shared" si="4"/>
        <v>11</v>
      </c>
      <c r="C59">
        <f t="shared" si="3"/>
        <v>394.17699967876644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S&amp;M Regressed on MAPCs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2022-04-15T01:54:54Z</dcterms:created>
  <dcterms:modified xsi:type="dcterms:W3CDTF">2022-04-27T22:55:55Z</dcterms:modified>
</cp:coreProperties>
</file>