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931CCBD-4262-46C7-AF74-FF8DE4C5D208}" xr6:coauthVersionLast="47" xr6:coauthVersionMax="47" xr10:uidLastSave="{00000000-0000-0000-0000-000000000000}"/>
  <bookViews>
    <workbookView xWindow="-120" yWindow="-120" windowWidth="29040" windowHeight="15840" activeTab="1" xr2:uid="{5012C4A2-7E2E-4B24-8E7E-7B4B85C9FEE7}"/>
  </bookViews>
  <sheets>
    <sheet name="Main" sheetId="2" r:id="rId1"/>
    <sheet name="Model" sheetId="1" r:id="rId2"/>
    <sheet name="Statis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C1" i="1" s="1"/>
  <c r="X1" i="1"/>
  <c r="X27" i="1"/>
  <c r="V9" i="1"/>
  <c r="W9" i="1"/>
  <c r="X9" i="1"/>
  <c r="W48" i="1"/>
  <c r="C25" i="3"/>
  <c r="C29" i="3"/>
  <c r="C26" i="3"/>
  <c r="C27" i="3"/>
  <c r="C24" i="3"/>
  <c r="C28" i="3"/>
  <c r="AA37" i="1" l="1"/>
  <c r="U27" i="1"/>
  <c r="T27" i="1"/>
  <c r="S27" i="1"/>
  <c r="Q27" i="1"/>
  <c r="P27" i="1"/>
  <c r="O27" i="1"/>
  <c r="M27" i="1"/>
  <c r="L27" i="1"/>
  <c r="K27" i="1"/>
  <c r="I27" i="1"/>
  <c r="H27" i="1"/>
  <c r="G27" i="1"/>
  <c r="E27" i="1"/>
  <c r="D27" i="1"/>
  <c r="C27" i="1"/>
  <c r="W33" i="1"/>
  <c r="U33" i="1"/>
  <c r="T33" i="1"/>
  <c r="S33" i="1"/>
  <c r="Q33" i="1"/>
  <c r="P33" i="1"/>
  <c r="O33" i="1"/>
  <c r="M33" i="1"/>
  <c r="L33" i="1"/>
  <c r="K33" i="1"/>
  <c r="I33" i="1"/>
  <c r="H33" i="1"/>
  <c r="G33" i="1"/>
  <c r="X33" i="1"/>
  <c r="X98" i="1"/>
  <c r="X88" i="1"/>
  <c r="X89" i="1" s="1"/>
  <c r="X81" i="1"/>
  <c r="X82" i="1" s="1"/>
  <c r="X51" i="1"/>
  <c r="X61" i="1" s="1"/>
  <c r="X48" i="1"/>
  <c r="X40" i="1"/>
  <c r="X23" i="1"/>
  <c r="X19" i="1"/>
  <c r="X15" i="1"/>
  <c r="X36" i="1"/>
  <c r="X35" i="1"/>
  <c r="X34" i="1"/>
  <c r="N7" i="2"/>
  <c r="N6" i="2"/>
  <c r="N4" i="2"/>
  <c r="V88" i="1"/>
  <c r="V89" i="1" s="1"/>
  <c r="V98" i="1"/>
  <c r="V81" i="1"/>
  <c r="V82" i="1" s="1"/>
  <c r="E28" i="3"/>
  <c r="D27" i="3"/>
  <c r="E29" i="3"/>
  <c r="E27" i="3"/>
  <c r="D29" i="3"/>
  <c r="D24" i="3"/>
  <c r="D26" i="3"/>
  <c r="E24" i="3"/>
  <c r="E26" i="3"/>
  <c r="D28" i="3"/>
  <c r="E25" i="3"/>
  <c r="D25" i="3"/>
  <c r="X39" i="1" l="1"/>
  <c r="AA35" i="1" s="1"/>
  <c r="V99" i="1"/>
  <c r="X49" i="1"/>
  <c r="X62" i="1" s="1"/>
  <c r="X99" i="1"/>
  <c r="Q31" i="1"/>
  <c r="G31" i="1"/>
  <c r="S88" i="1"/>
  <c r="S89" i="1" s="1"/>
  <c r="S98" i="1"/>
  <c r="S81" i="1"/>
  <c r="S82" i="1" s="1"/>
  <c r="W98" i="1"/>
  <c r="AG39" i="1" l="1"/>
  <c r="AH17" i="1" s="1"/>
  <c r="AH19" i="1" s="1"/>
  <c r="S99" i="1"/>
  <c r="W88" i="1"/>
  <c r="W89" i="1" s="1"/>
  <c r="W81" i="1"/>
  <c r="W82" i="1" s="1"/>
  <c r="P28" i="1"/>
  <c r="U28" i="1"/>
  <c r="T28" i="1"/>
  <c r="S28" i="1"/>
  <c r="Q28" i="1"/>
  <c r="O28" i="1"/>
  <c r="M28" i="1"/>
  <c r="L28" i="1"/>
  <c r="K28" i="1"/>
  <c r="I28" i="1"/>
  <c r="H28" i="1"/>
  <c r="G28" i="1"/>
  <c r="E28" i="1"/>
  <c r="D28" i="1"/>
  <c r="C28" i="1"/>
  <c r="W35" i="1"/>
  <c r="W51" i="1"/>
  <c r="W40" i="1"/>
  <c r="W23" i="1"/>
  <c r="W36" i="1"/>
  <c r="W34" i="1"/>
  <c r="W19" i="1"/>
  <c r="W15" i="1"/>
  <c r="C19" i="1"/>
  <c r="U15" i="1"/>
  <c r="T15" i="1"/>
  <c r="S15" i="1"/>
  <c r="Q15" i="1"/>
  <c r="P15" i="1"/>
  <c r="O15" i="1"/>
  <c r="M15" i="1"/>
  <c r="L15" i="1"/>
  <c r="K15" i="1"/>
  <c r="I15" i="1"/>
  <c r="H15" i="1"/>
  <c r="G15" i="1"/>
  <c r="E15" i="1"/>
  <c r="D15" i="1"/>
  <c r="C15" i="1"/>
  <c r="C16" i="1" s="1"/>
  <c r="U61" i="1"/>
  <c r="U48" i="1"/>
  <c r="U40" i="1"/>
  <c r="V40" i="1"/>
  <c r="R51" i="1"/>
  <c r="R61" i="1" s="1"/>
  <c r="V51" i="1"/>
  <c r="V61" i="1" s="1"/>
  <c r="R48" i="1"/>
  <c r="R40" i="1"/>
  <c r="V48" i="1"/>
  <c r="W99" i="1" l="1"/>
  <c r="W49" i="1"/>
  <c r="R39" i="1"/>
  <c r="W39" i="1"/>
  <c r="U49" i="1"/>
  <c r="U62" i="1" s="1"/>
  <c r="U39" i="1"/>
  <c r="W61" i="1"/>
  <c r="R49" i="1"/>
  <c r="R62" i="1" s="1"/>
  <c r="V39" i="1"/>
  <c r="V49" i="1"/>
  <c r="V62" i="1" s="1"/>
  <c r="V12" i="1"/>
  <c r="U36" i="1"/>
  <c r="G35" i="1"/>
  <c r="H35" i="1"/>
  <c r="I35" i="1"/>
  <c r="K35" i="1"/>
  <c r="L35" i="1"/>
  <c r="M35" i="1"/>
  <c r="O35" i="1"/>
  <c r="P35" i="1"/>
  <c r="Q35" i="1"/>
  <c r="S35" i="1"/>
  <c r="T35" i="1"/>
  <c r="U35" i="1"/>
  <c r="U34" i="1"/>
  <c r="T34" i="1"/>
  <c r="S34" i="1"/>
  <c r="Q34" i="1"/>
  <c r="P34" i="1"/>
  <c r="O34" i="1"/>
  <c r="M34" i="1"/>
  <c r="L34" i="1"/>
  <c r="K34" i="1"/>
  <c r="I34" i="1"/>
  <c r="H34" i="1"/>
  <c r="G34" i="1"/>
  <c r="I36" i="1"/>
  <c r="T36" i="1"/>
  <c r="S36" i="1"/>
  <c r="Q36" i="1"/>
  <c r="P36" i="1"/>
  <c r="O36" i="1"/>
  <c r="M36" i="1"/>
  <c r="L36" i="1"/>
  <c r="K36" i="1"/>
  <c r="H36" i="1"/>
  <c r="G36" i="1"/>
  <c r="H31" i="1"/>
  <c r="U31" i="1"/>
  <c r="T31" i="1"/>
  <c r="S31" i="1"/>
  <c r="P31" i="1"/>
  <c r="O31" i="1"/>
  <c r="M31" i="1"/>
  <c r="L31" i="1"/>
  <c r="K31" i="1"/>
  <c r="I31" i="1"/>
  <c r="D6" i="2"/>
  <c r="D5" i="2"/>
  <c r="D4" i="2"/>
  <c r="D3" i="2"/>
  <c r="N5" i="2"/>
  <c r="N8" i="2" s="1"/>
  <c r="AE23" i="1"/>
  <c r="AD23" i="1"/>
  <c r="AC23" i="1"/>
  <c r="C20" i="1"/>
  <c r="F21" i="1"/>
  <c r="AC21" i="1" s="1"/>
  <c r="F18" i="1"/>
  <c r="AC18" i="1" s="1"/>
  <c r="F17" i="1"/>
  <c r="AC17" i="1" s="1"/>
  <c r="F14" i="1"/>
  <c r="AC14" i="1" s="1"/>
  <c r="F13" i="1"/>
  <c r="AC13" i="1" s="1"/>
  <c r="F12" i="1"/>
  <c r="AC12" i="1" s="1"/>
  <c r="F11" i="1"/>
  <c r="AC11" i="1" s="1"/>
  <c r="F10" i="1"/>
  <c r="F9" i="1"/>
  <c r="D16" i="1"/>
  <c r="D19" i="1"/>
  <c r="E19" i="1"/>
  <c r="E16" i="1"/>
  <c r="AF2" i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J21" i="1"/>
  <c r="AD21" i="1" s="1"/>
  <c r="J18" i="1"/>
  <c r="AD18" i="1" s="1"/>
  <c r="J17" i="1"/>
  <c r="AD17" i="1" s="1"/>
  <c r="J11" i="1"/>
  <c r="J10" i="1"/>
  <c r="J9" i="1"/>
  <c r="J14" i="1"/>
  <c r="AD14" i="1" s="1"/>
  <c r="J13" i="1"/>
  <c r="AD13" i="1" s="1"/>
  <c r="J12" i="1"/>
  <c r="N21" i="1"/>
  <c r="AE21" i="1" s="1"/>
  <c r="N18" i="1"/>
  <c r="AE18" i="1" s="1"/>
  <c r="N17" i="1"/>
  <c r="AE17" i="1" s="1"/>
  <c r="N14" i="1"/>
  <c r="AE14" i="1" s="1"/>
  <c r="N13" i="1"/>
  <c r="AE13" i="1" s="1"/>
  <c r="N12" i="1"/>
  <c r="AE12" i="1" s="1"/>
  <c r="N11" i="1"/>
  <c r="N33" i="1" s="1"/>
  <c r="N10" i="1"/>
  <c r="N9" i="1"/>
  <c r="G19" i="1"/>
  <c r="G16" i="1"/>
  <c r="R10" i="1"/>
  <c r="K19" i="1"/>
  <c r="K16" i="1"/>
  <c r="H19" i="1"/>
  <c r="H16" i="1"/>
  <c r="L19" i="1"/>
  <c r="L16" i="1"/>
  <c r="I19" i="1"/>
  <c r="I16" i="1"/>
  <c r="M19" i="1"/>
  <c r="M16" i="1"/>
  <c r="R23" i="1"/>
  <c r="AF23" i="1" s="1"/>
  <c r="R21" i="1"/>
  <c r="AF21" i="1" s="1"/>
  <c r="R18" i="1"/>
  <c r="AF18" i="1" s="1"/>
  <c r="R17" i="1"/>
  <c r="AF17" i="1" s="1"/>
  <c r="R14" i="1"/>
  <c r="AF14" i="1" s="1"/>
  <c r="R13" i="1"/>
  <c r="AF13" i="1" s="1"/>
  <c r="R12" i="1"/>
  <c r="R11" i="1"/>
  <c r="R9" i="1"/>
  <c r="V23" i="1"/>
  <c r="AG23" i="1" s="1"/>
  <c r="V21" i="1"/>
  <c r="AG21" i="1" s="1"/>
  <c r="V18" i="1"/>
  <c r="AG18" i="1" s="1"/>
  <c r="V17" i="1"/>
  <c r="V14" i="1"/>
  <c r="AG14" i="1" s="1"/>
  <c r="V13" i="1"/>
  <c r="AG13" i="1" s="1"/>
  <c r="V11" i="1"/>
  <c r="V10" i="1"/>
  <c r="O19" i="1"/>
  <c r="O16" i="1"/>
  <c r="S19" i="1"/>
  <c r="P16" i="1"/>
  <c r="P19" i="1"/>
  <c r="T19" i="1"/>
  <c r="T16" i="1"/>
  <c r="Q19" i="1"/>
  <c r="Q16" i="1"/>
  <c r="U19" i="1"/>
  <c r="U16" i="1"/>
  <c r="N27" i="1" l="1"/>
  <c r="J27" i="1"/>
  <c r="W62" i="1"/>
  <c r="R27" i="1"/>
  <c r="AD11" i="1"/>
  <c r="AD35" i="1" s="1"/>
  <c r="J33" i="1"/>
  <c r="V35" i="1"/>
  <c r="V33" i="1"/>
  <c r="AF11" i="1"/>
  <c r="R33" i="1"/>
  <c r="F27" i="1"/>
  <c r="N15" i="1"/>
  <c r="J36" i="1"/>
  <c r="AC9" i="1"/>
  <c r="F28" i="1"/>
  <c r="R28" i="1"/>
  <c r="J28" i="1"/>
  <c r="AE9" i="1"/>
  <c r="N28" i="1"/>
  <c r="V15" i="1"/>
  <c r="J35" i="1"/>
  <c r="R31" i="1"/>
  <c r="J31" i="1"/>
  <c r="AC10" i="1"/>
  <c r="F15" i="1"/>
  <c r="F16" i="1" s="1"/>
  <c r="AF10" i="1"/>
  <c r="R15" i="1"/>
  <c r="AD10" i="1"/>
  <c r="J15" i="1"/>
  <c r="J16" i="1" s="1"/>
  <c r="N34" i="1"/>
  <c r="J34" i="1"/>
  <c r="V34" i="1"/>
  <c r="N35" i="1"/>
  <c r="C29" i="1"/>
  <c r="C22" i="1"/>
  <c r="R36" i="1"/>
  <c r="AG11" i="1"/>
  <c r="V36" i="1"/>
  <c r="AF9" i="1"/>
  <c r="R35" i="1"/>
  <c r="R34" i="1"/>
  <c r="AE10" i="1"/>
  <c r="N36" i="1"/>
  <c r="AG10" i="1"/>
  <c r="AD9" i="1"/>
  <c r="N31" i="1"/>
  <c r="AE11" i="1"/>
  <c r="AG12" i="1"/>
  <c r="AD12" i="1"/>
  <c r="AD36" i="1" s="1"/>
  <c r="AF12" i="1"/>
  <c r="AF36" i="1" s="1"/>
  <c r="S16" i="1"/>
  <c r="M20" i="1"/>
  <c r="K20" i="1"/>
  <c r="O20" i="1"/>
  <c r="V19" i="1"/>
  <c r="AG19" i="1" s="1"/>
  <c r="AG17" i="1"/>
  <c r="F19" i="1"/>
  <c r="AC19" i="1" s="1"/>
  <c r="N19" i="1"/>
  <c r="AE19" i="1" s="1"/>
  <c r="E20" i="1"/>
  <c r="D20" i="1"/>
  <c r="I20" i="1"/>
  <c r="J19" i="1"/>
  <c r="AD19" i="1" s="1"/>
  <c r="L20" i="1"/>
  <c r="G20" i="1"/>
  <c r="P20" i="1"/>
  <c r="Q20" i="1"/>
  <c r="R19" i="1"/>
  <c r="AF19" i="1" s="1"/>
  <c r="U20" i="1"/>
  <c r="H20" i="1"/>
  <c r="T20" i="1"/>
  <c r="AE35" i="1" l="1"/>
  <c r="AD27" i="1"/>
  <c r="AG35" i="1"/>
  <c r="AE27" i="1"/>
  <c r="AF27" i="1"/>
  <c r="AC27" i="1"/>
  <c r="AD31" i="1"/>
  <c r="C24" i="1"/>
  <c r="C64" i="1"/>
  <c r="AF31" i="1"/>
  <c r="AD34" i="1"/>
  <c r="AG36" i="1"/>
  <c r="AE34" i="1"/>
  <c r="AG34" i="1"/>
  <c r="AF35" i="1"/>
  <c r="AF34" i="1"/>
  <c r="M22" i="1"/>
  <c r="M64" i="1" s="1"/>
  <c r="M29" i="1"/>
  <c r="F20" i="1"/>
  <c r="AC16" i="1"/>
  <c r="AC28" i="1" s="1"/>
  <c r="H22" i="1"/>
  <c r="H64" i="1" s="1"/>
  <c r="H29" i="1"/>
  <c r="G22" i="1"/>
  <c r="G64" i="1" s="1"/>
  <c r="G29" i="1"/>
  <c r="S20" i="1"/>
  <c r="N16" i="1"/>
  <c r="AE15" i="1"/>
  <c r="U22" i="1"/>
  <c r="U64" i="1" s="1"/>
  <c r="U29" i="1"/>
  <c r="AE31" i="1"/>
  <c r="T22" i="1"/>
  <c r="T29" i="1"/>
  <c r="L22" i="1"/>
  <c r="L64" i="1" s="1"/>
  <c r="L29" i="1"/>
  <c r="I22" i="1"/>
  <c r="I64" i="1" s="1"/>
  <c r="I29" i="1"/>
  <c r="AE36" i="1"/>
  <c r="O22" i="1"/>
  <c r="O64" i="1" s="1"/>
  <c r="O29" i="1"/>
  <c r="P22" i="1"/>
  <c r="P64" i="1" s="1"/>
  <c r="P29" i="1"/>
  <c r="AG15" i="1"/>
  <c r="J20" i="1"/>
  <c r="R16" i="1"/>
  <c r="R20" i="1" s="1"/>
  <c r="AF20" i="1" s="1"/>
  <c r="AF29" i="1" s="1"/>
  <c r="AF15" i="1"/>
  <c r="D22" i="1"/>
  <c r="D29" i="1"/>
  <c r="AC15" i="1"/>
  <c r="Q22" i="1"/>
  <c r="Q64" i="1" s="1"/>
  <c r="Q29" i="1"/>
  <c r="E22" i="1"/>
  <c r="E64" i="1" s="1"/>
  <c r="E29" i="1"/>
  <c r="K22" i="1"/>
  <c r="K64" i="1" s="1"/>
  <c r="K29" i="1"/>
  <c r="AD15" i="1"/>
  <c r="AD16" i="1"/>
  <c r="AD28" i="1" s="1"/>
  <c r="T64" i="1" l="1"/>
  <c r="D24" i="1"/>
  <c r="D64" i="1"/>
  <c r="L24" i="1"/>
  <c r="L32" i="1"/>
  <c r="E24" i="1"/>
  <c r="AF16" i="1"/>
  <c r="AF28" i="1" s="1"/>
  <c r="O24" i="1"/>
  <c r="O32" i="1"/>
  <c r="T24" i="1"/>
  <c r="T32" i="1"/>
  <c r="S22" i="1"/>
  <c r="S29" i="1"/>
  <c r="F22" i="1"/>
  <c r="F29" i="1"/>
  <c r="AC20" i="1"/>
  <c r="AC29" i="1" s="1"/>
  <c r="Q24" i="1"/>
  <c r="Q32" i="1"/>
  <c r="J22" i="1"/>
  <c r="J29" i="1"/>
  <c r="AD20" i="1"/>
  <c r="AD29" i="1" s="1"/>
  <c r="M24" i="1"/>
  <c r="M32" i="1"/>
  <c r="K24" i="1"/>
  <c r="K32" i="1"/>
  <c r="R22" i="1"/>
  <c r="R64" i="1" s="1"/>
  <c r="R29" i="1"/>
  <c r="U24" i="1"/>
  <c r="U32" i="1"/>
  <c r="G24" i="1"/>
  <c r="G32" i="1"/>
  <c r="I24" i="1"/>
  <c r="I32" i="1"/>
  <c r="P24" i="1"/>
  <c r="P32" i="1"/>
  <c r="N20" i="1"/>
  <c r="AE16" i="1"/>
  <c r="AE28" i="1" s="1"/>
  <c r="H24" i="1"/>
  <c r="H32" i="1"/>
  <c r="AC22" i="1" l="1"/>
  <c r="F64" i="1"/>
  <c r="AD22" i="1"/>
  <c r="J64" i="1"/>
  <c r="S64" i="1"/>
  <c r="S24" i="1"/>
  <c r="S32" i="1"/>
  <c r="N22" i="1"/>
  <c r="N29" i="1"/>
  <c r="AE20" i="1"/>
  <c r="AE29" i="1" s="1"/>
  <c r="R24" i="1"/>
  <c r="AF24" i="1" s="1"/>
  <c r="F24" i="1"/>
  <c r="AC24" i="1" s="1"/>
  <c r="AF22" i="1"/>
  <c r="J24" i="1"/>
  <c r="AD24" i="1" s="1"/>
  <c r="J32" i="1"/>
  <c r="AD32" i="1" l="1"/>
  <c r="R32" i="1"/>
  <c r="N64" i="1"/>
  <c r="N24" i="1"/>
  <c r="AE24" i="1" s="1"/>
  <c r="N32" i="1"/>
  <c r="AE22" i="1"/>
  <c r="AE32" i="1" l="1"/>
  <c r="AF32" i="1"/>
  <c r="X16" i="1" l="1"/>
  <c r="X20" i="1"/>
  <c r="X28" i="1"/>
  <c r="X31" i="1"/>
  <c r="X22" i="1" l="1"/>
  <c r="X29" i="1"/>
  <c r="X64" i="1" l="1"/>
  <c r="X32" i="1"/>
  <c r="X24" i="1"/>
  <c r="W27" i="1"/>
  <c r="W28" i="1"/>
  <c r="W31" i="1"/>
  <c r="W16" i="1"/>
  <c r="W20" i="1"/>
  <c r="W22" i="1" s="1"/>
  <c r="W24" i="1" l="1"/>
  <c r="W64" i="1"/>
  <c r="W32" i="1"/>
  <c r="W29" i="1"/>
  <c r="AG27" i="1"/>
  <c r="V27" i="1"/>
  <c r="V31" i="1"/>
  <c r="V28" i="1"/>
  <c r="V16" i="1"/>
  <c r="AG16" i="1" s="1"/>
  <c r="AG28" i="1" s="1"/>
  <c r="V20" i="1"/>
  <c r="V29" i="1" s="1"/>
  <c r="AG9" i="1"/>
  <c r="AG31" i="1" s="1"/>
  <c r="AG20" i="1" l="1"/>
  <c r="AG29" i="1" s="1"/>
  <c r="AH9" i="1"/>
  <c r="V22" i="1"/>
  <c r="AH16" i="1" l="1"/>
  <c r="AH31" i="1"/>
  <c r="AI9" i="1"/>
  <c r="V64" i="1"/>
  <c r="V24" i="1"/>
  <c r="AG24" i="1" s="1"/>
  <c r="AG22" i="1"/>
  <c r="V32" i="1"/>
  <c r="AH39" i="1" l="1"/>
  <c r="AI17" i="1" s="1"/>
  <c r="AI19" i="1" s="1"/>
  <c r="AG32" i="1"/>
  <c r="AH28" i="1"/>
  <c r="AH20" i="1"/>
  <c r="AI31" i="1"/>
  <c r="AJ9" i="1"/>
  <c r="AI16" i="1"/>
  <c r="AK9" i="1" l="1"/>
  <c r="AJ16" i="1"/>
  <c r="AJ31" i="1"/>
  <c r="AH21" i="1"/>
  <c r="AH29" i="1" s="1"/>
  <c r="AI28" i="1"/>
  <c r="AI20" i="1"/>
  <c r="AH22" i="1" l="1"/>
  <c r="AI21" i="1"/>
  <c r="AI29" i="1" s="1"/>
  <c r="AI22" i="1"/>
  <c r="AI39" i="1"/>
  <c r="AJ17" i="1" s="1"/>
  <c r="AJ19" i="1" s="1"/>
  <c r="AJ20" i="1" s="1"/>
  <c r="AH32" i="1"/>
  <c r="AH24" i="1"/>
  <c r="AJ28" i="1"/>
  <c r="AK31" i="1"/>
  <c r="AK16" i="1"/>
  <c r="AL9" i="1"/>
  <c r="AK28" i="1" l="1"/>
  <c r="AI24" i="1"/>
  <c r="AJ39" i="1"/>
  <c r="AK17" i="1" s="1"/>
  <c r="AK19" i="1" s="1"/>
  <c r="AK20" i="1" s="1"/>
  <c r="AI32" i="1"/>
  <c r="AJ21" i="1"/>
  <c r="AJ29" i="1" s="1"/>
  <c r="AM9" i="1"/>
  <c r="AL31" i="1"/>
  <c r="AL16" i="1"/>
  <c r="AL28" i="1" l="1"/>
  <c r="AJ22" i="1"/>
  <c r="AK21" i="1"/>
  <c r="AK29" i="1" s="1"/>
  <c r="AM31" i="1"/>
  <c r="AM16" i="1"/>
  <c r="AJ24" i="1" l="1"/>
  <c r="AJ32" i="1"/>
  <c r="AK39" i="1"/>
  <c r="AL17" i="1" s="1"/>
  <c r="AL19" i="1" s="1"/>
  <c r="AL20" i="1" s="1"/>
  <c r="AK22" i="1"/>
  <c r="AM28" i="1"/>
  <c r="AL21" i="1" l="1"/>
  <c r="AL29" i="1" s="1"/>
  <c r="AL39" i="1"/>
  <c r="AM17" i="1" s="1"/>
  <c r="AM19" i="1" s="1"/>
  <c r="AM20" i="1" s="1"/>
  <c r="AK24" i="1"/>
  <c r="AK32" i="1"/>
  <c r="AM21" i="1" l="1"/>
  <c r="AM29" i="1" s="1"/>
  <c r="AL22" i="1"/>
  <c r="AM22" i="1" l="1"/>
  <c r="AM32" i="1"/>
  <c r="AM24" i="1"/>
  <c r="AN22" i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AA34" i="1" s="1"/>
  <c r="AA36" i="1" s="1"/>
  <c r="AA38" i="1" s="1"/>
  <c r="AA41" i="1" s="1"/>
  <c r="AM39" i="1"/>
  <c r="AL24" i="1"/>
  <c r="AL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O2" authorId="0" shapeId="0" xr:uid="{D0339A19-A34B-4A95-A55E-89F452F6C27A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Covid Shutdown</t>
        </r>
      </text>
    </comment>
    <comment ref="B7" authorId="0" shapeId="0" xr:uid="{DADDF868-9BDD-4FC8-B4C6-C28E72D08366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Financial Institutions for payment transcations</t>
        </r>
      </text>
    </comment>
    <comment ref="B70" authorId="0" shapeId="0" xr:uid="{011919A8-A9C8-47F4-BC8F-F1FEF48496CB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Insurance Policy
</t>
        </r>
      </text>
    </comment>
  </commentList>
</comments>
</file>

<file path=xl/sharedStrings.xml><?xml version="1.0" encoding="utf-8"?>
<sst xmlns="http://schemas.openxmlformats.org/spreadsheetml/2006/main" count="182" uniqueCount="159">
  <si>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</si>
  <si>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</si>
  <si>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</si>
  <si>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</si>
  <si>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</si>
  <si>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</si>
  <si>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</si>
  <si>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</si>
  <si>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</si>
  <si>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</si>
  <si>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</si>
  <si>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</si>
  <si>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</si>
  <si>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</si>
  <si>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</si>
  <si>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</si>
  <si>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Q421</t>
  </si>
  <si>
    <t>Q121</t>
  </si>
  <si>
    <t>Q221</t>
  </si>
  <si>
    <t>Q321</t>
  </si>
  <si>
    <t>Personnel</t>
  </si>
  <si>
    <t>Marketing</t>
  </si>
  <si>
    <t>Network &amp; Processing</t>
  </si>
  <si>
    <t>Professional Fees</t>
  </si>
  <si>
    <t>G&amp;A</t>
  </si>
  <si>
    <t>Operating Income</t>
  </si>
  <si>
    <t>Interest Expense</t>
  </si>
  <si>
    <t>Investment Income</t>
  </si>
  <si>
    <t>Non-Operating Expense</t>
  </si>
  <si>
    <t>Operating Expense</t>
  </si>
  <si>
    <t>Pretax Income</t>
  </si>
  <si>
    <t>Tax</t>
  </si>
  <si>
    <t>Net Income</t>
  </si>
  <si>
    <t>S/O</t>
  </si>
  <si>
    <t>Revenue Y/Y</t>
  </si>
  <si>
    <t>EPA average</t>
  </si>
  <si>
    <t>Operating Margin %</t>
  </si>
  <si>
    <t>Price</t>
  </si>
  <si>
    <t>MC</t>
  </si>
  <si>
    <t>Cash</t>
  </si>
  <si>
    <t>Debt</t>
  </si>
  <si>
    <t>EV</t>
  </si>
  <si>
    <t>Visa: A business that facilitates payments between consumers and businesses</t>
  </si>
  <si>
    <t>Services Revenues</t>
  </si>
  <si>
    <t>Data Processing</t>
  </si>
  <si>
    <t>Internation Transcations</t>
  </si>
  <si>
    <t>Other</t>
  </si>
  <si>
    <t>Description</t>
  </si>
  <si>
    <t>Service</t>
  </si>
  <si>
    <t>Payment Service for clients</t>
  </si>
  <si>
    <t>Facilitatation of Transcations</t>
  </si>
  <si>
    <t>Cross Border Transcations, similar to above</t>
  </si>
  <si>
    <t>Licensing fees</t>
  </si>
  <si>
    <t>% of revenue</t>
  </si>
  <si>
    <t>Competitors</t>
  </si>
  <si>
    <t>Paypal, Square</t>
  </si>
  <si>
    <t>Mastercard</t>
  </si>
  <si>
    <t>`</t>
  </si>
  <si>
    <t>Income Y/Y</t>
  </si>
  <si>
    <t>Processing Fee Y/Y</t>
  </si>
  <si>
    <t>Personnel Fee</t>
  </si>
  <si>
    <t>Marketing Fee</t>
  </si>
  <si>
    <t>discount</t>
  </si>
  <si>
    <t>npv</t>
  </si>
  <si>
    <t>s/o</t>
  </si>
  <si>
    <t>Settlement Receivables</t>
  </si>
  <si>
    <t>Accounts Receivables</t>
  </si>
  <si>
    <t>Customer Collateral</t>
  </si>
  <si>
    <t>Portion of Client Incentive</t>
  </si>
  <si>
    <t>Prepaid Expense</t>
  </si>
  <si>
    <t>Client Incentives</t>
  </si>
  <si>
    <t>PE&amp;T</t>
  </si>
  <si>
    <t>Total Assests</t>
  </si>
  <si>
    <t>Account payable</t>
  </si>
  <si>
    <t>Settlement Payable</t>
  </si>
  <si>
    <t>Client Incentive</t>
  </si>
  <si>
    <t>Accured Liabilities</t>
  </si>
  <si>
    <t>Accured Litigation</t>
  </si>
  <si>
    <t>Total Liabilities</t>
  </si>
  <si>
    <t>Deffered tax</t>
  </si>
  <si>
    <t>Notes</t>
  </si>
  <si>
    <t>NET CASH</t>
  </si>
  <si>
    <t>each share</t>
  </si>
  <si>
    <t>maturity'</t>
  </si>
  <si>
    <t>Rise in transcation demand grows at a straggering pace due to travel</t>
  </si>
  <si>
    <t>Bought currencycloud</t>
  </si>
  <si>
    <t>Net Cash</t>
  </si>
  <si>
    <t>Q122</t>
  </si>
  <si>
    <t>Gross Margin %</t>
  </si>
  <si>
    <t>Model NI</t>
  </si>
  <si>
    <t>SBC</t>
  </si>
  <si>
    <t>D&amp;A</t>
  </si>
  <si>
    <t>Ve Territory covered Losses</t>
  </si>
  <si>
    <t>Equity Investments</t>
  </si>
  <si>
    <t>Other assets</t>
  </si>
  <si>
    <t>Accounts Payable</t>
  </si>
  <si>
    <t>Settlemnet payable</t>
  </si>
  <si>
    <t>Accrued and other liabiltiies</t>
  </si>
  <si>
    <t>CFFO</t>
  </si>
  <si>
    <t>Reported NI</t>
  </si>
  <si>
    <t>Deferred IT</t>
  </si>
  <si>
    <t>CapEx</t>
  </si>
  <si>
    <t>Purchases of Investment Securities</t>
  </si>
  <si>
    <t>Investment Securities Maturity &amp; Sale</t>
  </si>
  <si>
    <t>Acquistions</t>
  </si>
  <si>
    <t>Other Investments</t>
  </si>
  <si>
    <t>CFFI</t>
  </si>
  <si>
    <t>Repurchase of Class A Stock</t>
  </si>
  <si>
    <t>Debt Repayments</t>
  </si>
  <si>
    <t>Dividends Paid</t>
  </si>
  <si>
    <t>CFFF</t>
  </si>
  <si>
    <t>Settled Cash</t>
  </si>
  <si>
    <t>International Transactions</t>
  </si>
  <si>
    <t>Other Revenue</t>
  </si>
  <si>
    <t>CF</t>
  </si>
  <si>
    <t>Compesation &amp; Benenfits</t>
  </si>
  <si>
    <t>Q322</t>
  </si>
  <si>
    <t>Q222</t>
  </si>
  <si>
    <t>Q422</t>
  </si>
  <si>
    <t>Senior Note Issuance</t>
  </si>
  <si>
    <t>Employee Contributions</t>
  </si>
  <si>
    <t>Free Cashflow</t>
  </si>
  <si>
    <t>ROIC</t>
  </si>
  <si>
    <t>Marketing Y/Y</t>
  </si>
  <si>
    <t>Equity</t>
  </si>
  <si>
    <t>Net Revenue</t>
  </si>
  <si>
    <t>Timeline</t>
  </si>
  <si>
    <t>Values</t>
  </si>
  <si>
    <t>Forecast</t>
  </si>
  <si>
    <t>Lower Confidence Bound</t>
  </si>
  <si>
    <t>Upper Confidence Bound</t>
  </si>
  <si>
    <t>V RevG Y/Y</t>
  </si>
  <si>
    <t>y</t>
  </si>
  <si>
    <t>x</t>
  </si>
  <si>
    <t>GDP Y/Y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</si>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</sst>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0" xfId="0" applyFont="1"/>
    <xf numFmtId="0" fontId="2" fillId="0" borderId="0" xfId="0" applyFont="1"/>
    <xf numFmtId="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11" fillId="0" borderId="8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2" borderId="0" xfId="0" applyFont="1" applyFill="1"/>
    <xf numFmtId="14" fontId="5" fillId="2" borderId="0" xfId="0" applyNumberFormat="1" applyFont="1" applyFill="1"/>
    <xf numFmtId="0" fontId="2" fillId="2" borderId="0" xfId="0" applyFont="1" applyFill="1"/>
    <xf numFmtId="3" fontId="3" fillId="2" borderId="0" xfId="0" applyNumberFormat="1" applyFont="1" applyFill="1"/>
    <xf numFmtId="3" fontId="5" fillId="2" borderId="0" xfId="0" applyNumberFormat="1" applyFont="1" applyFill="1"/>
    <xf numFmtId="0" fontId="7" fillId="2" borderId="0" xfId="0" applyFont="1" applyFill="1"/>
    <xf numFmtId="3" fontId="7" fillId="2" borderId="0" xfId="0" applyNumberFormat="1" applyFont="1" applyFill="1"/>
    <xf numFmtId="3" fontId="2" fillId="2" borderId="0" xfId="0" applyNumberFormat="1" applyFont="1" applyFill="1"/>
    <xf numFmtId="4" fontId="5" fillId="2" borderId="0" xfId="0" applyNumberFormat="1" applyFont="1" applyFill="1"/>
    <xf numFmtId="9" fontId="5" fillId="2" borderId="0" xfId="0" applyNumberFormat="1" applyFont="1" applyFill="1"/>
    <xf numFmtId="9" fontId="10" fillId="2" borderId="0" xfId="0" applyNumberFormat="1" applyFont="1" applyFill="1"/>
    <xf numFmtId="0" fontId="10" fillId="2" borderId="0" xfId="0" applyFont="1" applyFill="1"/>
    <xf numFmtId="0" fontId="2" fillId="2" borderId="1" xfId="0" applyFont="1" applyFill="1" applyBorder="1"/>
    <xf numFmtId="9" fontId="2" fillId="2" borderId="2" xfId="0" applyNumberFormat="1" applyFont="1" applyFill="1" applyBorder="1"/>
    <xf numFmtId="0" fontId="5" fillId="2" borderId="3" xfId="0" applyFont="1" applyFill="1" applyBorder="1"/>
    <xf numFmtId="9" fontId="5" fillId="2" borderId="4" xfId="0" applyNumberFormat="1" applyFont="1" applyFill="1" applyBorder="1"/>
    <xf numFmtId="10" fontId="5" fillId="2" borderId="4" xfId="0" applyNumberFormat="1" applyFont="1" applyFill="1" applyBorder="1"/>
    <xf numFmtId="3" fontId="5" fillId="2" borderId="4" xfId="0" applyNumberFormat="1" applyFont="1" applyFill="1" applyBorder="1"/>
    <xf numFmtId="10" fontId="5" fillId="2" borderId="0" xfId="0" applyNumberFormat="1" applyFont="1" applyFill="1"/>
    <xf numFmtId="4" fontId="5" fillId="2" borderId="4" xfId="0" applyNumberFormat="1" applyFont="1" applyFill="1" applyBorder="1"/>
    <xf numFmtId="3" fontId="7" fillId="2" borderId="3" xfId="0" applyNumberFormat="1" applyFont="1" applyFill="1" applyBorder="1"/>
    <xf numFmtId="4" fontId="1" fillId="2" borderId="4" xfId="0" applyNumberFormat="1" applyFont="1" applyFill="1" applyBorder="1"/>
    <xf numFmtId="164" fontId="7" fillId="2" borderId="0" xfId="0" applyNumberFormat="1" applyFont="1" applyFill="1"/>
    <xf numFmtId="3" fontId="2" fillId="2" borderId="3" xfId="0" applyNumberFormat="1" applyFont="1" applyFill="1" applyBorder="1"/>
    <xf numFmtId="0" fontId="2" fillId="2" borderId="4" xfId="0" applyFont="1" applyFill="1" applyBorder="1"/>
    <xf numFmtId="164" fontId="2" fillId="2" borderId="0" xfId="0" applyNumberFormat="1" applyFont="1" applyFill="1"/>
    <xf numFmtId="3" fontId="5" fillId="2" borderId="5" xfId="0" applyNumberFormat="1" applyFont="1" applyFill="1" applyBorder="1"/>
    <xf numFmtId="9" fontId="2" fillId="2" borderId="6" xfId="0" applyNumberFormat="1" applyFont="1" applyFill="1" applyBorder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Statistics!$B$2:$B$29</c:f>
              <c:numCache>
                <c:formatCode>#,##0</c:formatCode>
                <c:ptCount val="28"/>
                <c:pt idx="0">
                  <c:v>4461</c:v>
                </c:pt>
                <c:pt idx="1">
                  <c:v>4477</c:v>
                </c:pt>
                <c:pt idx="2">
                  <c:v>4565</c:v>
                </c:pt>
                <c:pt idx="3">
                  <c:v>4855</c:v>
                </c:pt>
                <c:pt idx="4">
                  <c:v>4862</c:v>
                </c:pt>
                <c:pt idx="5">
                  <c:v>5073</c:v>
                </c:pt>
                <c:pt idx="6">
                  <c:v>5240</c:v>
                </c:pt>
                <c:pt idx="7">
                  <c:v>5434</c:v>
                </c:pt>
                <c:pt idx="8">
                  <c:v>5506</c:v>
                </c:pt>
                <c:pt idx="9">
                  <c:v>5494</c:v>
                </c:pt>
                <c:pt idx="10">
                  <c:v>5840</c:v>
                </c:pt>
                <c:pt idx="11">
                  <c:v>6137</c:v>
                </c:pt>
                <c:pt idx="12">
                  <c:v>6054</c:v>
                </c:pt>
                <c:pt idx="13">
                  <c:v>5854</c:v>
                </c:pt>
                <c:pt idx="14">
                  <c:v>4837</c:v>
                </c:pt>
                <c:pt idx="15">
                  <c:v>5101</c:v>
                </c:pt>
                <c:pt idx="16">
                  <c:v>5687</c:v>
                </c:pt>
                <c:pt idx="17">
                  <c:v>5729</c:v>
                </c:pt>
                <c:pt idx="18">
                  <c:v>6130</c:v>
                </c:pt>
                <c:pt idx="19">
                  <c:v>6559</c:v>
                </c:pt>
                <c:pt idx="20">
                  <c:v>7059</c:v>
                </c:pt>
                <c:pt idx="21">
                  <c:v>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4-458A-9E99-125761D78695}"/>
            </c:ext>
          </c:extLst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Statistics!$A$2:$A$29</c:f>
              <c:numCache>
                <c:formatCode>m/d/yyyy</c:formatCode>
                <c:ptCount val="28"/>
                <c:pt idx="0">
                  <c:v>42879</c:v>
                </c:pt>
                <c:pt idx="1">
                  <c:v>42969</c:v>
                </c:pt>
                <c:pt idx="2">
                  <c:v>43059</c:v>
                </c:pt>
                <c:pt idx="3">
                  <c:v>43149</c:v>
                </c:pt>
                <c:pt idx="4">
                  <c:v>43239</c:v>
                </c:pt>
                <c:pt idx="5">
                  <c:v>43329</c:v>
                </c:pt>
                <c:pt idx="6">
                  <c:v>43419</c:v>
                </c:pt>
                <c:pt idx="7">
                  <c:v>43509</c:v>
                </c:pt>
                <c:pt idx="8">
                  <c:v>43599</c:v>
                </c:pt>
                <c:pt idx="9">
                  <c:v>43689</c:v>
                </c:pt>
                <c:pt idx="10">
                  <c:v>43779</c:v>
                </c:pt>
                <c:pt idx="11">
                  <c:v>43869</c:v>
                </c:pt>
                <c:pt idx="12">
                  <c:v>43959</c:v>
                </c:pt>
                <c:pt idx="13">
                  <c:v>44049</c:v>
                </c:pt>
                <c:pt idx="14">
                  <c:v>44139</c:v>
                </c:pt>
                <c:pt idx="15">
                  <c:v>44229</c:v>
                </c:pt>
                <c:pt idx="16">
                  <c:v>44319</c:v>
                </c:pt>
                <c:pt idx="17">
                  <c:v>44409</c:v>
                </c:pt>
                <c:pt idx="18">
                  <c:v>44499</c:v>
                </c:pt>
                <c:pt idx="19">
                  <c:v>44589</c:v>
                </c:pt>
                <c:pt idx="20">
                  <c:v>44679</c:v>
                </c:pt>
                <c:pt idx="21">
                  <c:v>44769</c:v>
                </c:pt>
                <c:pt idx="22">
                  <c:v>44859</c:v>
                </c:pt>
                <c:pt idx="23">
                  <c:v>44949</c:v>
                </c:pt>
                <c:pt idx="24">
                  <c:v>45039</c:v>
                </c:pt>
                <c:pt idx="25">
                  <c:v>45129</c:v>
                </c:pt>
                <c:pt idx="26">
                  <c:v>45219</c:v>
                </c:pt>
                <c:pt idx="27">
                  <c:v>45309</c:v>
                </c:pt>
              </c:numCache>
            </c:numRef>
          </c:cat>
          <c:val>
            <c:numRef>
              <c:f>Statistics!$C$2:$C$29</c:f>
              <c:numCache>
                <c:formatCode>General</c:formatCode>
                <c:ptCount val="28"/>
                <c:pt idx="21" formatCode="#,##0">
                  <c:v>7275</c:v>
                </c:pt>
                <c:pt idx="22" formatCode="#,##0">
                  <c:v>7447.1234484682172</c:v>
                </c:pt>
                <c:pt idx="23" formatCode="#,##0">
                  <c:v>7619.3457152512183</c:v>
                </c:pt>
                <c:pt idx="24" formatCode="#,##0">
                  <c:v>7791.5679820342193</c:v>
                </c:pt>
                <c:pt idx="25" formatCode="#,##0">
                  <c:v>7963.7902488172203</c:v>
                </c:pt>
                <c:pt idx="26" formatCode="#,##0">
                  <c:v>8136.0125156002214</c:v>
                </c:pt>
                <c:pt idx="27" formatCode="#,##0">
                  <c:v>8308.2347823832224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4-458A-9E99-125761D78695}"/>
            </c:ext>
          </c:extLst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Statistics!$A$2:$A$29</c:f>
              <c:numCache>
                <c:formatCode>m/d/yyyy</c:formatCode>
                <c:ptCount val="28"/>
                <c:pt idx="0">
                  <c:v>42879</c:v>
                </c:pt>
                <c:pt idx="1">
                  <c:v>42969</c:v>
                </c:pt>
                <c:pt idx="2">
                  <c:v>43059</c:v>
                </c:pt>
                <c:pt idx="3">
                  <c:v>43149</c:v>
                </c:pt>
                <c:pt idx="4">
                  <c:v>43239</c:v>
                </c:pt>
                <c:pt idx="5">
                  <c:v>43329</c:v>
                </c:pt>
                <c:pt idx="6">
                  <c:v>43419</c:v>
                </c:pt>
                <c:pt idx="7">
                  <c:v>43509</c:v>
                </c:pt>
                <c:pt idx="8">
                  <c:v>43599</c:v>
                </c:pt>
                <c:pt idx="9">
                  <c:v>43689</c:v>
                </c:pt>
                <c:pt idx="10">
                  <c:v>43779</c:v>
                </c:pt>
                <c:pt idx="11">
                  <c:v>43869</c:v>
                </c:pt>
                <c:pt idx="12">
                  <c:v>43959</c:v>
                </c:pt>
                <c:pt idx="13">
                  <c:v>44049</c:v>
                </c:pt>
                <c:pt idx="14">
                  <c:v>44139</c:v>
                </c:pt>
                <c:pt idx="15">
                  <c:v>44229</c:v>
                </c:pt>
                <c:pt idx="16">
                  <c:v>44319</c:v>
                </c:pt>
                <c:pt idx="17">
                  <c:v>44409</c:v>
                </c:pt>
                <c:pt idx="18">
                  <c:v>44499</c:v>
                </c:pt>
                <c:pt idx="19">
                  <c:v>44589</c:v>
                </c:pt>
                <c:pt idx="20">
                  <c:v>44679</c:v>
                </c:pt>
                <c:pt idx="21">
                  <c:v>44769</c:v>
                </c:pt>
                <c:pt idx="22">
                  <c:v>44859</c:v>
                </c:pt>
                <c:pt idx="23">
                  <c:v>44949</c:v>
                </c:pt>
                <c:pt idx="24">
                  <c:v>45039</c:v>
                </c:pt>
                <c:pt idx="25">
                  <c:v>45129</c:v>
                </c:pt>
                <c:pt idx="26">
                  <c:v>45219</c:v>
                </c:pt>
                <c:pt idx="27">
                  <c:v>45309</c:v>
                </c:pt>
              </c:numCache>
            </c:numRef>
          </c:cat>
          <c:val>
            <c:numRef>
              <c:f>Statistics!$D$2:$D$29</c:f>
              <c:numCache>
                <c:formatCode>General</c:formatCode>
                <c:ptCount val="28"/>
                <c:pt idx="21" formatCode="#,##0">
                  <c:v>7275</c:v>
                </c:pt>
                <c:pt idx="22" formatCode="#,##0">
                  <c:v>6806.9716234104772</c:v>
                </c:pt>
                <c:pt idx="23" formatCode="#,##0">
                  <c:v>6669.1117550894496</c:v>
                </c:pt>
                <c:pt idx="24" formatCode="#,##0">
                  <c:v>6571.2725313147994</c:v>
                </c:pt>
                <c:pt idx="25" formatCode="#,##0">
                  <c:v>6488.5423468842246</c:v>
                </c:pt>
                <c:pt idx="26" formatCode="#,##0">
                  <c:v>6411.8653283201274</c:v>
                </c:pt>
                <c:pt idx="27" formatCode="#,##0">
                  <c:v>6336.9064916567559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4-458A-9E99-125761D78695}"/>
            </c:ext>
          </c:extLst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Statistics!$A$2:$A$29</c:f>
              <c:numCache>
                <c:formatCode>m/d/yyyy</c:formatCode>
                <c:ptCount val="28"/>
                <c:pt idx="0">
                  <c:v>42879</c:v>
                </c:pt>
                <c:pt idx="1">
                  <c:v>42969</c:v>
                </c:pt>
                <c:pt idx="2">
                  <c:v>43059</c:v>
                </c:pt>
                <c:pt idx="3">
                  <c:v>43149</c:v>
                </c:pt>
                <c:pt idx="4">
                  <c:v>43239</c:v>
                </c:pt>
                <c:pt idx="5">
                  <c:v>43329</c:v>
                </c:pt>
                <c:pt idx="6">
                  <c:v>43419</c:v>
                </c:pt>
                <c:pt idx="7">
                  <c:v>43509</c:v>
                </c:pt>
                <c:pt idx="8">
                  <c:v>43599</c:v>
                </c:pt>
                <c:pt idx="9">
                  <c:v>43689</c:v>
                </c:pt>
                <c:pt idx="10">
                  <c:v>43779</c:v>
                </c:pt>
                <c:pt idx="11">
                  <c:v>43869</c:v>
                </c:pt>
                <c:pt idx="12">
                  <c:v>43959</c:v>
                </c:pt>
                <c:pt idx="13">
                  <c:v>44049</c:v>
                </c:pt>
                <c:pt idx="14">
                  <c:v>44139</c:v>
                </c:pt>
                <c:pt idx="15">
                  <c:v>44229</c:v>
                </c:pt>
                <c:pt idx="16">
                  <c:v>44319</c:v>
                </c:pt>
                <c:pt idx="17">
                  <c:v>44409</c:v>
                </c:pt>
                <c:pt idx="18">
                  <c:v>44499</c:v>
                </c:pt>
                <c:pt idx="19">
                  <c:v>44589</c:v>
                </c:pt>
                <c:pt idx="20">
                  <c:v>44679</c:v>
                </c:pt>
                <c:pt idx="21">
                  <c:v>44769</c:v>
                </c:pt>
                <c:pt idx="22">
                  <c:v>44859</c:v>
                </c:pt>
                <c:pt idx="23">
                  <c:v>44949</c:v>
                </c:pt>
                <c:pt idx="24">
                  <c:v>45039</c:v>
                </c:pt>
                <c:pt idx="25">
                  <c:v>45129</c:v>
                </c:pt>
                <c:pt idx="26">
                  <c:v>45219</c:v>
                </c:pt>
                <c:pt idx="27">
                  <c:v>45309</c:v>
                </c:pt>
              </c:numCache>
            </c:numRef>
          </c:cat>
          <c:val>
            <c:numRef>
              <c:f>Statistics!$E$2:$E$29</c:f>
              <c:numCache>
                <c:formatCode>General</c:formatCode>
                <c:ptCount val="28"/>
                <c:pt idx="21" formatCode="#,##0">
                  <c:v>7275</c:v>
                </c:pt>
                <c:pt idx="22" formatCode="#,##0">
                  <c:v>8087.2752735259573</c:v>
                </c:pt>
                <c:pt idx="23" formatCode="#,##0">
                  <c:v>8569.579675412986</c:v>
                </c:pt>
                <c:pt idx="24" formatCode="#,##0">
                  <c:v>9011.8634327536402</c:v>
                </c:pt>
                <c:pt idx="25" formatCode="#,##0">
                  <c:v>9439.038150750217</c:v>
                </c:pt>
                <c:pt idx="26" formatCode="#,##0">
                  <c:v>9860.1597028803153</c:v>
                </c:pt>
                <c:pt idx="27" formatCode="#,##0">
                  <c:v>10279.56307310969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4-458A-9E99-125761D7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92511"/>
        <c:axId val="748992927"/>
      </c:lineChart>
      <c:catAx>
        <c:axId val="7489925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92927"/>
        <c:crosses val="autoZero"/>
        <c:auto val="1"/>
        <c:lblAlgn val="ctr"/>
        <c:lblOffset val="100"/>
        <c:noMultiLvlLbl val="0"/>
      </c:catAx>
      <c:valAx>
        <c:axId val="7489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Statistics!$D$41:$D$58</c:f>
              <c:numCache>
                <c:formatCode>General</c:formatCode>
                <c:ptCount val="18"/>
                <c:pt idx="0">
                  <c:v>5.1676336405847456E-2</c:v>
                </c:pt>
                <c:pt idx="1">
                  <c:v>6.0527704922444414E-2</c:v>
                </c:pt>
                <c:pt idx="2">
                  <c:v>5.6261888256030179E-2</c:v>
                </c:pt>
                <c:pt idx="3">
                  <c:v>4.6791813997560272E-2</c:v>
                </c:pt>
                <c:pt idx="4">
                  <c:v>4.2587723139067224E-2</c:v>
                </c:pt>
                <c:pt idx="5">
                  <c:v>3.8881362012975318E-2</c:v>
                </c:pt>
                <c:pt idx="6">
                  <c:v>4.094611663178771E-2</c:v>
                </c:pt>
                <c:pt idx="7">
                  <c:v>4.2335042574888959E-2</c:v>
                </c:pt>
                <c:pt idx="8">
                  <c:v>2.2844745429048574E-2</c:v>
                </c:pt>
                <c:pt idx="9">
                  <c:v>-8.5105039778727964E-2</c:v>
                </c:pt>
                <c:pt idx="10">
                  <c:v>-1.7039655685846644E-2</c:v>
                </c:pt>
                <c:pt idx="11">
                  <c:v>-9.9961474031754483E-3</c:v>
                </c:pt>
                <c:pt idx="12">
                  <c:v>2.5922884702821669E-2</c:v>
                </c:pt>
                <c:pt idx="13">
                  <c:v>0.16755355579510334</c:v>
                </c:pt>
                <c:pt idx="14">
                  <c:v>9.7630521339802767E-2</c:v>
                </c:pt>
                <c:pt idx="15">
                  <c:v>0.11757451264217322</c:v>
                </c:pt>
                <c:pt idx="16">
                  <c:v>0.10656520175444251</c:v>
                </c:pt>
                <c:pt idx="17">
                  <c:v>9.4188683951279328E-2</c:v>
                </c:pt>
              </c:numCache>
            </c:numRef>
          </c:xVal>
          <c:yVal>
            <c:numRef>
              <c:f>Statistics!$C$41:$C$58</c:f>
              <c:numCache>
                <c:formatCode>General</c:formatCode>
                <c:ptCount val="18"/>
                <c:pt idx="0">
                  <c:v>8.9890159157139715E-2</c:v>
                </c:pt>
                <c:pt idx="1">
                  <c:v>0.13312486039758764</c:v>
                </c:pt>
                <c:pt idx="2">
                  <c:v>0.14786418400876222</c:v>
                </c:pt>
                <c:pt idx="3">
                  <c:v>0.11925849639546859</c:v>
                </c:pt>
                <c:pt idx="4">
                  <c:v>0.13245577951460308</c:v>
                </c:pt>
                <c:pt idx="5">
                  <c:v>8.2988369800906847E-2</c:v>
                </c:pt>
                <c:pt idx="6">
                  <c:v>0.11450381679389321</c:v>
                </c:pt>
                <c:pt idx="7">
                  <c:v>0.12937062937062938</c:v>
                </c:pt>
                <c:pt idx="8">
                  <c:v>9.9527787867780493E-2</c:v>
                </c:pt>
                <c:pt idx="9">
                  <c:v>6.5526028394612412E-2</c:v>
                </c:pt>
                <c:pt idx="10">
                  <c:v>-0.17174657534246573</c:v>
                </c:pt>
                <c:pt idx="11">
                  <c:v>-0.16881212318722505</c:v>
                </c:pt>
                <c:pt idx="12">
                  <c:v>-6.0621076973901511E-2</c:v>
                </c:pt>
                <c:pt idx="13">
                  <c:v>-2.1352921079603737E-2</c:v>
                </c:pt>
                <c:pt idx="14">
                  <c:v>0.26731445110605745</c:v>
                </c:pt>
                <c:pt idx="15">
                  <c:v>0.28582630856694768</c:v>
                </c:pt>
                <c:pt idx="16">
                  <c:v>0.24125197819588529</c:v>
                </c:pt>
                <c:pt idx="17">
                  <c:v>0.26985512305812542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0B7-963D-6A2B0266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93567"/>
        <c:axId val="502597727"/>
      </c:scatterChart>
      <c:valAx>
        <c:axId val="5025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7727"/>
        <c:crosses val="autoZero"/>
        <c:crossBetween val="midCat"/>
      </c:valAx>
      <c:valAx>
        <c:axId val="5025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0</xdr:row>
      <xdr:rowOff>38100</xdr:rowOff>
    </xdr:from>
    <xdr:to>
      <xdr:col>33</xdr:col>
      <xdr:colOff>0</xdr:colOff>
      <xdr:row>41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1ED2B26-9835-45B0-BE26-3199028ADDC1}"/>
            </a:ext>
          </a:extLst>
        </xdr:cNvPr>
        <xdr:cNvCxnSpPr/>
      </xdr:nvCxnSpPr>
      <xdr:spPr>
        <a:xfrm>
          <a:off x="17545050" y="38100"/>
          <a:ext cx="0" cy="7172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0</xdr:row>
      <xdr:rowOff>171450</xdr:rowOff>
    </xdr:from>
    <xdr:to>
      <xdr:col>24</xdr:col>
      <xdr:colOff>9525</xdr:colOff>
      <xdr:row>46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8C36B72-A5F5-7115-B6B5-919BBEA76939}"/>
            </a:ext>
          </a:extLst>
        </xdr:cNvPr>
        <xdr:cNvCxnSpPr/>
      </xdr:nvCxnSpPr>
      <xdr:spPr>
        <a:xfrm>
          <a:off x="16059150" y="171450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171450</xdr:rowOff>
    </xdr:from>
    <xdr:to>
      <xdr:col>17</xdr:col>
      <xdr:colOff>9525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D0A72-C838-4DA7-77C4-17139EEC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30</xdr:row>
      <xdr:rowOff>114300</xdr:rowOff>
    </xdr:from>
    <xdr:to>
      <xdr:col>16</xdr:col>
      <xdr:colOff>9525</xdr:colOff>
      <xdr:row>44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A6C4E-EF13-9739-C50E-C299E8921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1C62F-BC92-453B-8967-56FE4F32D305}" name="Table1" displayName="Table1" ref="A1:E29" totalsRowShown="0">
  <autoFilter ref="A1:E29" xr:uid="{2441C62F-BC92-453B-8967-56FE4F32D305}"/>
  <tableColumns count="5">
    <tableColumn id="1" xr3:uid="{325B8827-027A-4F61-B9B9-B8312245AA53}" name="Timeline" dataDxfId="3"/>
    <tableColumn id="2" xr3:uid="{22A5D9C4-BE68-4526-A40A-B13678038FDC}" name="Values"/>
    <tableColumn id="3" xr3:uid="{DB0268CD-FA22-4BB0-B2D5-58B53ACDA424}" name="Forecast" dataDxfId="2">
      <calculatedColumnFormula>_xlfn.FORECAST.ETS(A2,$B$2:$B$23,$A$2:$A$23,1,1)</calculatedColumnFormula>
    </tableColumn>
    <tableColumn id="4" xr3:uid="{E8648606-50AC-470A-B24B-88A964B9D2D8}" name="Lower Confidence Bound" dataDxfId="1">
      <calculatedColumnFormula>C2-_xlfn.FORECAST.ETS.CONFINT(A2,$B$2:$B$23,$A$2:$A$23,0.95,1,1)</calculatedColumnFormula>
    </tableColumn>
    <tableColumn id="5" xr3:uid="{7FF183C3-0DB1-4FCC-982D-5AA1F6E04BB6}" name="Upper Confidence Bound" dataDxfId="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1CA6-42CA-4492-844B-EC2879F932FB}">
  <dimension ref="B2:O14"/>
  <sheetViews>
    <sheetView topLeftCell="D1" zoomScaleNormal="100" workbookViewId="0">
      <selection activeCell="N20" sqref="N20"/>
    </sheetView>
  </sheetViews>
  <sheetFormatPr defaultRowHeight="14.25" x14ac:dyDescent="0.2"/>
  <cols>
    <col min="1" max="1" width="9.140625" style="2"/>
    <col min="2" max="2" width="22.85546875" style="2" bestFit="1" customWidth="1"/>
    <col min="3" max="3" width="39.7109375" style="2" bestFit="1" customWidth="1"/>
    <col min="4" max="4" width="12.7109375" style="2" bestFit="1" customWidth="1"/>
    <col min="5" max="5" width="12.7109375" style="2" customWidth="1"/>
    <col min="6" max="14" width="9.140625" style="2"/>
    <col min="15" max="15" width="9.140625" style="5"/>
    <col min="16" max="16384" width="9.140625" style="2"/>
  </cols>
  <sheetData>
    <row r="2" spans="2:15" x14ac:dyDescent="0.2">
      <c r="B2" s="2" t="s">
        <v>48</v>
      </c>
      <c r="C2" s="2" t="s">
        <v>47</v>
      </c>
      <c r="D2" s="2" t="s">
        <v>53</v>
      </c>
      <c r="E2" s="2" t="s">
        <v>80</v>
      </c>
      <c r="F2" s="2" t="s">
        <v>54</v>
      </c>
      <c r="M2" s="1" t="s">
        <v>42</v>
      </c>
    </row>
    <row r="3" spans="2:15" x14ac:dyDescent="0.2">
      <c r="B3" s="2" t="s">
        <v>43</v>
      </c>
      <c r="C3" s="2" t="s">
        <v>49</v>
      </c>
      <c r="D3" s="3">
        <f>11.5/32.5</f>
        <v>0.35384615384615387</v>
      </c>
      <c r="E3" s="3"/>
      <c r="F3" s="2" t="s">
        <v>55</v>
      </c>
      <c r="M3" s="2" t="s">
        <v>37</v>
      </c>
      <c r="N3" s="2">
        <v>183.42</v>
      </c>
    </row>
    <row r="4" spans="2:15" x14ac:dyDescent="0.2">
      <c r="B4" s="2" t="s">
        <v>44</v>
      </c>
      <c r="C4" s="2" t="s">
        <v>50</v>
      </c>
      <c r="D4" s="3">
        <f>12.8/32.5</f>
        <v>0.39384615384615385</v>
      </c>
      <c r="E4" s="3"/>
      <c r="F4" s="2" t="s">
        <v>56</v>
      </c>
      <c r="M4" s="2" t="s">
        <v>33</v>
      </c>
      <c r="N4" s="4">
        <f>1635.01465+245.513385+9.886538</f>
        <v>1890.414573</v>
      </c>
      <c r="O4" s="5" t="s">
        <v>116</v>
      </c>
    </row>
    <row r="5" spans="2:15" x14ac:dyDescent="0.2">
      <c r="B5" s="2" t="s">
        <v>45</v>
      </c>
      <c r="C5" s="2" t="s">
        <v>51</v>
      </c>
      <c r="D5" s="3">
        <f>6.5/32.5</f>
        <v>0.2</v>
      </c>
      <c r="E5" s="3"/>
      <c r="F5" s="2" t="s">
        <v>56</v>
      </c>
      <c r="M5" s="2" t="s">
        <v>38</v>
      </c>
      <c r="N5" s="4">
        <f>+N3*N4</f>
        <v>346739.84097965999</v>
      </c>
    </row>
    <row r="6" spans="2:15" x14ac:dyDescent="0.2">
      <c r="B6" s="2" t="s">
        <v>46</v>
      </c>
      <c r="C6" s="2" t="s">
        <v>52</v>
      </c>
      <c r="D6" s="3">
        <f>1.7/32.5</f>
        <v>5.2307692307692305E-2</v>
      </c>
      <c r="E6" s="3"/>
      <c r="M6" s="2" t="s">
        <v>39</v>
      </c>
      <c r="N6" s="4">
        <f>14047+1483+3309+2240</f>
        <v>21079</v>
      </c>
      <c r="O6" s="5" t="s">
        <v>116</v>
      </c>
    </row>
    <row r="7" spans="2:15" x14ac:dyDescent="0.2">
      <c r="M7" s="2" t="s">
        <v>40</v>
      </c>
      <c r="N7" s="4">
        <f>3249+20546</f>
        <v>23795</v>
      </c>
      <c r="O7" s="5" t="s">
        <v>116</v>
      </c>
    </row>
    <row r="8" spans="2:15" x14ac:dyDescent="0.2">
      <c r="M8" s="2" t="s">
        <v>41</v>
      </c>
      <c r="N8" s="4">
        <f>+N5-N6+N7</f>
        <v>349455.84097965999</v>
      </c>
    </row>
    <row r="9" spans="2:15" x14ac:dyDescent="0.2">
      <c r="D9" s="3"/>
      <c r="E9" s="3"/>
    </row>
    <row r="12" spans="2:15" x14ac:dyDescent="0.2">
      <c r="B12" s="2" t="s">
        <v>80</v>
      </c>
      <c r="D12" s="2" t="s">
        <v>57</v>
      </c>
    </row>
    <row r="13" spans="2:15" x14ac:dyDescent="0.2">
      <c r="B13" s="2" t="s">
        <v>84</v>
      </c>
    </row>
    <row r="14" spans="2:15" x14ac:dyDescent="0.2">
      <c r="B14" s="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0D1-7AA5-4E10-B1E1-4C0D25BEDE77}">
  <dimension ref="A1:DN9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4" sqref="M14"/>
    </sheetView>
  </sheetViews>
  <sheetFormatPr defaultRowHeight="14.25" x14ac:dyDescent="0.2"/>
  <cols>
    <col min="1" max="1" width="4.7109375" style="20" customWidth="1"/>
    <col min="2" max="2" width="34.85546875" style="20" bestFit="1" customWidth="1"/>
    <col min="3" max="4" width="10.140625" style="20" bestFit="1" customWidth="1"/>
    <col min="5" max="5" width="11.28515625" style="20" bestFit="1" customWidth="1"/>
    <col min="6" max="8" width="10.140625" style="20" bestFit="1" customWidth="1"/>
    <col min="9" max="9" width="11.28515625" style="20" bestFit="1" customWidth="1"/>
    <col min="10" max="12" width="10.140625" style="20" bestFit="1" customWidth="1"/>
    <col min="13" max="13" width="11.28515625" style="20" bestFit="1" customWidth="1"/>
    <col min="14" max="16" width="9.140625" style="20"/>
    <col min="17" max="17" width="10.140625" style="20" bestFit="1" customWidth="1"/>
    <col min="18" max="20" width="9.140625" style="20"/>
    <col min="21" max="21" width="11.28515625" style="20" bestFit="1" customWidth="1"/>
    <col min="22" max="24" width="10.140625" style="20" bestFit="1" customWidth="1"/>
    <col min="25" max="25" width="11.28515625" style="20" bestFit="1" customWidth="1"/>
    <col min="26" max="35" width="9.140625" style="20"/>
    <col min="36" max="36" width="11.85546875" style="20" bestFit="1" customWidth="1"/>
    <col min="37" max="16384" width="9.140625" style="20"/>
  </cols>
  <sheetData>
    <row r="1" spans="2:48" x14ac:dyDescent="0.2">
      <c r="C1" s="21">
        <f t="shared" ref="C1:X1" si="0">+D1-90</f>
        <v>42879</v>
      </c>
      <c r="D1" s="21">
        <f t="shared" si="0"/>
        <v>42969</v>
      </c>
      <c r="E1" s="21">
        <f t="shared" si="0"/>
        <v>43059</v>
      </c>
      <c r="F1" s="21">
        <f t="shared" si="0"/>
        <v>43149</v>
      </c>
      <c r="G1" s="21">
        <f t="shared" si="0"/>
        <v>43239</v>
      </c>
      <c r="H1" s="21">
        <f t="shared" si="0"/>
        <v>43329</v>
      </c>
      <c r="I1" s="21">
        <f t="shared" si="0"/>
        <v>43419</v>
      </c>
      <c r="J1" s="21">
        <f t="shared" si="0"/>
        <v>43509</v>
      </c>
      <c r="K1" s="21">
        <f t="shared" si="0"/>
        <v>43599</v>
      </c>
      <c r="L1" s="21">
        <f t="shared" si="0"/>
        <v>43689</v>
      </c>
      <c r="M1" s="21">
        <f t="shared" si="0"/>
        <v>43779</v>
      </c>
      <c r="N1" s="21">
        <f t="shared" si="0"/>
        <v>43869</v>
      </c>
      <c r="O1" s="21">
        <f t="shared" si="0"/>
        <v>43959</v>
      </c>
      <c r="P1" s="21">
        <f t="shared" si="0"/>
        <v>44049</v>
      </c>
      <c r="Q1" s="21">
        <f t="shared" si="0"/>
        <v>44139</v>
      </c>
      <c r="R1" s="21">
        <f t="shared" si="0"/>
        <v>44229</v>
      </c>
      <c r="S1" s="21">
        <f t="shared" si="0"/>
        <v>44319</v>
      </c>
      <c r="T1" s="21">
        <f t="shared" si="0"/>
        <v>44409</v>
      </c>
      <c r="U1" s="21">
        <f t="shared" si="0"/>
        <v>44499</v>
      </c>
      <c r="V1" s="21">
        <f t="shared" si="0"/>
        <v>44589</v>
      </c>
      <c r="W1" s="21">
        <f t="shared" si="0"/>
        <v>44679</v>
      </c>
      <c r="X1" s="21">
        <f>+Y1-90</f>
        <v>44769</v>
      </c>
      <c r="Y1" s="21">
        <v>44859</v>
      </c>
    </row>
    <row r="2" spans="2:48" x14ac:dyDescent="0.2">
      <c r="C2" s="20" t="s">
        <v>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0" t="s">
        <v>17</v>
      </c>
      <c r="T2" s="20" t="s">
        <v>18</v>
      </c>
      <c r="U2" s="20" t="s">
        <v>19</v>
      </c>
      <c r="V2" s="20" t="s">
        <v>16</v>
      </c>
      <c r="W2" s="20" t="s">
        <v>87</v>
      </c>
      <c r="X2" s="22" t="s">
        <v>117</v>
      </c>
      <c r="Y2" s="22" t="s">
        <v>116</v>
      </c>
      <c r="Z2" s="22" t="s">
        <v>118</v>
      </c>
      <c r="AC2" s="20">
        <v>2017</v>
      </c>
      <c r="AD2" s="20">
        <v>2018</v>
      </c>
      <c r="AE2" s="20">
        <v>2019</v>
      </c>
      <c r="AF2" s="20">
        <f>AE2+1</f>
        <v>2020</v>
      </c>
      <c r="AG2" s="20">
        <f t="shared" ref="AG2:AR2" si="1">AF2+1</f>
        <v>2021</v>
      </c>
      <c r="AH2" s="20">
        <f t="shared" si="1"/>
        <v>2022</v>
      </c>
      <c r="AI2" s="20">
        <f t="shared" si="1"/>
        <v>2023</v>
      </c>
      <c r="AJ2" s="20">
        <f t="shared" si="1"/>
        <v>2024</v>
      </c>
      <c r="AK2" s="20">
        <f t="shared" si="1"/>
        <v>2025</v>
      </c>
      <c r="AL2" s="20">
        <f t="shared" si="1"/>
        <v>2026</v>
      </c>
      <c r="AM2" s="20">
        <f t="shared" si="1"/>
        <v>2027</v>
      </c>
      <c r="AN2" s="20">
        <f t="shared" si="1"/>
        <v>2028</v>
      </c>
      <c r="AO2" s="20">
        <f t="shared" si="1"/>
        <v>2029</v>
      </c>
      <c r="AP2" s="20">
        <f t="shared" si="1"/>
        <v>2030</v>
      </c>
      <c r="AQ2" s="20">
        <f t="shared" si="1"/>
        <v>2031</v>
      </c>
      <c r="AR2" s="20">
        <f t="shared" si="1"/>
        <v>2032</v>
      </c>
      <c r="AS2" s="20">
        <f t="shared" ref="AS2" si="2">AR2+1</f>
        <v>2033</v>
      </c>
      <c r="AT2" s="20">
        <f t="shared" ref="AT2" si="3">AS2+1</f>
        <v>2034</v>
      </c>
      <c r="AU2" s="20">
        <f t="shared" ref="AU2" si="4">AT2+1</f>
        <v>2035</v>
      </c>
      <c r="AV2" s="20">
        <f t="shared" ref="AV2" si="5">AU2+1</f>
        <v>2036</v>
      </c>
    </row>
    <row r="3" spans="2:48" s="24" customFormat="1" x14ac:dyDescent="0.2">
      <c r="B3" s="23" t="s">
        <v>48</v>
      </c>
      <c r="V3" s="24">
        <v>3125</v>
      </c>
      <c r="W3" s="24">
        <v>3193</v>
      </c>
      <c r="X3" s="24">
        <v>3189</v>
      </c>
    </row>
    <row r="4" spans="2:48" s="24" customFormat="1" x14ac:dyDescent="0.2">
      <c r="B4" s="23" t="s">
        <v>44</v>
      </c>
      <c r="V4" s="24">
        <v>3436</v>
      </c>
      <c r="W4" s="24">
        <v>3614</v>
      </c>
      <c r="X4" s="24">
        <v>3579</v>
      </c>
    </row>
    <row r="5" spans="2:48" s="24" customFormat="1" x14ac:dyDescent="0.2">
      <c r="B5" s="23" t="s">
        <v>112</v>
      </c>
      <c r="V5" s="24">
        <v>1895</v>
      </c>
      <c r="W5" s="24">
        <v>2174</v>
      </c>
      <c r="X5" s="24">
        <v>2560</v>
      </c>
    </row>
    <row r="6" spans="2:48" s="24" customFormat="1" x14ac:dyDescent="0.2">
      <c r="B6" s="23" t="s">
        <v>113</v>
      </c>
      <c r="V6" s="24">
        <v>490</v>
      </c>
      <c r="W6" s="24">
        <v>449</v>
      </c>
      <c r="X6" s="24">
        <v>517</v>
      </c>
    </row>
    <row r="7" spans="2:48" s="24" customFormat="1" x14ac:dyDescent="0.2">
      <c r="B7" s="23" t="s">
        <v>70</v>
      </c>
      <c r="V7" s="24">
        <v>-2387</v>
      </c>
      <c r="W7" s="24">
        <v>-2371</v>
      </c>
      <c r="X7" s="24">
        <v>-2570</v>
      </c>
    </row>
    <row r="8" spans="2:48" s="24" customFormat="1" x14ac:dyDescent="0.2">
      <c r="B8" s="23"/>
    </row>
    <row r="9" spans="2:48" s="25" customFormat="1" ht="15" x14ac:dyDescent="0.25">
      <c r="B9" s="25" t="s">
        <v>125</v>
      </c>
      <c r="C9" s="26">
        <v>4461</v>
      </c>
      <c r="D9" s="26">
        <v>4477</v>
      </c>
      <c r="E9" s="26">
        <v>4565</v>
      </c>
      <c r="F9" s="26">
        <f>18358-SUM(C9:E9)</f>
        <v>4855</v>
      </c>
      <c r="G9" s="26">
        <v>4862</v>
      </c>
      <c r="H9" s="26">
        <v>5073</v>
      </c>
      <c r="I9" s="26">
        <v>5240</v>
      </c>
      <c r="J9" s="26">
        <f>20609-SUM(G9:I9)</f>
        <v>5434</v>
      </c>
      <c r="K9" s="26">
        <v>5506</v>
      </c>
      <c r="L9" s="26">
        <v>5494</v>
      </c>
      <c r="M9" s="26">
        <v>5840</v>
      </c>
      <c r="N9" s="26">
        <f>22977-SUM(K9:M9)</f>
        <v>6137</v>
      </c>
      <c r="O9" s="26">
        <v>6054</v>
      </c>
      <c r="P9" s="26">
        <v>5854</v>
      </c>
      <c r="Q9" s="26">
        <v>4837</v>
      </c>
      <c r="R9" s="26">
        <f>21846-Q9-P9-O9</f>
        <v>5101</v>
      </c>
      <c r="S9" s="26">
        <v>5687</v>
      </c>
      <c r="T9" s="26">
        <v>5729</v>
      </c>
      <c r="U9" s="26">
        <v>6130</v>
      </c>
      <c r="V9" s="26">
        <f>+SUM(V3:V7)</f>
        <v>6559</v>
      </c>
      <c r="W9" s="26">
        <f>+SUM(W3:W7)</f>
        <v>7059</v>
      </c>
      <c r="X9" s="26">
        <f>+SUM(X3:X7)</f>
        <v>7275</v>
      </c>
      <c r="Y9" s="26"/>
      <c r="Z9" s="26"/>
      <c r="AA9" s="26"/>
      <c r="AC9" s="26">
        <f>+SUM(C9:F9)</f>
        <v>18358</v>
      </c>
      <c r="AD9" s="26">
        <f>+SUM(G9:J9)</f>
        <v>20609</v>
      </c>
      <c r="AE9" s="26">
        <f>+SUM(K9:N9)</f>
        <v>22977</v>
      </c>
      <c r="AF9" s="26">
        <f>+SUM(O9:R9)</f>
        <v>21846</v>
      </c>
      <c r="AG9" s="26">
        <f>+SUM(S9:V9)</f>
        <v>24105</v>
      </c>
      <c r="AH9" s="26">
        <f>+AG9*1.12</f>
        <v>26997.600000000002</v>
      </c>
      <c r="AI9" s="26">
        <f>+AH9*1.08</f>
        <v>29157.408000000003</v>
      </c>
      <c r="AJ9" s="26">
        <f>+AI9*1.08</f>
        <v>31490.000640000006</v>
      </c>
      <c r="AK9" s="26">
        <f>+AJ9*1.08</f>
        <v>34009.200691200007</v>
      </c>
      <c r="AL9" s="26">
        <f>+AK9*1.08</f>
        <v>36729.936746496009</v>
      </c>
      <c r="AM9" s="26">
        <f>+AL9*1.08</f>
        <v>39668.331686215693</v>
      </c>
      <c r="AN9" s="26"/>
      <c r="AO9" s="26"/>
      <c r="AP9" s="26"/>
      <c r="AQ9" s="26"/>
      <c r="AR9" s="26"/>
    </row>
    <row r="10" spans="2:48" x14ac:dyDescent="0.2">
      <c r="B10" s="20" t="s">
        <v>20</v>
      </c>
      <c r="C10" s="24">
        <v>571</v>
      </c>
      <c r="D10" s="24">
        <v>704</v>
      </c>
      <c r="E10" s="24">
        <v>698</v>
      </c>
      <c r="F10" s="24">
        <f>2628-SUM(C10:E10)</f>
        <v>655</v>
      </c>
      <c r="G10" s="24">
        <v>679</v>
      </c>
      <c r="H10" s="24">
        <v>824</v>
      </c>
      <c r="I10" s="24">
        <v>852</v>
      </c>
      <c r="J10" s="24">
        <f>3170-SUM(G10:I10)</f>
        <v>815</v>
      </c>
      <c r="K10" s="24">
        <v>807</v>
      </c>
      <c r="L10" s="24">
        <v>894</v>
      </c>
      <c r="M10" s="24">
        <v>872</v>
      </c>
      <c r="N10" s="24">
        <f>3444-SUM(K10:M10)</f>
        <v>871</v>
      </c>
      <c r="O10" s="24">
        <v>982</v>
      </c>
      <c r="P10" s="24">
        <v>940</v>
      </c>
      <c r="Q10" s="24">
        <v>941</v>
      </c>
      <c r="R10" s="24">
        <f>3785-SUM(O10:Q10)</f>
        <v>922</v>
      </c>
      <c r="S10" s="24">
        <v>981</v>
      </c>
      <c r="T10" s="24">
        <v>1114</v>
      </c>
      <c r="U10" s="24">
        <v>1098</v>
      </c>
      <c r="V10" s="24">
        <f>4240-U10-T10-S10</f>
        <v>1047</v>
      </c>
      <c r="W10" s="24">
        <v>1125</v>
      </c>
      <c r="X10" s="24">
        <v>1283</v>
      </c>
      <c r="Y10" s="24"/>
      <c r="Z10" s="24"/>
      <c r="AA10" s="24"/>
      <c r="AC10" s="24">
        <f t="shared" ref="AC10:AC22" si="6">+SUM(C10:F10)</f>
        <v>2628</v>
      </c>
      <c r="AD10" s="24">
        <f t="shared" ref="AD10:AD22" si="7">+SUM(G10:J10)</f>
        <v>3170</v>
      </c>
      <c r="AE10" s="24">
        <f t="shared" ref="AE10:AE22" si="8">+SUM(K10:N10)</f>
        <v>3444</v>
      </c>
      <c r="AF10" s="24">
        <f t="shared" ref="AF10:AF22" si="9">+SUM(O10:R10)</f>
        <v>3785</v>
      </c>
      <c r="AG10" s="24">
        <f t="shared" ref="AG10:AG22" si="10">+SUM(S10:V10)</f>
        <v>4240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2:48" x14ac:dyDescent="0.2">
      <c r="B11" s="20" t="s">
        <v>21</v>
      </c>
      <c r="C11" s="24">
        <v>218</v>
      </c>
      <c r="D11" s="24">
        <v>193</v>
      </c>
      <c r="E11" s="24">
        <v>221</v>
      </c>
      <c r="F11" s="24">
        <f>922-SUM(C11:E11)</f>
        <v>290</v>
      </c>
      <c r="G11" s="24">
        <v>223</v>
      </c>
      <c r="H11" s="24">
        <v>261</v>
      </c>
      <c r="I11" s="24">
        <v>240</v>
      </c>
      <c r="J11" s="24">
        <f>988-SUM(G11:I11)</f>
        <v>264</v>
      </c>
      <c r="K11" s="24">
        <v>276</v>
      </c>
      <c r="L11" s="24">
        <v>241</v>
      </c>
      <c r="M11" s="24">
        <v>282</v>
      </c>
      <c r="N11" s="24">
        <f>1105-SUM(K11:M11)</f>
        <v>306</v>
      </c>
      <c r="O11" s="24">
        <v>274</v>
      </c>
      <c r="P11" s="24">
        <v>235</v>
      </c>
      <c r="Q11" s="24">
        <v>174</v>
      </c>
      <c r="R11" s="24">
        <f>971-SUM(O11:Q11)</f>
        <v>288</v>
      </c>
      <c r="S11" s="24">
        <v>205</v>
      </c>
      <c r="T11" s="24">
        <v>206</v>
      </c>
      <c r="U11" s="24">
        <v>268</v>
      </c>
      <c r="V11" s="24">
        <f>1136-U11-T11-S11</f>
        <v>457</v>
      </c>
      <c r="W11" s="24">
        <v>208</v>
      </c>
      <c r="X11" s="24">
        <v>313</v>
      </c>
      <c r="Y11" s="24"/>
      <c r="Z11" s="24"/>
      <c r="AA11" s="24"/>
      <c r="AC11" s="24">
        <f t="shared" si="6"/>
        <v>922</v>
      </c>
      <c r="AD11" s="24">
        <f t="shared" si="7"/>
        <v>988</v>
      </c>
      <c r="AE11" s="24">
        <f t="shared" si="8"/>
        <v>1105</v>
      </c>
      <c r="AF11" s="24">
        <f t="shared" si="9"/>
        <v>971</v>
      </c>
      <c r="AG11" s="24">
        <f t="shared" si="10"/>
        <v>1136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2:48" x14ac:dyDescent="0.2">
      <c r="B12" s="20" t="s">
        <v>22</v>
      </c>
      <c r="C12" s="24">
        <v>145</v>
      </c>
      <c r="D12" s="24">
        <v>150</v>
      </c>
      <c r="E12" s="24">
        <v>158</v>
      </c>
      <c r="F12" s="24">
        <f>620-SUM(C12:E12)</f>
        <v>167</v>
      </c>
      <c r="G12" s="24">
        <v>160</v>
      </c>
      <c r="H12" s="24">
        <v>169</v>
      </c>
      <c r="I12" s="24">
        <v>169</v>
      </c>
      <c r="J12" s="24">
        <f>686-SUM(G12:I12)</f>
        <v>188</v>
      </c>
      <c r="K12" s="24">
        <v>173</v>
      </c>
      <c r="L12" s="24">
        <v>171</v>
      </c>
      <c r="M12" s="24">
        <v>184</v>
      </c>
      <c r="N12" s="24">
        <f>721-SUM(K12:M12)</f>
        <v>193</v>
      </c>
      <c r="O12" s="24">
        <v>181</v>
      </c>
      <c r="P12" s="24">
        <v>183</v>
      </c>
      <c r="Q12" s="24">
        <v>172</v>
      </c>
      <c r="R12" s="24">
        <f>727-SUM(O12:Q12)</f>
        <v>191</v>
      </c>
      <c r="S12" s="24">
        <v>173</v>
      </c>
      <c r="T12" s="24">
        <v>179</v>
      </c>
      <c r="U12" s="24">
        <v>186</v>
      </c>
      <c r="V12" s="24">
        <f>730-U12-T12-S12</f>
        <v>192</v>
      </c>
      <c r="W12" s="24">
        <v>190</v>
      </c>
      <c r="X12" s="24">
        <v>178</v>
      </c>
      <c r="Y12" s="24"/>
      <c r="Z12" s="24"/>
      <c r="AA12" s="24"/>
      <c r="AC12" s="24">
        <f t="shared" si="6"/>
        <v>620</v>
      </c>
      <c r="AD12" s="24">
        <f t="shared" si="7"/>
        <v>686</v>
      </c>
      <c r="AE12" s="24">
        <f t="shared" si="8"/>
        <v>721</v>
      </c>
      <c r="AF12" s="24">
        <f t="shared" si="9"/>
        <v>727</v>
      </c>
      <c r="AG12" s="24">
        <f t="shared" si="10"/>
        <v>730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2:48" x14ac:dyDescent="0.2">
      <c r="B13" s="20" t="s">
        <v>23</v>
      </c>
      <c r="C13" s="24">
        <v>80</v>
      </c>
      <c r="D13" s="24">
        <v>83</v>
      </c>
      <c r="E13" s="24">
        <v>102</v>
      </c>
      <c r="F13" s="24">
        <f>409-SUM(C13:E13)</f>
        <v>144</v>
      </c>
      <c r="G13" s="24">
        <v>92</v>
      </c>
      <c r="H13" s="24">
        <v>108</v>
      </c>
      <c r="I13" s="24">
        <v>112</v>
      </c>
      <c r="J13" s="24">
        <f>446-SUM(G13:I13)</f>
        <v>134</v>
      </c>
      <c r="K13" s="24">
        <v>91</v>
      </c>
      <c r="L13" s="24">
        <v>101</v>
      </c>
      <c r="M13" s="24">
        <v>113</v>
      </c>
      <c r="N13" s="24">
        <f>454-SUM(K13:M13)</f>
        <v>149</v>
      </c>
      <c r="O13" s="24">
        <v>106</v>
      </c>
      <c r="P13" s="24">
        <v>103</v>
      </c>
      <c r="Q13" s="24">
        <v>95</v>
      </c>
      <c r="R13" s="24">
        <f>408-SUM(O13:Q13)</f>
        <v>104</v>
      </c>
      <c r="S13" s="24">
        <v>83</v>
      </c>
      <c r="T13" s="24">
        <v>82</v>
      </c>
      <c r="U13" s="24">
        <v>108</v>
      </c>
      <c r="V13" s="24">
        <f>403-U13-T13-S13</f>
        <v>130</v>
      </c>
      <c r="W13" s="24">
        <v>100</v>
      </c>
      <c r="X13" s="24">
        <v>117</v>
      </c>
      <c r="Y13" s="24"/>
      <c r="Z13" s="24"/>
      <c r="AA13" s="24"/>
      <c r="AC13" s="24">
        <f t="shared" si="6"/>
        <v>409</v>
      </c>
      <c r="AD13" s="24">
        <f t="shared" si="7"/>
        <v>446</v>
      </c>
      <c r="AE13" s="24">
        <f t="shared" si="8"/>
        <v>454</v>
      </c>
      <c r="AF13" s="24">
        <f t="shared" si="9"/>
        <v>408</v>
      </c>
      <c r="AG13" s="24">
        <f t="shared" si="10"/>
        <v>403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2:48" x14ac:dyDescent="0.2">
      <c r="B14" s="20" t="s">
        <v>24</v>
      </c>
      <c r="C14" s="24">
        <v>186</v>
      </c>
      <c r="D14" s="24">
        <v>406</v>
      </c>
      <c r="E14" s="24">
        <v>230</v>
      </c>
      <c r="F14" s="24">
        <f>1060-SUM(C14:E14)</f>
        <v>238</v>
      </c>
      <c r="G14" s="24">
        <v>236</v>
      </c>
      <c r="H14" s="24">
        <v>222</v>
      </c>
      <c r="I14" s="24">
        <v>230</v>
      </c>
      <c r="J14" s="24">
        <f>1145-SUM(G14:I14)</f>
        <v>457</v>
      </c>
      <c r="K14" s="24">
        <v>276</v>
      </c>
      <c r="L14" s="24">
        <v>264</v>
      </c>
      <c r="M14" s="24">
        <v>315</v>
      </c>
      <c r="N14" s="24">
        <f>1196-SUM(K14:M14)</f>
        <v>341</v>
      </c>
      <c r="O14" s="24">
        <v>313</v>
      </c>
      <c r="P14" s="24">
        <v>269</v>
      </c>
      <c r="Q14" s="24">
        <v>258</v>
      </c>
      <c r="R14" s="24">
        <f>1096-SUM(O14:Q14)</f>
        <v>256</v>
      </c>
      <c r="S14" s="24">
        <v>203</v>
      </c>
      <c r="T14" s="24">
        <v>363</v>
      </c>
      <c r="U14" s="24">
        <v>204</v>
      </c>
      <c r="V14" s="24">
        <f>985-U14-T14-S14</f>
        <v>215</v>
      </c>
      <c r="W14" s="24">
        <v>242</v>
      </c>
      <c r="X14" s="24">
        <v>289</v>
      </c>
      <c r="Y14" s="24"/>
      <c r="Z14" s="24"/>
      <c r="AA14" s="24"/>
      <c r="AC14" s="24">
        <f t="shared" si="6"/>
        <v>1060</v>
      </c>
      <c r="AD14" s="24">
        <f t="shared" si="7"/>
        <v>1145</v>
      </c>
      <c r="AE14" s="24">
        <f t="shared" si="8"/>
        <v>1196</v>
      </c>
      <c r="AF14" s="24">
        <f t="shared" si="9"/>
        <v>1096</v>
      </c>
      <c r="AG14" s="24">
        <f t="shared" si="10"/>
        <v>985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2:48" x14ac:dyDescent="0.2">
      <c r="B15" s="20" t="s">
        <v>29</v>
      </c>
      <c r="C15" s="24">
        <f>+SUM(C10:C14)</f>
        <v>1200</v>
      </c>
      <c r="D15" s="24">
        <f t="shared" ref="D15:W15" si="11">+SUM(D10:D14)</f>
        <v>1536</v>
      </c>
      <c r="E15" s="24">
        <f t="shared" si="11"/>
        <v>1409</v>
      </c>
      <c r="F15" s="24">
        <f t="shared" si="11"/>
        <v>1494</v>
      </c>
      <c r="G15" s="24">
        <f t="shared" si="11"/>
        <v>1390</v>
      </c>
      <c r="H15" s="24">
        <f t="shared" si="11"/>
        <v>1584</v>
      </c>
      <c r="I15" s="24">
        <f t="shared" si="11"/>
        <v>1603</v>
      </c>
      <c r="J15" s="24">
        <f t="shared" si="11"/>
        <v>1858</v>
      </c>
      <c r="K15" s="24">
        <f t="shared" si="11"/>
        <v>1623</v>
      </c>
      <c r="L15" s="24">
        <f t="shared" si="11"/>
        <v>1671</v>
      </c>
      <c r="M15" s="24">
        <f t="shared" si="11"/>
        <v>1766</v>
      </c>
      <c r="N15" s="24">
        <f t="shared" si="11"/>
        <v>1860</v>
      </c>
      <c r="O15" s="24">
        <f t="shared" si="11"/>
        <v>1856</v>
      </c>
      <c r="P15" s="24">
        <f t="shared" si="11"/>
        <v>1730</v>
      </c>
      <c r="Q15" s="24">
        <f t="shared" si="11"/>
        <v>1640</v>
      </c>
      <c r="R15" s="24">
        <f t="shared" si="11"/>
        <v>1761</v>
      </c>
      <c r="S15" s="24">
        <f t="shared" si="11"/>
        <v>1645</v>
      </c>
      <c r="T15" s="24">
        <f t="shared" si="11"/>
        <v>1944</v>
      </c>
      <c r="U15" s="24">
        <f t="shared" si="11"/>
        <v>1864</v>
      </c>
      <c r="V15" s="24">
        <f t="shared" si="11"/>
        <v>2041</v>
      </c>
      <c r="W15" s="24">
        <f t="shared" si="11"/>
        <v>1865</v>
      </c>
      <c r="X15" s="24">
        <f>+SUM(X10:X14)</f>
        <v>2180</v>
      </c>
      <c r="Y15" s="24"/>
      <c r="Z15" s="24"/>
      <c r="AA15" s="24"/>
      <c r="AC15" s="24">
        <f t="shared" si="6"/>
        <v>5639</v>
      </c>
      <c r="AD15" s="24">
        <f t="shared" si="7"/>
        <v>6435</v>
      </c>
      <c r="AE15" s="24">
        <f t="shared" si="8"/>
        <v>6920</v>
      </c>
      <c r="AF15" s="24">
        <f t="shared" si="9"/>
        <v>6987</v>
      </c>
      <c r="AG15" s="24">
        <f t="shared" si="10"/>
        <v>7494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2:48" s="22" customFormat="1" x14ac:dyDescent="0.2">
      <c r="B16" s="22" t="s">
        <v>25</v>
      </c>
      <c r="C16" s="27">
        <f t="shared" ref="C16:X16" si="12">+C9-C15</f>
        <v>3261</v>
      </c>
      <c r="D16" s="27">
        <f t="shared" si="12"/>
        <v>2941</v>
      </c>
      <c r="E16" s="27">
        <f t="shared" si="12"/>
        <v>3156</v>
      </c>
      <c r="F16" s="27">
        <f t="shared" si="12"/>
        <v>3361</v>
      </c>
      <c r="G16" s="27">
        <f t="shared" si="12"/>
        <v>3472</v>
      </c>
      <c r="H16" s="27">
        <f t="shared" si="12"/>
        <v>3489</v>
      </c>
      <c r="I16" s="27">
        <f t="shared" si="12"/>
        <v>3637</v>
      </c>
      <c r="J16" s="27">
        <f t="shared" si="12"/>
        <v>3576</v>
      </c>
      <c r="K16" s="27">
        <f t="shared" si="12"/>
        <v>3883</v>
      </c>
      <c r="L16" s="27">
        <f t="shared" si="12"/>
        <v>3823</v>
      </c>
      <c r="M16" s="27">
        <f t="shared" si="12"/>
        <v>4074</v>
      </c>
      <c r="N16" s="27">
        <f t="shared" si="12"/>
        <v>4277</v>
      </c>
      <c r="O16" s="27">
        <f t="shared" si="12"/>
        <v>4198</v>
      </c>
      <c r="P16" s="27">
        <f t="shared" si="12"/>
        <v>4124</v>
      </c>
      <c r="Q16" s="27">
        <f t="shared" si="12"/>
        <v>3197</v>
      </c>
      <c r="R16" s="27">
        <f t="shared" si="12"/>
        <v>3340</v>
      </c>
      <c r="S16" s="27">
        <f t="shared" si="12"/>
        <v>4042</v>
      </c>
      <c r="T16" s="27">
        <f t="shared" si="12"/>
        <v>3785</v>
      </c>
      <c r="U16" s="27">
        <f t="shared" si="12"/>
        <v>4266</v>
      </c>
      <c r="V16" s="27">
        <f t="shared" si="12"/>
        <v>4518</v>
      </c>
      <c r="W16" s="27">
        <f t="shared" si="12"/>
        <v>5194</v>
      </c>
      <c r="X16" s="27">
        <f t="shared" si="12"/>
        <v>5095</v>
      </c>
      <c r="AA16" s="27"/>
      <c r="AC16" s="27">
        <f t="shared" si="6"/>
        <v>12719</v>
      </c>
      <c r="AD16" s="27">
        <f t="shared" si="7"/>
        <v>14174</v>
      </c>
      <c r="AE16" s="27">
        <f t="shared" si="8"/>
        <v>16057</v>
      </c>
      <c r="AF16" s="27">
        <f t="shared" si="9"/>
        <v>14859</v>
      </c>
      <c r="AG16" s="27">
        <f t="shared" si="10"/>
        <v>16611</v>
      </c>
      <c r="AH16" s="27">
        <f t="shared" ref="AH16:AM16" si="13">+AH9*0.69</f>
        <v>18628.344000000001</v>
      </c>
      <c r="AI16" s="27">
        <f t="shared" si="13"/>
        <v>20118.611520000002</v>
      </c>
      <c r="AJ16" s="27">
        <f t="shared" si="13"/>
        <v>21728.100441600003</v>
      </c>
      <c r="AK16" s="27">
        <f t="shared" si="13"/>
        <v>23466.348476928004</v>
      </c>
      <c r="AL16" s="27">
        <f t="shared" si="13"/>
        <v>25343.656355082243</v>
      </c>
      <c r="AM16" s="27">
        <f t="shared" si="13"/>
        <v>27371.148863488826</v>
      </c>
      <c r="AN16" s="27"/>
      <c r="AO16" s="27"/>
      <c r="AP16" s="27"/>
      <c r="AQ16" s="27"/>
      <c r="AR16" s="27"/>
    </row>
    <row r="17" spans="1:118" x14ac:dyDescent="0.2">
      <c r="B17" s="20" t="s">
        <v>26</v>
      </c>
      <c r="C17" s="24">
        <v>-140</v>
      </c>
      <c r="D17" s="24">
        <v>-135</v>
      </c>
      <c r="E17" s="24">
        <v>-140</v>
      </c>
      <c r="F17" s="24">
        <f>+-563-SUM(C17:E17)</f>
        <v>-148</v>
      </c>
      <c r="G17" s="24">
        <v>-154</v>
      </c>
      <c r="H17" s="24">
        <v>-153</v>
      </c>
      <c r="I17" s="24">
        <v>-155</v>
      </c>
      <c r="J17" s="24">
        <f>+-145-SUM(G17:I17)</f>
        <v>317</v>
      </c>
      <c r="K17" s="24">
        <v>-145</v>
      </c>
      <c r="L17" s="24">
        <v>-140</v>
      </c>
      <c r="M17" s="24">
        <v>-128</v>
      </c>
      <c r="N17" s="24">
        <f>+-533-SUM(K17:M17)</f>
        <v>-120</v>
      </c>
      <c r="O17" s="24">
        <v>-111</v>
      </c>
      <c r="P17" s="24">
        <v>-118</v>
      </c>
      <c r="Q17" s="24">
        <v>-142</v>
      </c>
      <c r="R17" s="24">
        <f>+-516-SUM(O17:Q17)</f>
        <v>-145</v>
      </c>
      <c r="S17" s="24">
        <v>-136</v>
      </c>
      <c r="T17" s="24">
        <v>-121</v>
      </c>
      <c r="U17" s="24">
        <v>-131</v>
      </c>
      <c r="V17" s="24">
        <f>+-513-U17-T17-S17</f>
        <v>-125</v>
      </c>
      <c r="W17" s="24">
        <v>-134</v>
      </c>
      <c r="X17" s="24">
        <v>-111</v>
      </c>
      <c r="AA17" s="24"/>
      <c r="AC17" s="24">
        <f t="shared" si="6"/>
        <v>-563</v>
      </c>
      <c r="AD17" s="24">
        <f t="shared" si="7"/>
        <v>-145</v>
      </c>
      <c r="AE17" s="24">
        <f t="shared" si="8"/>
        <v>-533</v>
      </c>
      <c r="AF17" s="24">
        <f t="shared" si="9"/>
        <v>-516</v>
      </c>
      <c r="AG17" s="24">
        <f t="shared" si="10"/>
        <v>-513</v>
      </c>
      <c r="AH17" s="24">
        <f>+AG39*$AA$31</f>
        <v>-54.32</v>
      </c>
      <c r="AI17" s="24">
        <f t="shared" ref="AI17:AM17" si="14">+AH39*$AA$31</f>
        <v>208.04</v>
      </c>
      <c r="AJ17" s="24">
        <f t="shared" si="14"/>
        <v>534.94282240000007</v>
      </c>
      <c r="AK17" s="24">
        <f t="shared" si="14"/>
        <v>892.69188915200004</v>
      </c>
      <c r="AL17" s="24">
        <f t="shared" si="14"/>
        <v>1284.5214505984002</v>
      </c>
      <c r="AM17" s="24">
        <f t="shared" si="14"/>
        <v>1713.2405610414082</v>
      </c>
      <c r="AN17" s="24"/>
      <c r="AO17" s="24"/>
      <c r="AP17" s="24"/>
      <c r="AQ17" s="24"/>
      <c r="AR17" s="24"/>
    </row>
    <row r="18" spans="1:118" x14ac:dyDescent="0.2">
      <c r="B18" s="20" t="s">
        <v>27</v>
      </c>
      <c r="C18" s="24">
        <v>19</v>
      </c>
      <c r="D18" s="24">
        <v>29</v>
      </c>
      <c r="E18" s="24">
        <v>30</v>
      </c>
      <c r="F18" s="24">
        <f>113-SUM(C18:E18)</f>
        <v>35</v>
      </c>
      <c r="G18" s="24">
        <v>66</v>
      </c>
      <c r="H18" s="24">
        <v>34</v>
      </c>
      <c r="I18" s="24">
        <v>82</v>
      </c>
      <c r="J18" s="24">
        <f>58-SUM(G18:I18)</f>
        <v>-124</v>
      </c>
      <c r="K18" s="24">
        <v>58</v>
      </c>
      <c r="L18" s="24">
        <v>176</v>
      </c>
      <c r="M18" s="24">
        <v>86</v>
      </c>
      <c r="N18" s="24">
        <f>416-SUM(K18:M18)</f>
        <v>96</v>
      </c>
      <c r="O18" s="24">
        <v>69</v>
      </c>
      <c r="P18" s="24">
        <v>23</v>
      </c>
      <c r="Q18" s="24">
        <v>75</v>
      </c>
      <c r="R18" s="24">
        <f>225-SUM(O18:Q18)</f>
        <v>58</v>
      </c>
      <c r="S18" s="24">
        <v>40</v>
      </c>
      <c r="T18" s="24">
        <v>168</v>
      </c>
      <c r="U18" s="24">
        <v>456</v>
      </c>
      <c r="V18" s="24">
        <f>772-U18-T18-S18</f>
        <v>108</v>
      </c>
      <c r="W18" s="24">
        <v>255</v>
      </c>
      <c r="X18" s="24">
        <v>-208</v>
      </c>
      <c r="AA18" s="24"/>
      <c r="AC18" s="24">
        <f t="shared" si="6"/>
        <v>113</v>
      </c>
      <c r="AD18" s="24">
        <f t="shared" si="7"/>
        <v>58</v>
      </c>
      <c r="AE18" s="24">
        <f t="shared" si="8"/>
        <v>416</v>
      </c>
      <c r="AF18" s="24">
        <f t="shared" si="9"/>
        <v>225</v>
      </c>
      <c r="AG18" s="24">
        <f t="shared" si="10"/>
        <v>772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118" x14ac:dyDescent="0.2">
      <c r="B19" s="20" t="s">
        <v>28</v>
      </c>
      <c r="C19" s="24">
        <f>+C17+C18</f>
        <v>-121</v>
      </c>
      <c r="D19" s="24">
        <f t="shared" ref="D19:U19" si="15">+D17+D18</f>
        <v>-106</v>
      </c>
      <c r="E19" s="24">
        <f t="shared" si="15"/>
        <v>-110</v>
      </c>
      <c r="F19" s="24">
        <f t="shared" si="15"/>
        <v>-113</v>
      </c>
      <c r="G19" s="24">
        <f t="shared" si="15"/>
        <v>-88</v>
      </c>
      <c r="H19" s="24">
        <f t="shared" si="15"/>
        <v>-119</v>
      </c>
      <c r="I19" s="24">
        <f t="shared" si="15"/>
        <v>-73</v>
      </c>
      <c r="J19" s="24">
        <f t="shared" si="15"/>
        <v>193</v>
      </c>
      <c r="K19" s="24">
        <f t="shared" si="15"/>
        <v>-87</v>
      </c>
      <c r="L19" s="24">
        <f t="shared" si="15"/>
        <v>36</v>
      </c>
      <c r="M19" s="24">
        <f t="shared" si="15"/>
        <v>-42</v>
      </c>
      <c r="N19" s="24">
        <f t="shared" si="15"/>
        <v>-24</v>
      </c>
      <c r="O19" s="24">
        <f t="shared" si="15"/>
        <v>-42</v>
      </c>
      <c r="P19" s="24">
        <f t="shared" si="15"/>
        <v>-95</v>
      </c>
      <c r="Q19" s="24">
        <f t="shared" si="15"/>
        <v>-67</v>
      </c>
      <c r="R19" s="24">
        <f t="shared" si="15"/>
        <v>-87</v>
      </c>
      <c r="S19" s="24">
        <f t="shared" si="15"/>
        <v>-96</v>
      </c>
      <c r="T19" s="24">
        <f t="shared" si="15"/>
        <v>47</v>
      </c>
      <c r="U19" s="24">
        <f t="shared" si="15"/>
        <v>325</v>
      </c>
      <c r="V19" s="24">
        <f>+V17+V18</f>
        <v>-17</v>
      </c>
      <c r="W19" s="24">
        <f>+W17+W18</f>
        <v>121</v>
      </c>
      <c r="X19" s="24">
        <f>+X17+X18</f>
        <v>-319</v>
      </c>
      <c r="AA19" s="24"/>
      <c r="AC19" s="24">
        <f t="shared" si="6"/>
        <v>-450</v>
      </c>
      <c r="AD19" s="24">
        <f t="shared" si="7"/>
        <v>-87</v>
      </c>
      <c r="AE19" s="24">
        <f t="shared" si="8"/>
        <v>-117</v>
      </c>
      <c r="AF19" s="24">
        <f t="shared" si="9"/>
        <v>-291</v>
      </c>
      <c r="AG19" s="24">
        <f t="shared" si="10"/>
        <v>259</v>
      </c>
      <c r="AH19" s="24">
        <f>+AH17+AH18</f>
        <v>-54.32</v>
      </c>
      <c r="AI19" s="24">
        <f t="shared" ref="AI19:AL19" si="16">+AI17+AI18</f>
        <v>208.04</v>
      </c>
      <c r="AJ19" s="24">
        <f t="shared" si="16"/>
        <v>534.94282240000007</v>
      </c>
      <c r="AK19" s="24">
        <f t="shared" si="16"/>
        <v>892.69188915200004</v>
      </c>
      <c r="AL19" s="24">
        <f t="shared" si="16"/>
        <v>1284.5214505984002</v>
      </c>
      <c r="AM19" s="24">
        <f>+AM17+AM18</f>
        <v>1713.2405610414082</v>
      </c>
      <c r="AN19" s="24"/>
      <c r="AO19" s="24"/>
      <c r="AP19" s="24"/>
      <c r="AQ19" s="24"/>
      <c r="AR19" s="24"/>
    </row>
    <row r="20" spans="1:118" x14ac:dyDescent="0.2">
      <c r="B20" s="20" t="s">
        <v>30</v>
      </c>
      <c r="C20" s="24">
        <f t="shared" ref="C20:U20" si="17">+C16+C19</f>
        <v>3140</v>
      </c>
      <c r="D20" s="24">
        <f t="shared" si="17"/>
        <v>2835</v>
      </c>
      <c r="E20" s="24">
        <f t="shared" si="17"/>
        <v>3046</v>
      </c>
      <c r="F20" s="24">
        <f t="shared" si="17"/>
        <v>3248</v>
      </c>
      <c r="G20" s="24">
        <f t="shared" si="17"/>
        <v>3384</v>
      </c>
      <c r="H20" s="24">
        <f t="shared" si="17"/>
        <v>3370</v>
      </c>
      <c r="I20" s="24">
        <f t="shared" si="17"/>
        <v>3564</v>
      </c>
      <c r="J20" s="24">
        <f t="shared" si="17"/>
        <v>3769</v>
      </c>
      <c r="K20" s="24">
        <f t="shared" si="17"/>
        <v>3796</v>
      </c>
      <c r="L20" s="24">
        <f t="shared" si="17"/>
        <v>3859</v>
      </c>
      <c r="M20" s="24">
        <f t="shared" si="17"/>
        <v>4032</v>
      </c>
      <c r="N20" s="24">
        <f t="shared" si="17"/>
        <v>4253</v>
      </c>
      <c r="O20" s="24">
        <f t="shared" si="17"/>
        <v>4156</v>
      </c>
      <c r="P20" s="24">
        <f t="shared" si="17"/>
        <v>4029</v>
      </c>
      <c r="Q20" s="24">
        <f t="shared" si="17"/>
        <v>3130</v>
      </c>
      <c r="R20" s="24">
        <f t="shared" si="17"/>
        <v>3253</v>
      </c>
      <c r="S20" s="24">
        <f t="shared" si="17"/>
        <v>3946</v>
      </c>
      <c r="T20" s="24">
        <f t="shared" si="17"/>
        <v>3832</v>
      </c>
      <c r="U20" s="24">
        <f t="shared" si="17"/>
        <v>4591</v>
      </c>
      <c r="V20" s="24">
        <f>+V16+V19</f>
        <v>4501</v>
      </c>
      <c r="W20" s="24">
        <f>+W16+W19</f>
        <v>5315</v>
      </c>
      <c r="X20" s="24">
        <f>+X16+X19</f>
        <v>4776</v>
      </c>
      <c r="AA20" s="24"/>
      <c r="AC20" s="24">
        <f t="shared" si="6"/>
        <v>12269</v>
      </c>
      <c r="AD20" s="24">
        <f t="shared" si="7"/>
        <v>14087</v>
      </c>
      <c r="AE20" s="24">
        <f t="shared" si="8"/>
        <v>15940</v>
      </c>
      <c r="AF20" s="24">
        <f t="shared" si="9"/>
        <v>14568</v>
      </c>
      <c r="AG20" s="24">
        <f t="shared" si="10"/>
        <v>16870</v>
      </c>
      <c r="AH20" s="24">
        <f t="shared" ref="AH20:AM20" si="18">+AH16+AH19</f>
        <v>18574.024000000001</v>
      </c>
      <c r="AI20" s="24">
        <f t="shared" si="18"/>
        <v>20326.651520000003</v>
      </c>
      <c r="AJ20" s="24">
        <f t="shared" si="18"/>
        <v>22263.043264000004</v>
      </c>
      <c r="AK20" s="24">
        <f t="shared" si="18"/>
        <v>24359.040366080004</v>
      </c>
      <c r="AL20" s="24">
        <f t="shared" si="18"/>
        <v>26628.177805680643</v>
      </c>
      <c r="AM20" s="24">
        <f t="shared" si="18"/>
        <v>29084.389424530236</v>
      </c>
      <c r="AN20" s="24"/>
      <c r="AO20" s="24"/>
      <c r="AP20" s="24"/>
      <c r="AQ20" s="24"/>
      <c r="AR20" s="24"/>
    </row>
    <row r="21" spans="1:118" x14ac:dyDescent="0.2">
      <c r="B21" s="20" t="s">
        <v>31</v>
      </c>
      <c r="C21" s="24">
        <v>909</v>
      </c>
      <c r="D21" s="24">
        <v>2272</v>
      </c>
      <c r="E21" s="24">
        <v>855</v>
      </c>
      <c r="F21" s="24">
        <f>4995-SUM(C21:E21)</f>
        <v>959</v>
      </c>
      <c r="G21" s="24">
        <v>717</v>
      </c>
      <c r="H21" s="24">
        <v>612</v>
      </c>
      <c r="I21" s="24">
        <v>483</v>
      </c>
      <c r="J21" s="24">
        <f>2505-SUM(G21:I21)</f>
        <v>693</v>
      </c>
      <c r="K21" s="24">
        <v>653</v>
      </c>
      <c r="L21" s="24">
        <v>700</v>
      </c>
      <c r="M21" s="24">
        <v>765</v>
      </c>
      <c r="N21" s="24">
        <f>2804-SUM(K21:M21)</f>
        <v>686</v>
      </c>
      <c r="O21" s="24">
        <v>702</v>
      </c>
      <c r="P21" s="24">
        <v>745</v>
      </c>
      <c r="Q21" s="24">
        <v>559</v>
      </c>
      <c r="R21" s="24">
        <f>2924-SUM(O21:Q21)</f>
        <v>918</v>
      </c>
      <c r="S21" s="24">
        <v>622</v>
      </c>
      <c r="T21" s="24">
        <v>602</v>
      </c>
      <c r="U21" s="24">
        <v>1814</v>
      </c>
      <c r="V21" s="24">
        <f>3752-U21-T21-S21</f>
        <v>714</v>
      </c>
      <c r="W21" s="24">
        <v>938</v>
      </c>
      <c r="X21" s="24">
        <v>418</v>
      </c>
      <c r="AA21" s="24"/>
      <c r="AC21" s="24">
        <f t="shared" si="6"/>
        <v>4995</v>
      </c>
      <c r="AD21" s="24">
        <f t="shared" si="7"/>
        <v>2505</v>
      </c>
      <c r="AE21" s="24">
        <f t="shared" si="8"/>
        <v>2804</v>
      </c>
      <c r="AF21" s="24">
        <f t="shared" si="9"/>
        <v>2924</v>
      </c>
      <c r="AG21" s="24">
        <f t="shared" si="10"/>
        <v>3752</v>
      </c>
      <c r="AH21" s="24">
        <f>+AH20*0.12</f>
        <v>2228.8828800000001</v>
      </c>
      <c r="AI21" s="24">
        <f t="shared" ref="AI21:AM21" si="19">+AI20*0.12</f>
        <v>2439.1981824000004</v>
      </c>
      <c r="AJ21" s="24">
        <f t="shared" si="19"/>
        <v>2671.5651916800002</v>
      </c>
      <c r="AK21" s="24">
        <f t="shared" si="19"/>
        <v>2923.0848439296005</v>
      </c>
      <c r="AL21" s="24">
        <f t="shared" si="19"/>
        <v>3195.3813366816771</v>
      </c>
      <c r="AM21" s="24">
        <f t="shared" si="19"/>
        <v>3490.1267309436284</v>
      </c>
      <c r="AN21" s="24"/>
      <c r="AO21" s="24"/>
      <c r="AP21" s="24"/>
      <c r="AQ21" s="24"/>
      <c r="AR21" s="24"/>
    </row>
    <row r="22" spans="1:118" s="25" customFormat="1" ht="15" x14ac:dyDescent="0.25">
      <c r="A22" s="20"/>
      <c r="B22" s="25" t="s">
        <v>32</v>
      </c>
      <c r="C22" s="26">
        <f t="shared" ref="C22:U22" si="20">+C20-C21</f>
        <v>2231</v>
      </c>
      <c r="D22" s="26">
        <f t="shared" si="20"/>
        <v>563</v>
      </c>
      <c r="E22" s="26">
        <f t="shared" si="20"/>
        <v>2191</v>
      </c>
      <c r="F22" s="26">
        <f t="shared" si="20"/>
        <v>2289</v>
      </c>
      <c r="G22" s="26">
        <f t="shared" si="20"/>
        <v>2667</v>
      </c>
      <c r="H22" s="26">
        <f t="shared" si="20"/>
        <v>2758</v>
      </c>
      <c r="I22" s="26">
        <f t="shared" si="20"/>
        <v>3081</v>
      </c>
      <c r="J22" s="26">
        <f t="shared" si="20"/>
        <v>3076</v>
      </c>
      <c r="K22" s="26">
        <f t="shared" si="20"/>
        <v>3143</v>
      </c>
      <c r="L22" s="26">
        <f t="shared" si="20"/>
        <v>3159</v>
      </c>
      <c r="M22" s="26">
        <f t="shared" si="20"/>
        <v>3267</v>
      </c>
      <c r="N22" s="26">
        <f t="shared" si="20"/>
        <v>3567</v>
      </c>
      <c r="O22" s="26">
        <f t="shared" si="20"/>
        <v>3454</v>
      </c>
      <c r="P22" s="26">
        <f t="shared" si="20"/>
        <v>3284</v>
      </c>
      <c r="Q22" s="26">
        <f t="shared" si="20"/>
        <v>2571</v>
      </c>
      <c r="R22" s="26">
        <f t="shared" si="20"/>
        <v>2335</v>
      </c>
      <c r="S22" s="26">
        <f t="shared" si="20"/>
        <v>3324</v>
      </c>
      <c r="T22" s="26">
        <f t="shared" si="20"/>
        <v>3230</v>
      </c>
      <c r="U22" s="26">
        <f t="shared" si="20"/>
        <v>2777</v>
      </c>
      <c r="V22" s="26">
        <f>+V20-V21</f>
        <v>3787</v>
      </c>
      <c r="W22" s="26">
        <f t="shared" ref="W22:X22" si="21">+W20-W21</f>
        <v>4377</v>
      </c>
      <c r="X22" s="26">
        <f t="shared" si="21"/>
        <v>4358</v>
      </c>
      <c r="AA22" s="26"/>
      <c r="AC22" s="26">
        <f t="shared" si="6"/>
        <v>7274</v>
      </c>
      <c r="AD22" s="26">
        <f t="shared" si="7"/>
        <v>11582</v>
      </c>
      <c r="AE22" s="26">
        <f t="shared" si="8"/>
        <v>13136</v>
      </c>
      <c r="AF22" s="26">
        <f t="shared" si="9"/>
        <v>11644</v>
      </c>
      <c r="AG22" s="26">
        <f t="shared" si="10"/>
        <v>13118</v>
      </c>
      <c r="AH22" s="26">
        <f t="shared" ref="AH22:AM22" si="22">+AH20-AH21</f>
        <v>16345.14112</v>
      </c>
      <c r="AI22" s="26">
        <f t="shared" si="22"/>
        <v>17887.453337600004</v>
      </c>
      <c r="AJ22" s="26">
        <f t="shared" si="22"/>
        <v>19591.478072320002</v>
      </c>
      <c r="AK22" s="26">
        <f t="shared" si="22"/>
        <v>21435.955522150405</v>
      </c>
      <c r="AL22" s="26">
        <f t="shared" si="22"/>
        <v>23432.796468998968</v>
      </c>
      <c r="AM22" s="26">
        <f t="shared" si="22"/>
        <v>25594.262693586606</v>
      </c>
      <c r="AN22" s="26">
        <f>+AM22*(1+$AA$32)</f>
        <v>25082.377439714874</v>
      </c>
      <c r="AO22" s="26">
        <f t="shared" ref="AO22:CZ22" si="23">+AN22*(1+$AA$32)</f>
        <v>24580.729890920575</v>
      </c>
      <c r="AP22" s="26">
        <f t="shared" si="23"/>
        <v>24089.115293102164</v>
      </c>
      <c r="AQ22" s="26">
        <f t="shared" si="23"/>
        <v>23607.332987240119</v>
      </c>
      <c r="AR22" s="26">
        <f t="shared" si="23"/>
        <v>23135.186327495318</v>
      </c>
      <c r="AS22" s="26">
        <f t="shared" si="23"/>
        <v>22672.482600945412</v>
      </c>
      <c r="AT22" s="26">
        <f t="shared" si="23"/>
        <v>22219.032948926502</v>
      </c>
      <c r="AU22" s="26">
        <f t="shared" si="23"/>
        <v>21774.652289947971</v>
      </c>
      <c r="AV22" s="26">
        <f t="shared" si="23"/>
        <v>21339.15924414901</v>
      </c>
      <c r="AW22" s="26">
        <f t="shared" si="23"/>
        <v>20912.376059266029</v>
      </c>
      <c r="AX22" s="26">
        <f t="shared" si="23"/>
        <v>20494.128538080709</v>
      </c>
      <c r="AY22" s="26">
        <f t="shared" si="23"/>
        <v>20084.245967319093</v>
      </c>
      <c r="AZ22" s="26">
        <f t="shared" si="23"/>
        <v>19682.561047972711</v>
      </c>
      <c r="BA22" s="26">
        <f t="shared" si="23"/>
        <v>19288.909827013256</v>
      </c>
      <c r="BB22" s="26">
        <f t="shared" si="23"/>
        <v>18903.131630472992</v>
      </c>
      <c r="BC22" s="26">
        <f t="shared" si="23"/>
        <v>18525.068997863531</v>
      </c>
      <c r="BD22" s="26">
        <f t="shared" si="23"/>
        <v>18154.567617906261</v>
      </c>
      <c r="BE22" s="26">
        <f t="shared" si="23"/>
        <v>17791.476265548135</v>
      </c>
      <c r="BF22" s="26">
        <f t="shared" si="23"/>
        <v>17435.646740237171</v>
      </c>
      <c r="BG22" s="26">
        <f t="shared" si="23"/>
        <v>17086.933805432429</v>
      </c>
      <c r="BH22" s="26">
        <f t="shared" si="23"/>
        <v>16745.19512932378</v>
      </c>
      <c r="BI22" s="26">
        <f t="shared" si="23"/>
        <v>16410.291226737303</v>
      </c>
      <c r="BJ22" s="26">
        <f t="shared" si="23"/>
        <v>16082.085402202556</v>
      </c>
      <c r="BK22" s="26">
        <f t="shared" si="23"/>
        <v>15760.443694158505</v>
      </c>
      <c r="BL22" s="26">
        <f t="shared" si="23"/>
        <v>15445.234820275335</v>
      </c>
      <c r="BM22" s="26">
        <f t="shared" si="23"/>
        <v>15136.330123869828</v>
      </c>
      <c r="BN22" s="26">
        <f t="shared" si="23"/>
        <v>14833.603521392432</v>
      </c>
      <c r="BO22" s="26">
        <f t="shared" si="23"/>
        <v>14536.931450964583</v>
      </c>
      <c r="BP22" s="26">
        <f t="shared" si="23"/>
        <v>14246.192821945291</v>
      </c>
      <c r="BQ22" s="26">
        <f t="shared" si="23"/>
        <v>13961.268965506386</v>
      </c>
      <c r="BR22" s="26">
        <f t="shared" si="23"/>
        <v>13682.043586196258</v>
      </c>
      <c r="BS22" s="26">
        <f t="shared" si="23"/>
        <v>13408.402714472333</v>
      </c>
      <c r="BT22" s="26">
        <f t="shared" si="23"/>
        <v>13140.234660182887</v>
      </c>
      <c r="BU22" s="26">
        <f t="shared" si="23"/>
        <v>12877.429966979229</v>
      </c>
      <c r="BV22" s="26">
        <f t="shared" si="23"/>
        <v>12619.881367639644</v>
      </c>
      <c r="BW22" s="26">
        <f t="shared" si="23"/>
        <v>12367.483740286851</v>
      </c>
      <c r="BX22" s="26">
        <f t="shared" si="23"/>
        <v>12120.134065481114</v>
      </c>
      <c r="BY22" s="26">
        <f t="shared" si="23"/>
        <v>11877.731384171491</v>
      </c>
      <c r="BZ22" s="26">
        <f t="shared" si="23"/>
        <v>11640.176756488061</v>
      </c>
      <c r="CA22" s="26">
        <f t="shared" si="23"/>
        <v>11407.373221358299</v>
      </c>
      <c r="CB22" s="26">
        <f t="shared" si="23"/>
        <v>11179.225756931133</v>
      </c>
      <c r="CC22" s="26">
        <f t="shared" si="23"/>
        <v>10955.641241792511</v>
      </c>
      <c r="CD22" s="26">
        <f t="shared" si="23"/>
        <v>10736.52841695666</v>
      </c>
      <c r="CE22" s="26">
        <f t="shared" si="23"/>
        <v>10521.797848617527</v>
      </c>
      <c r="CF22" s="26">
        <f t="shared" si="23"/>
        <v>10311.361891645176</v>
      </c>
      <c r="CG22" s="26">
        <f t="shared" si="23"/>
        <v>10105.134653812273</v>
      </c>
      <c r="CH22" s="26">
        <f t="shared" si="23"/>
        <v>9903.031960736027</v>
      </c>
      <c r="CI22" s="26">
        <f t="shared" si="23"/>
        <v>9704.9713215213069</v>
      </c>
      <c r="CJ22" s="26">
        <f t="shared" si="23"/>
        <v>9510.8718950908806</v>
      </c>
      <c r="CK22" s="26">
        <f t="shared" si="23"/>
        <v>9320.6544571890627</v>
      </c>
      <c r="CL22" s="26">
        <f t="shared" si="23"/>
        <v>9134.241368045281</v>
      </c>
      <c r="CM22" s="26">
        <f t="shared" si="23"/>
        <v>8951.5565406843743</v>
      </c>
      <c r="CN22" s="26">
        <f t="shared" si="23"/>
        <v>8772.5254098706864</v>
      </c>
      <c r="CO22" s="26">
        <f t="shared" si="23"/>
        <v>8597.0749016732734</v>
      </c>
      <c r="CP22" s="26">
        <f t="shared" si="23"/>
        <v>8425.1334036398075</v>
      </c>
      <c r="CQ22" s="26">
        <f t="shared" si="23"/>
        <v>8256.6307355670106</v>
      </c>
      <c r="CR22" s="26">
        <f t="shared" si="23"/>
        <v>8091.4981208556701</v>
      </c>
      <c r="CS22" s="26">
        <f t="shared" si="23"/>
        <v>7929.6681584385569</v>
      </c>
      <c r="CT22" s="26">
        <f t="shared" si="23"/>
        <v>7771.0747952697857</v>
      </c>
      <c r="CU22" s="26">
        <f t="shared" si="23"/>
        <v>7615.6532993643896</v>
      </c>
      <c r="CV22" s="26">
        <f t="shared" si="23"/>
        <v>7463.3402333771019</v>
      </c>
      <c r="CW22" s="26">
        <f t="shared" si="23"/>
        <v>7314.0734287095593</v>
      </c>
      <c r="CX22" s="26">
        <f t="shared" si="23"/>
        <v>7167.7919601353678</v>
      </c>
      <c r="CY22" s="26">
        <f t="shared" si="23"/>
        <v>7024.4361209326607</v>
      </c>
      <c r="CZ22" s="26">
        <f t="shared" si="23"/>
        <v>6883.9473985140075</v>
      </c>
      <c r="DA22" s="26">
        <f t="shared" ref="DA22:DF22" si="24">+CZ22*(1+$AA$32)</f>
        <v>6746.2684505437273</v>
      </c>
      <c r="DB22" s="26">
        <f t="shared" si="24"/>
        <v>6611.3430815328529</v>
      </c>
      <c r="DC22" s="26">
        <f t="shared" si="24"/>
        <v>6479.1162199021956</v>
      </c>
      <c r="DD22" s="26">
        <f t="shared" si="24"/>
        <v>6349.5338955041516</v>
      </c>
      <c r="DE22" s="26">
        <f t="shared" si="24"/>
        <v>6222.5432175940687</v>
      </c>
      <c r="DF22" s="26">
        <f t="shared" si="24"/>
        <v>6098.0923532421875</v>
      </c>
      <c r="DG22" s="26"/>
      <c r="DH22" s="26"/>
      <c r="DI22" s="26"/>
      <c r="DJ22" s="26"/>
      <c r="DK22" s="26"/>
      <c r="DL22" s="26"/>
      <c r="DM22" s="26"/>
      <c r="DN22" s="26"/>
    </row>
    <row r="23" spans="1:118" x14ac:dyDescent="0.2">
      <c r="B23" s="20" t="s">
        <v>33</v>
      </c>
      <c r="C23" s="24">
        <v>2421</v>
      </c>
      <c r="D23" s="24">
        <v>2406</v>
      </c>
      <c r="E23" s="24">
        <v>2385</v>
      </c>
      <c r="F23" s="24">
        <v>2395</v>
      </c>
      <c r="G23" s="24">
        <v>2353</v>
      </c>
      <c r="H23" s="24">
        <v>2337</v>
      </c>
      <c r="I23" s="24">
        <v>2321</v>
      </c>
      <c r="J23" s="24">
        <v>2329</v>
      </c>
      <c r="K23" s="24">
        <v>2291</v>
      </c>
      <c r="L23" s="24">
        <v>2279</v>
      </c>
      <c r="M23" s="24">
        <v>2265</v>
      </c>
      <c r="N23" s="24">
        <v>2272</v>
      </c>
      <c r="O23" s="24">
        <v>2240</v>
      </c>
      <c r="P23" s="24">
        <v>2228</v>
      </c>
      <c r="Q23" s="24">
        <v>2214</v>
      </c>
      <c r="R23" s="24">
        <f>+AVERAGE(O23:Q23)</f>
        <v>2227.3333333333335</v>
      </c>
      <c r="S23" s="24">
        <v>2200</v>
      </c>
      <c r="T23" s="24">
        <v>2193</v>
      </c>
      <c r="U23" s="24">
        <v>2184</v>
      </c>
      <c r="V23" s="24">
        <f>AVERAGE(S23:U23)</f>
        <v>2192.3333333333335</v>
      </c>
      <c r="W23" s="24">
        <f>2159+245+10</f>
        <v>2414</v>
      </c>
      <c r="X23" s="24">
        <f>2129+245+10</f>
        <v>2384</v>
      </c>
      <c r="AA23" s="24"/>
      <c r="AC23" s="24">
        <f>AVERAGE(C23:F23)</f>
        <v>2401.75</v>
      </c>
      <c r="AD23" s="24">
        <f>AVERAGE(G23:J23)</f>
        <v>2335</v>
      </c>
      <c r="AE23" s="24">
        <f>AVERAGE(K23:N23)</f>
        <v>2276.75</v>
      </c>
      <c r="AF23" s="24">
        <f>AVERAGE(O23:R23)</f>
        <v>2227.3333333333335</v>
      </c>
      <c r="AG23" s="24">
        <f>AVERAGE(S23:V23)</f>
        <v>2192.3333333333335</v>
      </c>
      <c r="AH23" s="20">
        <v>2192.3333333333335</v>
      </c>
      <c r="AI23" s="20">
        <v>2192.3333333333335</v>
      </c>
      <c r="AJ23" s="20">
        <v>2192.3333333333335</v>
      </c>
      <c r="AK23" s="20">
        <v>2192.3333333333335</v>
      </c>
      <c r="AL23" s="20">
        <v>2192.3333333333335</v>
      </c>
      <c r="AM23" s="20">
        <v>2192.3333333333335</v>
      </c>
    </row>
    <row r="24" spans="1:118" x14ac:dyDescent="0.2">
      <c r="B24" s="20" t="s">
        <v>35</v>
      </c>
      <c r="C24" s="28">
        <f t="shared" ref="C24:V24" si="25">+C22/C23</f>
        <v>0.92152003304419661</v>
      </c>
      <c r="D24" s="28">
        <f t="shared" si="25"/>
        <v>0.2339983374896093</v>
      </c>
      <c r="E24" s="28">
        <f t="shared" si="25"/>
        <v>0.91865828092243185</v>
      </c>
      <c r="F24" s="28">
        <f t="shared" si="25"/>
        <v>0.95574112734864303</v>
      </c>
      <c r="G24" s="28">
        <f t="shared" si="25"/>
        <v>1.1334466638334042</v>
      </c>
      <c r="H24" s="28">
        <f t="shared" si="25"/>
        <v>1.180145485665383</v>
      </c>
      <c r="I24" s="28">
        <f t="shared" si="25"/>
        <v>1.3274450667815596</v>
      </c>
      <c r="J24" s="28">
        <f t="shared" si="25"/>
        <v>1.3207385143838557</v>
      </c>
      <c r="K24" s="28">
        <f t="shared" si="25"/>
        <v>1.371890004364906</v>
      </c>
      <c r="L24" s="28">
        <f t="shared" si="25"/>
        <v>1.3861342694164107</v>
      </c>
      <c r="M24" s="28">
        <f t="shared" si="25"/>
        <v>1.4423841059602649</v>
      </c>
      <c r="N24" s="28">
        <f t="shared" si="25"/>
        <v>1.5699823943661972</v>
      </c>
      <c r="O24" s="28">
        <f t="shared" si="25"/>
        <v>1.5419642857142857</v>
      </c>
      <c r="P24" s="28">
        <f t="shared" si="25"/>
        <v>1.4739676840215439</v>
      </c>
      <c r="Q24" s="28">
        <f t="shared" si="25"/>
        <v>1.1612466124661247</v>
      </c>
      <c r="R24" s="28">
        <f t="shared" si="25"/>
        <v>1.0483388207123614</v>
      </c>
      <c r="S24" s="28">
        <f t="shared" si="25"/>
        <v>1.510909090909091</v>
      </c>
      <c r="T24" s="28">
        <f t="shared" si="25"/>
        <v>1.4728682170542635</v>
      </c>
      <c r="U24" s="28">
        <f t="shared" si="25"/>
        <v>1.2715201465201464</v>
      </c>
      <c r="V24" s="28">
        <f t="shared" si="25"/>
        <v>1.7273833054584156</v>
      </c>
      <c r="W24" s="28">
        <f>+W22/W23</f>
        <v>1.8131731565865783</v>
      </c>
      <c r="X24" s="28">
        <f>+X22/X23</f>
        <v>1.8280201342281879</v>
      </c>
      <c r="Y24" s="28"/>
      <c r="Z24" s="28"/>
      <c r="AA24" s="28"/>
      <c r="AC24" s="28">
        <f>AVERAGE(C24:F24)</f>
        <v>0.75747944470122019</v>
      </c>
      <c r="AD24" s="28">
        <f>AVERAGE(G24:J24)</f>
        <v>1.2404439326660508</v>
      </c>
      <c r="AE24" s="28">
        <f>AVERAGE(K24:N24)</f>
        <v>1.4425976935269447</v>
      </c>
      <c r="AF24" s="28">
        <f>AVERAGE(O24:R24)</f>
        <v>1.3063793507285788</v>
      </c>
      <c r="AG24" s="28">
        <f>AVERAGE(S24:V24)</f>
        <v>1.495670189985479</v>
      </c>
      <c r="AH24" s="28">
        <f>+AH22/AH23</f>
        <v>7.4555912057168916</v>
      </c>
      <c r="AI24" s="28">
        <f t="shared" ref="AI24:AM24" si="26">+AI22/AI23</f>
        <v>8.1590938137144597</v>
      </c>
      <c r="AJ24" s="28">
        <f t="shared" si="26"/>
        <v>8.9363591632902537</v>
      </c>
      <c r="AK24" s="28">
        <f t="shared" si="26"/>
        <v>9.7776899143152214</v>
      </c>
      <c r="AL24" s="28">
        <f t="shared" si="26"/>
        <v>10.688518991485008</v>
      </c>
      <c r="AM24" s="28">
        <f t="shared" si="26"/>
        <v>11.674439422344506</v>
      </c>
    </row>
    <row r="25" spans="1:118" x14ac:dyDescent="0.2">
      <c r="N25" s="28"/>
      <c r="O25" s="28"/>
      <c r="P25" s="28"/>
      <c r="R25" s="28"/>
      <c r="S25" s="28"/>
      <c r="T25" s="28"/>
    </row>
    <row r="26" spans="1:118" x14ac:dyDescent="0.2">
      <c r="N26" s="28"/>
      <c r="O26" s="28"/>
      <c r="P26" s="28"/>
      <c r="R26" s="28"/>
      <c r="S26" s="28"/>
      <c r="T26" s="28"/>
    </row>
    <row r="27" spans="1:118" s="29" customFormat="1" x14ac:dyDescent="0.2">
      <c r="B27" s="30" t="s">
        <v>88</v>
      </c>
      <c r="C27" s="30">
        <f t="shared" ref="C27:X27" si="27">+(C9-SUM(C10,C12,C13))/C9</f>
        <v>0.82156467159829638</v>
      </c>
      <c r="D27" s="30">
        <f t="shared" si="27"/>
        <v>0.79070806343533617</v>
      </c>
      <c r="E27" s="30">
        <f t="shared" si="27"/>
        <v>0.79014238773274914</v>
      </c>
      <c r="F27" s="30">
        <f t="shared" si="27"/>
        <v>0.80102986611740479</v>
      </c>
      <c r="G27" s="30">
        <f t="shared" si="27"/>
        <v>0.80851501439736739</v>
      </c>
      <c r="H27" s="30">
        <f t="shared" si="27"/>
        <v>0.78296865759905376</v>
      </c>
      <c r="I27" s="30">
        <f t="shared" si="27"/>
        <v>0.78377862595419845</v>
      </c>
      <c r="J27" s="30">
        <f t="shared" si="27"/>
        <v>0.79076186970923812</v>
      </c>
      <c r="K27" s="30">
        <f t="shared" si="27"/>
        <v>0.80548492553577911</v>
      </c>
      <c r="L27" s="30">
        <f t="shared" si="27"/>
        <v>0.78776847469967237</v>
      </c>
      <c r="M27" s="30">
        <f t="shared" si="27"/>
        <v>0.79982876712328765</v>
      </c>
      <c r="N27" s="30">
        <f t="shared" si="27"/>
        <v>0.80234642333387651</v>
      </c>
      <c r="O27" s="30">
        <f t="shared" si="27"/>
        <v>0.79038652130822595</v>
      </c>
      <c r="P27" s="30">
        <f t="shared" si="27"/>
        <v>0.79057055005124699</v>
      </c>
      <c r="Q27" s="30">
        <f t="shared" si="27"/>
        <v>0.750258424643374</v>
      </c>
      <c r="R27" s="30">
        <f t="shared" si="27"/>
        <v>0.76141932954322677</v>
      </c>
      <c r="S27" s="30">
        <f t="shared" si="27"/>
        <v>0.7824863724283454</v>
      </c>
      <c r="T27" s="30">
        <f t="shared" si="27"/>
        <v>0.75999301797870489</v>
      </c>
      <c r="U27" s="30">
        <f t="shared" si="27"/>
        <v>0.77292006525285484</v>
      </c>
      <c r="V27" s="30">
        <f t="shared" si="27"/>
        <v>0.79127915840829399</v>
      </c>
      <c r="W27" s="30">
        <f t="shared" si="27"/>
        <v>0.79954667799971668</v>
      </c>
      <c r="X27" s="30">
        <f t="shared" si="27"/>
        <v>0.78309278350515465</v>
      </c>
      <c r="AC27" s="30">
        <f>+(AC9-SUM(AC10,AC12,AC13))/AC9</f>
        <v>0.80079529360496782</v>
      </c>
      <c r="AD27" s="30">
        <f>+(AD9-SUM(AD10,AD12,AD13))/AD9</f>
        <v>0.79125624727060995</v>
      </c>
      <c r="AE27" s="30">
        <f>+(AE9-SUM(AE10,AE12,AE13))/AE9</f>
        <v>0.79897288592940763</v>
      </c>
      <c r="AF27" s="30">
        <f>+(AF9-SUM(AF10,AF12,AF13))/AF9</f>
        <v>0.77478714638835489</v>
      </c>
      <c r="AG27" s="30">
        <f>+(AG9-SUM(AG10,AG12,AG13))/AG9</f>
        <v>0.77710018668326075</v>
      </c>
      <c r="AH27" s="30"/>
      <c r="AI27" s="30"/>
      <c r="AJ27" s="30"/>
      <c r="AK27" s="30"/>
      <c r="AL27" s="30"/>
      <c r="AM27" s="30"/>
    </row>
    <row r="28" spans="1:118" x14ac:dyDescent="0.2">
      <c r="B28" s="31" t="s">
        <v>36</v>
      </c>
      <c r="C28" s="30">
        <f t="shared" ref="C28:X28" si="28">+SUM(C11,C14)/C9</f>
        <v>9.0562654113427482E-2</v>
      </c>
      <c r="D28" s="30">
        <f t="shared" si="28"/>
        <v>0.13379495197677016</v>
      </c>
      <c r="E28" s="30">
        <f t="shared" si="28"/>
        <v>9.8795180722891562E-2</v>
      </c>
      <c r="F28" s="30">
        <f t="shared" si="28"/>
        <v>0.10875386199794027</v>
      </c>
      <c r="G28" s="30">
        <f t="shared" si="28"/>
        <v>9.4405594405594401E-2</v>
      </c>
      <c r="H28" s="30">
        <f t="shared" si="28"/>
        <v>9.5209934949733885E-2</v>
      </c>
      <c r="I28" s="30">
        <f t="shared" si="28"/>
        <v>8.9694656488549615E-2</v>
      </c>
      <c r="J28" s="30">
        <f t="shared" si="28"/>
        <v>0.13268310636731689</v>
      </c>
      <c r="K28" s="30">
        <f t="shared" si="28"/>
        <v>0.10025426807119506</v>
      </c>
      <c r="L28" s="30">
        <f t="shared" si="28"/>
        <v>9.1918456497997819E-2</v>
      </c>
      <c r="M28" s="30">
        <f t="shared" si="28"/>
        <v>0.10222602739726028</v>
      </c>
      <c r="N28" s="30">
        <f t="shared" si="28"/>
        <v>0.10542610395958937</v>
      </c>
      <c r="O28" s="30">
        <f t="shared" si="28"/>
        <v>9.6960687148992405E-2</v>
      </c>
      <c r="P28" s="30">
        <f t="shared" si="28"/>
        <v>8.6094977792962074E-2</v>
      </c>
      <c r="Q28" s="30">
        <f t="shared" si="28"/>
        <v>8.9311556750051688E-2</v>
      </c>
      <c r="R28" s="30">
        <f t="shared" si="28"/>
        <v>0.10664575573416978</v>
      </c>
      <c r="S28" s="30">
        <f t="shared" si="28"/>
        <v>7.1742570775452791E-2</v>
      </c>
      <c r="T28" s="30">
        <f t="shared" si="28"/>
        <v>9.9319252923721416E-2</v>
      </c>
      <c r="U28" s="30">
        <f t="shared" si="28"/>
        <v>7.6998368678629692E-2</v>
      </c>
      <c r="V28" s="30">
        <f t="shared" si="28"/>
        <v>0.10245464247598719</v>
      </c>
      <c r="W28" s="30">
        <f t="shared" si="28"/>
        <v>6.3748406289842754E-2</v>
      </c>
      <c r="X28" s="30">
        <f t="shared" si="28"/>
        <v>8.2749140893470796E-2</v>
      </c>
      <c r="Y28" s="29"/>
      <c r="Z28" s="29"/>
      <c r="AA28" s="29"/>
      <c r="AB28" s="29"/>
      <c r="AC28" s="29">
        <f t="shared" ref="AC28:AM28" si="29">+AC16/AC9</f>
        <v>0.69283146312234445</v>
      </c>
      <c r="AD28" s="29">
        <f t="shared" si="29"/>
        <v>0.68775777572905039</v>
      </c>
      <c r="AE28" s="29">
        <f t="shared" si="29"/>
        <v>0.69882926404665535</v>
      </c>
      <c r="AF28" s="29">
        <f t="shared" si="29"/>
        <v>0.68017028288931614</v>
      </c>
      <c r="AG28" s="29">
        <f t="shared" si="29"/>
        <v>0.68911014312383323</v>
      </c>
      <c r="AH28" s="29">
        <f t="shared" si="29"/>
        <v>0.69</v>
      </c>
      <c r="AI28" s="29">
        <f t="shared" si="29"/>
        <v>0.69000000000000006</v>
      </c>
      <c r="AJ28" s="29">
        <f t="shared" si="29"/>
        <v>0.69</v>
      </c>
      <c r="AK28" s="29">
        <f t="shared" si="29"/>
        <v>0.69</v>
      </c>
      <c r="AL28" s="29">
        <f t="shared" si="29"/>
        <v>0.69</v>
      </c>
      <c r="AM28" s="29">
        <f t="shared" si="29"/>
        <v>0.69</v>
      </c>
      <c r="AN28" s="29"/>
      <c r="AO28" s="29"/>
      <c r="AP28" s="29"/>
      <c r="AQ28" s="29"/>
      <c r="AR28" s="29"/>
    </row>
    <row r="29" spans="1:118" x14ac:dyDescent="0.2">
      <c r="B29" s="31" t="s">
        <v>31</v>
      </c>
      <c r="C29" s="30">
        <f>+C21/C20</f>
        <v>0.2894904458598726</v>
      </c>
      <c r="D29" s="30">
        <f>+D21/D20</f>
        <v>0.80141093474426806</v>
      </c>
      <c r="E29" s="30">
        <f t="shared" ref="E29:V29" si="30">+E21/E20</f>
        <v>0.28069599474720947</v>
      </c>
      <c r="F29" s="30">
        <f t="shared" si="30"/>
        <v>0.29525862068965519</v>
      </c>
      <c r="G29" s="30">
        <f t="shared" si="30"/>
        <v>0.21187943262411346</v>
      </c>
      <c r="H29" s="30">
        <f t="shared" si="30"/>
        <v>0.18160237388724035</v>
      </c>
      <c r="I29" s="30">
        <f t="shared" si="30"/>
        <v>0.13552188552188552</v>
      </c>
      <c r="J29" s="30">
        <f t="shared" si="30"/>
        <v>0.18386840010612895</v>
      </c>
      <c r="K29" s="30">
        <f t="shared" si="30"/>
        <v>0.17202318229715491</v>
      </c>
      <c r="L29" s="30">
        <f t="shared" si="30"/>
        <v>0.1813941435605079</v>
      </c>
      <c r="M29" s="30">
        <f t="shared" si="30"/>
        <v>0.18973214285714285</v>
      </c>
      <c r="N29" s="30">
        <f t="shared" si="30"/>
        <v>0.16129790735951094</v>
      </c>
      <c r="O29" s="30">
        <f t="shared" si="30"/>
        <v>0.16891241578440808</v>
      </c>
      <c r="P29" s="30">
        <f t="shared" si="30"/>
        <v>0.18490940680069495</v>
      </c>
      <c r="Q29" s="30">
        <f t="shared" si="30"/>
        <v>0.17859424920127795</v>
      </c>
      <c r="R29" s="30">
        <f t="shared" si="30"/>
        <v>0.28220104518905625</v>
      </c>
      <c r="S29" s="30">
        <f t="shared" si="30"/>
        <v>0.15762797769893563</v>
      </c>
      <c r="T29" s="30">
        <f t="shared" si="30"/>
        <v>0.15709812108559498</v>
      </c>
      <c r="U29" s="30">
        <f t="shared" si="30"/>
        <v>0.39512088869527334</v>
      </c>
      <c r="V29" s="30">
        <f t="shared" si="30"/>
        <v>0.15863141524105753</v>
      </c>
      <c r="W29" s="30">
        <f>+W21/W20</f>
        <v>0.17648165569143931</v>
      </c>
      <c r="X29" s="30">
        <f>+X21/X20</f>
        <v>8.7520938023450581E-2</v>
      </c>
      <c r="Y29" s="29"/>
      <c r="Z29" s="29"/>
      <c r="AA29" s="29"/>
      <c r="AC29" s="29">
        <f t="shared" ref="AC29:AF29" si="31">+AC21/AC20</f>
        <v>0.40712364495883935</v>
      </c>
      <c r="AD29" s="29">
        <f t="shared" si="31"/>
        <v>0.17782352523603323</v>
      </c>
      <c r="AE29" s="29">
        <f t="shared" si="31"/>
        <v>0.17590966122961105</v>
      </c>
      <c r="AF29" s="29">
        <f t="shared" si="31"/>
        <v>0.20071389346512905</v>
      </c>
      <c r="AG29" s="29">
        <f>+AG21/AG20</f>
        <v>0.22240663900414936</v>
      </c>
      <c r="AH29" s="29">
        <f t="shared" ref="AH29:AM29" si="32">+AH21/AH20</f>
        <v>0.12</v>
      </c>
      <c r="AI29" s="29">
        <f t="shared" si="32"/>
        <v>0.12</v>
      </c>
      <c r="AJ29" s="29">
        <f t="shared" si="32"/>
        <v>0.12</v>
      </c>
      <c r="AK29" s="29">
        <f t="shared" si="32"/>
        <v>0.12000000000000001</v>
      </c>
      <c r="AL29" s="29">
        <f t="shared" si="32"/>
        <v>0.12</v>
      </c>
      <c r="AM29" s="29">
        <f t="shared" si="32"/>
        <v>0.12000000000000001</v>
      </c>
      <c r="AN29" s="29"/>
      <c r="AO29" s="29"/>
      <c r="AP29" s="29"/>
      <c r="AQ29" s="29"/>
      <c r="AR29" s="29"/>
    </row>
    <row r="30" spans="1:118" x14ac:dyDescent="0.2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118" s="29" customFormat="1" x14ac:dyDescent="0.2">
      <c r="B31" s="30" t="s">
        <v>34</v>
      </c>
      <c r="C31" s="30"/>
      <c r="D31" s="30"/>
      <c r="E31" s="30"/>
      <c r="F31" s="30"/>
      <c r="G31" s="30">
        <f t="shared" ref="G31:X31" si="33">+G9/C9-1</f>
        <v>8.9890159157139715E-2</v>
      </c>
      <c r="H31" s="30">
        <f t="shared" si="33"/>
        <v>0.13312486039758764</v>
      </c>
      <c r="I31" s="30">
        <f t="shared" si="33"/>
        <v>0.14786418400876222</v>
      </c>
      <c r="J31" s="30">
        <f t="shared" si="33"/>
        <v>0.11925849639546859</v>
      </c>
      <c r="K31" s="30">
        <f t="shared" si="33"/>
        <v>0.13245577951460308</v>
      </c>
      <c r="L31" s="30">
        <f t="shared" si="33"/>
        <v>8.2988369800906847E-2</v>
      </c>
      <c r="M31" s="30">
        <f t="shared" si="33"/>
        <v>0.11450381679389321</v>
      </c>
      <c r="N31" s="30">
        <f t="shared" si="33"/>
        <v>0.12937062937062938</v>
      </c>
      <c r="O31" s="30">
        <f t="shared" si="33"/>
        <v>9.9527787867780493E-2</v>
      </c>
      <c r="P31" s="30">
        <f t="shared" si="33"/>
        <v>6.5526028394612412E-2</v>
      </c>
      <c r="Q31" s="30">
        <f t="shared" si="33"/>
        <v>-0.17174657534246573</v>
      </c>
      <c r="R31" s="30">
        <f t="shared" si="33"/>
        <v>-0.16881212318722505</v>
      </c>
      <c r="S31" s="30">
        <f t="shared" si="33"/>
        <v>-6.0621076973901511E-2</v>
      </c>
      <c r="T31" s="30">
        <f t="shared" si="33"/>
        <v>-2.1352921079603737E-2</v>
      </c>
      <c r="U31" s="30">
        <f t="shared" si="33"/>
        <v>0.26731445110605745</v>
      </c>
      <c r="V31" s="30">
        <f t="shared" si="33"/>
        <v>0.28582630856694768</v>
      </c>
      <c r="W31" s="30">
        <f t="shared" si="33"/>
        <v>0.24125197819588529</v>
      </c>
      <c r="X31" s="30">
        <f t="shared" si="33"/>
        <v>0.26985512305812542</v>
      </c>
      <c r="Z31" s="32" t="s">
        <v>122</v>
      </c>
      <c r="AA31" s="33">
        <v>0.02</v>
      </c>
      <c r="AD31" s="29">
        <f t="shared" ref="AD31:AM31" si="34">+AD9/AC9-1</f>
        <v>0.12261684279333251</v>
      </c>
      <c r="AE31" s="29">
        <f t="shared" si="34"/>
        <v>0.1149012567324954</v>
      </c>
      <c r="AF31" s="29">
        <f t="shared" si="34"/>
        <v>-4.92231361796579E-2</v>
      </c>
      <c r="AG31" s="29">
        <f t="shared" si="34"/>
        <v>0.10340565778632249</v>
      </c>
      <c r="AH31" s="29">
        <f t="shared" si="34"/>
        <v>0.12000000000000011</v>
      </c>
      <c r="AI31" s="29">
        <f t="shared" si="34"/>
        <v>8.0000000000000071E-2</v>
      </c>
      <c r="AJ31" s="29">
        <f t="shared" si="34"/>
        <v>8.0000000000000071E-2</v>
      </c>
      <c r="AK31" s="29">
        <f t="shared" si="34"/>
        <v>8.0000000000000071E-2</v>
      </c>
      <c r="AL31" s="29">
        <f t="shared" si="34"/>
        <v>8.0000000000000071E-2</v>
      </c>
      <c r="AM31" s="29">
        <f t="shared" si="34"/>
        <v>8.0000000000000071E-2</v>
      </c>
    </row>
    <row r="32" spans="1:118" s="29" customFormat="1" x14ac:dyDescent="0.2">
      <c r="B32" s="30" t="s">
        <v>58</v>
      </c>
      <c r="C32" s="30"/>
      <c r="D32" s="30"/>
      <c r="E32" s="30"/>
      <c r="F32" s="30"/>
      <c r="G32" s="30">
        <f>+G22/C22-1</f>
        <v>0.19542805916629313</v>
      </c>
      <c r="H32" s="30">
        <f>+H22/D22-1</f>
        <v>3.8987566607460034</v>
      </c>
      <c r="I32" s="30">
        <f t="shared" ref="I32:U32" si="35">+I22/E22-1</f>
        <v>0.40620721131903248</v>
      </c>
      <c r="J32" s="30">
        <f t="shared" si="35"/>
        <v>0.3438182612494538</v>
      </c>
      <c r="K32" s="30">
        <f t="shared" si="35"/>
        <v>0.17847769028871396</v>
      </c>
      <c r="L32" s="30">
        <f t="shared" si="35"/>
        <v>0.1453952139231327</v>
      </c>
      <c r="M32" s="30">
        <f t="shared" si="35"/>
        <v>6.0370009737098274E-2</v>
      </c>
      <c r="N32" s="30">
        <f t="shared" si="35"/>
        <v>0.15962288686605985</v>
      </c>
      <c r="O32" s="30">
        <f t="shared" si="35"/>
        <v>9.8950047725103296E-2</v>
      </c>
      <c r="P32" s="30">
        <f t="shared" si="35"/>
        <v>3.9569484013928458E-2</v>
      </c>
      <c r="Q32" s="30">
        <f t="shared" si="35"/>
        <v>-0.21303948576675846</v>
      </c>
      <c r="R32" s="30">
        <f t="shared" si="35"/>
        <v>-0.34538828146902156</v>
      </c>
      <c r="S32" s="30">
        <f t="shared" si="35"/>
        <v>-3.7637521713954847E-2</v>
      </c>
      <c r="T32" s="30">
        <f t="shared" si="35"/>
        <v>-1.6443361753958552E-2</v>
      </c>
      <c r="U32" s="30">
        <f t="shared" si="35"/>
        <v>8.012446518864258E-2</v>
      </c>
      <c r="V32" s="30">
        <f>+V22/R22-1</f>
        <v>0.62184154175588868</v>
      </c>
      <c r="W32" s="30">
        <f>+W22/S22-1</f>
        <v>0.31678700361010836</v>
      </c>
      <c r="X32" s="30">
        <f>+X22/T22-1</f>
        <v>0.34922600619195054</v>
      </c>
      <c r="Z32" s="34" t="s">
        <v>83</v>
      </c>
      <c r="AA32" s="35">
        <v>-0.02</v>
      </c>
      <c r="AD32" s="29">
        <f t="shared" ref="AD32:AF32" si="36">+AD22/AC22-1</f>
        <v>0.59224635688754468</v>
      </c>
      <c r="AE32" s="29">
        <f t="shared" si="36"/>
        <v>0.13417371783802445</v>
      </c>
      <c r="AF32" s="29">
        <f t="shared" si="36"/>
        <v>-0.11358099878197325</v>
      </c>
      <c r="AG32" s="29">
        <f>+AG22/AF22-1</f>
        <v>0.12658880109927861</v>
      </c>
      <c r="AH32" s="29">
        <f t="shared" ref="AH32:AM32" si="37">+AH22/AG22-1</f>
        <v>0.24600862326574169</v>
      </c>
      <c r="AI32" s="29">
        <f t="shared" si="37"/>
        <v>9.4359064034804874E-2</v>
      </c>
      <c r="AJ32" s="29">
        <f t="shared" si="37"/>
        <v>9.5263685811444399E-2</v>
      </c>
      <c r="AK32" s="29">
        <f t="shared" si="37"/>
        <v>9.4146926690354737E-2</v>
      </c>
      <c r="AL32" s="29">
        <f t="shared" si="37"/>
        <v>9.315381088494834E-2</v>
      </c>
      <c r="AM32" s="29">
        <f t="shared" si="37"/>
        <v>9.2241070221695809E-2</v>
      </c>
    </row>
    <row r="33" spans="2:39" s="29" customFormat="1" x14ac:dyDescent="0.2">
      <c r="B33" s="30" t="s">
        <v>123</v>
      </c>
      <c r="C33" s="30"/>
      <c r="D33" s="30"/>
      <c r="E33" s="30"/>
      <c r="F33" s="30"/>
      <c r="G33" s="30">
        <f t="shared" ref="G33:W33" si="38">+G11/C11-1</f>
        <v>2.2935779816513735E-2</v>
      </c>
      <c r="H33" s="30">
        <f t="shared" si="38"/>
        <v>0.3523316062176165</v>
      </c>
      <c r="I33" s="30">
        <f t="shared" si="38"/>
        <v>8.5972850678732948E-2</v>
      </c>
      <c r="J33" s="30">
        <f t="shared" si="38"/>
        <v>-8.9655172413793061E-2</v>
      </c>
      <c r="K33" s="30">
        <f t="shared" si="38"/>
        <v>0.2376681614349776</v>
      </c>
      <c r="L33" s="30">
        <f t="shared" si="38"/>
        <v>-7.6628352490421436E-2</v>
      </c>
      <c r="M33" s="30">
        <f t="shared" si="38"/>
        <v>0.17500000000000004</v>
      </c>
      <c r="N33" s="30">
        <f t="shared" si="38"/>
        <v>0.15909090909090917</v>
      </c>
      <c r="O33" s="30">
        <f t="shared" si="38"/>
        <v>-7.2463768115942351E-3</v>
      </c>
      <c r="P33" s="30">
        <f t="shared" si="38"/>
        <v>-2.4896265560165998E-2</v>
      </c>
      <c r="Q33" s="30">
        <f t="shared" si="38"/>
        <v>-0.38297872340425532</v>
      </c>
      <c r="R33" s="30">
        <f t="shared" si="38"/>
        <v>-5.8823529411764719E-2</v>
      </c>
      <c r="S33" s="30">
        <f t="shared" si="38"/>
        <v>-0.25182481751824815</v>
      </c>
      <c r="T33" s="30">
        <f t="shared" si="38"/>
        <v>-0.12340425531914889</v>
      </c>
      <c r="U33" s="30">
        <f t="shared" si="38"/>
        <v>0.54022988505747116</v>
      </c>
      <c r="V33" s="30">
        <f t="shared" si="38"/>
        <v>0.58680555555555558</v>
      </c>
      <c r="W33" s="30">
        <f t="shared" si="38"/>
        <v>1.4634146341463428E-2</v>
      </c>
      <c r="X33" s="30">
        <f>+X11/T11-1</f>
        <v>0.51941747572815533</v>
      </c>
      <c r="Z33" s="34" t="s">
        <v>62</v>
      </c>
      <c r="AA33" s="36">
        <v>4.4999999999999998E-2</v>
      </c>
    </row>
    <row r="34" spans="2:39" s="29" customFormat="1" x14ac:dyDescent="0.2">
      <c r="B34" s="30" t="s">
        <v>60</v>
      </c>
      <c r="C34" s="30"/>
      <c r="D34" s="30"/>
      <c r="E34" s="30"/>
      <c r="F34" s="30"/>
      <c r="G34" s="30">
        <f>+G10/C10-1</f>
        <v>0.18914185639229419</v>
      </c>
      <c r="H34" s="30">
        <f t="shared" ref="H34:X34" si="39">+H10/D10-1</f>
        <v>0.17045454545454541</v>
      </c>
      <c r="I34" s="30">
        <f t="shared" si="39"/>
        <v>0.22063037249283668</v>
      </c>
      <c r="J34" s="30">
        <f t="shared" si="39"/>
        <v>0.24427480916030531</v>
      </c>
      <c r="K34" s="30">
        <f t="shared" si="39"/>
        <v>0.18851251840942562</v>
      </c>
      <c r="L34" s="30">
        <f t="shared" si="39"/>
        <v>8.4951456310679685E-2</v>
      </c>
      <c r="M34" s="30">
        <f t="shared" si="39"/>
        <v>2.3474178403755763E-2</v>
      </c>
      <c r="N34" s="30">
        <f t="shared" si="39"/>
        <v>6.8711656441717839E-2</v>
      </c>
      <c r="O34" s="30">
        <f t="shared" si="39"/>
        <v>0.21685254027261469</v>
      </c>
      <c r="P34" s="30">
        <f t="shared" si="39"/>
        <v>5.1454138702460961E-2</v>
      </c>
      <c r="Q34" s="30">
        <f t="shared" si="39"/>
        <v>7.912844036697253E-2</v>
      </c>
      <c r="R34" s="30">
        <f t="shared" si="39"/>
        <v>5.855338691159595E-2</v>
      </c>
      <c r="S34" s="30">
        <f t="shared" si="39"/>
        <v>-1.0183299389001643E-3</v>
      </c>
      <c r="T34" s="30">
        <f t="shared" si="39"/>
        <v>0.18510638297872339</v>
      </c>
      <c r="U34" s="30">
        <f t="shared" si="39"/>
        <v>0.16684378320935167</v>
      </c>
      <c r="V34" s="30">
        <f t="shared" si="39"/>
        <v>0.13557483731019526</v>
      </c>
      <c r="W34" s="30">
        <f t="shared" si="39"/>
        <v>0.14678899082568808</v>
      </c>
      <c r="X34" s="30">
        <f t="shared" si="39"/>
        <v>0.15170556552962289</v>
      </c>
      <c r="Z34" s="34" t="s">
        <v>63</v>
      </c>
      <c r="AA34" s="37">
        <f>NPV(AA33,AH22:DN22)</f>
        <v>398838.40930561785</v>
      </c>
      <c r="AD34" s="29">
        <f>+AD10/AC10-1</f>
        <v>0.20624048706240483</v>
      </c>
      <c r="AE34" s="29">
        <f t="shared" ref="AE34:AF34" si="40">+AE10/AD10-1</f>
        <v>8.6435331230283907E-2</v>
      </c>
      <c r="AF34" s="29">
        <f t="shared" si="40"/>
        <v>9.9012775842044043E-2</v>
      </c>
      <c r="AG34" s="29">
        <f>+AG10/AF10-1</f>
        <v>0.120211360634082</v>
      </c>
    </row>
    <row r="35" spans="2:39" s="29" customFormat="1" x14ac:dyDescent="0.2">
      <c r="B35" s="30" t="s">
        <v>61</v>
      </c>
      <c r="C35" s="30"/>
      <c r="D35" s="30"/>
      <c r="E35" s="30"/>
      <c r="F35" s="30"/>
      <c r="G35" s="30">
        <f>+G11/C11-1</f>
        <v>2.2935779816513735E-2</v>
      </c>
      <c r="H35" s="30">
        <f t="shared" ref="H35:U35" si="41">+H11/D11-1</f>
        <v>0.3523316062176165</v>
      </c>
      <c r="I35" s="30">
        <f t="shared" si="41"/>
        <v>8.5972850678732948E-2</v>
      </c>
      <c r="J35" s="30">
        <f t="shared" si="41"/>
        <v>-8.9655172413793061E-2</v>
      </c>
      <c r="K35" s="30">
        <f t="shared" si="41"/>
        <v>0.2376681614349776</v>
      </c>
      <c r="L35" s="30">
        <f t="shared" si="41"/>
        <v>-7.6628352490421436E-2</v>
      </c>
      <c r="M35" s="30">
        <f t="shared" si="41"/>
        <v>0.17500000000000004</v>
      </c>
      <c r="N35" s="30">
        <f t="shared" si="41"/>
        <v>0.15909090909090917</v>
      </c>
      <c r="O35" s="30">
        <f>+O11/K11-1</f>
        <v>-7.2463768115942351E-3</v>
      </c>
      <c r="P35" s="30">
        <f t="shared" si="41"/>
        <v>-2.4896265560165998E-2</v>
      </c>
      <c r="Q35" s="30">
        <f t="shared" si="41"/>
        <v>-0.38297872340425532</v>
      </c>
      <c r="R35" s="30">
        <f t="shared" si="41"/>
        <v>-5.8823529411764719E-2</v>
      </c>
      <c r="S35" s="30">
        <f t="shared" si="41"/>
        <v>-0.25182481751824815</v>
      </c>
      <c r="T35" s="30">
        <f t="shared" si="41"/>
        <v>-0.12340425531914889</v>
      </c>
      <c r="U35" s="30">
        <f t="shared" si="41"/>
        <v>0.54022988505747116</v>
      </c>
      <c r="V35" s="30">
        <f t="shared" ref="V35:X36" si="42">+V11/R11-1</f>
        <v>0.58680555555555558</v>
      </c>
      <c r="W35" s="30">
        <f t="shared" si="42"/>
        <v>1.4634146341463428E-2</v>
      </c>
      <c r="X35" s="30">
        <f t="shared" si="42"/>
        <v>0.51941747572815533</v>
      </c>
      <c r="Z35" s="34" t="s">
        <v>81</v>
      </c>
      <c r="AA35" s="37">
        <f>+X39</f>
        <v>-2716</v>
      </c>
      <c r="AD35" s="29">
        <f t="shared" ref="AD35:AF35" si="43">+AD11/AC11-1</f>
        <v>7.1583514099783141E-2</v>
      </c>
      <c r="AE35" s="29">
        <f t="shared" si="43"/>
        <v>0.11842105263157898</v>
      </c>
      <c r="AF35" s="29">
        <f t="shared" si="43"/>
        <v>-0.12126696832579187</v>
      </c>
      <c r="AG35" s="29">
        <f>+AG11/AF11-1</f>
        <v>0.16992790937178159</v>
      </c>
    </row>
    <row r="36" spans="2:39" s="29" customFormat="1" x14ac:dyDescent="0.2">
      <c r="B36" s="30" t="s">
        <v>59</v>
      </c>
      <c r="C36" s="30"/>
      <c r="D36" s="30"/>
      <c r="E36" s="30"/>
      <c r="F36" s="30"/>
      <c r="G36" s="30">
        <f>+G12/C12-1</f>
        <v>0.10344827586206895</v>
      </c>
      <c r="H36" s="30">
        <f t="shared" ref="H36:N36" si="44">+H12/D12-1</f>
        <v>0.12666666666666671</v>
      </c>
      <c r="I36" s="30">
        <f t="shared" si="44"/>
        <v>6.9620253164556889E-2</v>
      </c>
      <c r="J36" s="30">
        <f t="shared" si="44"/>
        <v>0.12574850299401197</v>
      </c>
      <c r="K36" s="30">
        <f t="shared" si="44"/>
        <v>8.1250000000000044E-2</v>
      </c>
      <c r="L36" s="30">
        <f t="shared" si="44"/>
        <v>1.1834319526627279E-2</v>
      </c>
      <c r="M36" s="30">
        <f t="shared" si="44"/>
        <v>8.8757396449704151E-2</v>
      </c>
      <c r="N36" s="30">
        <f t="shared" si="44"/>
        <v>2.659574468085113E-2</v>
      </c>
      <c r="O36" s="30">
        <f>+O12/K12-1</f>
        <v>4.6242774566473965E-2</v>
      </c>
      <c r="P36" s="30">
        <f t="shared" ref="P36:U36" si="45">+P12/L12-1</f>
        <v>7.0175438596491224E-2</v>
      </c>
      <c r="Q36" s="30">
        <f t="shared" si="45"/>
        <v>-6.5217391304347783E-2</v>
      </c>
      <c r="R36" s="30">
        <f t="shared" si="45"/>
        <v>-1.0362694300518172E-2</v>
      </c>
      <c r="S36" s="30">
        <f t="shared" si="45"/>
        <v>-4.4198895027624308E-2</v>
      </c>
      <c r="T36" s="30">
        <f t="shared" si="45"/>
        <v>-2.1857923497267784E-2</v>
      </c>
      <c r="U36" s="30">
        <f t="shared" si="45"/>
        <v>8.1395348837209225E-2</v>
      </c>
      <c r="V36" s="30">
        <f t="shared" si="42"/>
        <v>5.2356020942407877E-3</v>
      </c>
      <c r="W36" s="30">
        <f t="shared" si="42"/>
        <v>9.8265895953757232E-2</v>
      </c>
      <c r="X36" s="30">
        <f t="shared" si="42"/>
        <v>-5.5865921787709993E-3</v>
      </c>
      <c r="Z36" s="34"/>
      <c r="AA36" s="37">
        <f>+AA34+AA35</f>
        <v>396122.40930561785</v>
      </c>
      <c r="AD36" s="29">
        <f t="shared" ref="AD36:AF36" si="46">+AD12/AC12-1</f>
        <v>0.1064516129032258</v>
      </c>
      <c r="AE36" s="29">
        <f t="shared" si="46"/>
        <v>5.1020408163265252E-2</v>
      </c>
      <c r="AF36" s="29">
        <f t="shared" si="46"/>
        <v>8.3217753120665705E-3</v>
      </c>
      <c r="AG36" s="29">
        <f>+AG12/AF12-1</f>
        <v>4.126547455295837E-3</v>
      </c>
    </row>
    <row r="37" spans="2:39" x14ac:dyDescent="0.2"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4" t="s">
        <v>64</v>
      </c>
      <c r="AA37" s="37">
        <f>+Main!N4</f>
        <v>1890.414573</v>
      </c>
      <c r="AD37" s="29"/>
      <c r="AE37" s="29"/>
      <c r="AF37" s="29"/>
      <c r="AG37" s="38"/>
    </row>
    <row r="38" spans="2:39" x14ac:dyDescent="0.2">
      <c r="Z38" s="34" t="s">
        <v>82</v>
      </c>
      <c r="AA38" s="39">
        <f>+AA36/AA37</f>
        <v>209.54261301371054</v>
      </c>
      <c r="AI38" s="29"/>
    </row>
    <row r="39" spans="2:39" s="25" customFormat="1" ht="15" x14ac:dyDescent="0.25">
      <c r="B39" s="25" t="s">
        <v>86</v>
      </c>
      <c r="R39" s="26">
        <f>+R40-R51</f>
        <v>-2897</v>
      </c>
      <c r="U39" s="26">
        <f>+U40-U51</f>
        <v>249</v>
      </c>
      <c r="V39" s="26">
        <f>+V40-V51</f>
        <v>134</v>
      </c>
      <c r="W39" s="26">
        <f>+W40-W51</f>
        <v>-1768</v>
      </c>
      <c r="X39" s="26">
        <f>+X40-X51</f>
        <v>-2716</v>
      </c>
      <c r="Y39" s="26"/>
      <c r="Z39" s="40"/>
      <c r="AA39" s="41">
        <v>178.24299999999999</v>
      </c>
      <c r="AE39" s="42"/>
      <c r="AG39" s="26">
        <f>+X39</f>
        <v>-2716</v>
      </c>
      <c r="AH39" s="26">
        <f>+AG22+AG39</f>
        <v>10402</v>
      </c>
      <c r="AI39" s="26">
        <f>+AH22+AH39</f>
        <v>26747.14112</v>
      </c>
      <c r="AJ39" s="26">
        <f>+AI22+AI39</f>
        <v>44634.594457600004</v>
      </c>
      <c r="AK39" s="26">
        <f t="shared" ref="AK39:AM39" si="47">+AJ22+AJ39</f>
        <v>64226.072529920006</v>
      </c>
      <c r="AL39" s="26">
        <f t="shared" si="47"/>
        <v>85662.028052070411</v>
      </c>
      <c r="AM39" s="26">
        <f t="shared" si="47"/>
        <v>109094.82452106939</v>
      </c>
    </row>
    <row r="40" spans="2:39" s="22" customFormat="1" x14ac:dyDescent="0.2">
      <c r="B40" s="22" t="s">
        <v>39</v>
      </c>
      <c r="R40" s="27">
        <f>16289+901+231+3752</f>
        <v>21173</v>
      </c>
      <c r="U40" s="27">
        <f>18034+894+1206+1111</f>
        <v>21245</v>
      </c>
      <c r="V40" s="27">
        <f>16487+894+2025+1705</f>
        <v>21111</v>
      </c>
      <c r="W40" s="27">
        <f>14720+1144+1201+2087</f>
        <v>19152</v>
      </c>
      <c r="X40" s="27">
        <f>14047+1483+3309+2240</f>
        <v>21079</v>
      </c>
      <c r="Y40" s="27"/>
      <c r="Z40" s="43"/>
      <c r="AA40" s="44"/>
      <c r="AB40" s="45"/>
    </row>
    <row r="41" spans="2:39" x14ac:dyDescent="0.2">
      <c r="B41" s="20" t="s">
        <v>65</v>
      </c>
      <c r="R41" s="24">
        <v>1264</v>
      </c>
      <c r="U41" s="24">
        <v>1663</v>
      </c>
      <c r="V41" s="24">
        <v>1758</v>
      </c>
      <c r="W41" s="24">
        <v>1788</v>
      </c>
      <c r="X41" s="24">
        <v>1860</v>
      </c>
      <c r="Y41" s="24"/>
      <c r="Z41" s="46"/>
      <c r="AA41" s="47">
        <f>+AA38/AA39-1</f>
        <v>0.1756007978642109</v>
      </c>
    </row>
    <row r="42" spans="2:39" x14ac:dyDescent="0.2">
      <c r="B42" s="20" t="s">
        <v>66</v>
      </c>
      <c r="R42" s="24">
        <v>1618</v>
      </c>
      <c r="U42" s="24">
        <v>1852</v>
      </c>
      <c r="V42" s="24">
        <v>1968</v>
      </c>
      <c r="W42" s="24">
        <v>2168</v>
      </c>
      <c r="X42" s="24">
        <v>2021</v>
      </c>
      <c r="Y42" s="24"/>
      <c r="Z42" s="24"/>
      <c r="AA42" s="24"/>
    </row>
    <row r="43" spans="2:39" x14ac:dyDescent="0.2">
      <c r="B43" s="20" t="s">
        <v>67</v>
      </c>
      <c r="R43" s="24">
        <v>1850</v>
      </c>
      <c r="U43" s="24">
        <v>2221</v>
      </c>
      <c r="V43" s="24">
        <v>2260</v>
      </c>
      <c r="W43" s="24">
        <v>2284</v>
      </c>
      <c r="X43" s="24">
        <v>2261</v>
      </c>
      <c r="Y43" s="24"/>
      <c r="Z43" s="24"/>
      <c r="AA43" s="24"/>
    </row>
    <row r="44" spans="2:39" x14ac:dyDescent="0.2">
      <c r="B44" s="20" t="s">
        <v>68</v>
      </c>
      <c r="R44" s="24">
        <v>1214</v>
      </c>
      <c r="U44" s="24">
        <v>1321</v>
      </c>
      <c r="V44" s="24">
        <v>1359</v>
      </c>
      <c r="W44" s="24">
        <v>1334</v>
      </c>
      <c r="X44" s="24">
        <v>1323</v>
      </c>
      <c r="Y44" s="24"/>
      <c r="Z44" s="24"/>
      <c r="AA44" s="24"/>
    </row>
    <row r="45" spans="2:39" x14ac:dyDescent="0.2">
      <c r="B45" s="20" t="s">
        <v>69</v>
      </c>
      <c r="R45" s="24">
        <v>757</v>
      </c>
      <c r="U45" s="24">
        <v>851</v>
      </c>
      <c r="V45" s="24">
        <v>856</v>
      </c>
      <c r="W45" s="24">
        <v>1267</v>
      </c>
      <c r="X45" s="24">
        <v>2667</v>
      </c>
      <c r="Y45" s="24"/>
      <c r="Z45" s="24"/>
      <c r="AA45" s="24"/>
    </row>
    <row r="46" spans="2:39" x14ac:dyDescent="0.2">
      <c r="B46" s="20" t="s">
        <v>70</v>
      </c>
      <c r="R46" s="24">
        <v>3175</v>
      </c>
      <c r="U46" s="24">
        <v>3219</v>
      </c>
      <c r="V46" s="24">
        <v>3245</v>
      </c>
      <c r="W46" s="24">
        <v>3290</v>
      </c>
      <c r="X46" s="24">
        <v>3321</v>
      </c>
      <c r="Y46" s="24"/>
      <c r="Z46" s="24"/>
      <c r="AA46" s="24"/>
    </row>
    <row r="47" spans="2:39" x14ac:dyDescent="0.2">
      <c r="B47" s="48" t="s">
        <v>71</v>
      </c>
      <c r="R47" s="24">
        <v>2737</v>
      </c>
      <c r="U47" s="24">
        <v>2707</v>
      </c>
      <c r="V47" s="24">
        <v>2715</v>
      </c>
      <c r="W47" s="24">
        <v>2908</v>
      </c>
      <c r="X47" s="24">
        <v>3146</v>
      </c>
      <c r="Y47" s="24"/>
      <c r="Z47" s="24"/>
      <c r="AA47" s="24"/>
    </row>
    <row r="48" spans="2:39" x14ac:dyDescent="0.2">
      <c r="B48" s="20" t="s">
        <v>46</v>
      </c>
      <c r="R48" s="24">
        <f>15910+27808+3413</f>
        <v>47131</v>
      </c>
      <c r="U48" s="24">
        <f>16021+28023+3548</f>
        <v>47592</v>
      </c>
      <c r="V48" s="24">
        <f>15958+27664+4002</f>
        <v>47624</v>
      </c>
      <c r="W48" s="24">
        <f>27272+3911</f>
        <v>31183</v>
      </c>
      <c r="X48" s="24">
        <f>17977+26093+3662</f>
        <v>47732</v>
      </c>
      <c r="Y48" s="24"/>
      <c r="Z48" s="24"/>
      <c r="AA48" s="24"/>
    </row>
    <row r="49" spans="2:27" ht="15" x14ac:dyDescent="0.25">
      <c r="B49" s="25" t="s">
        <v>72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6">
        <f>+SUM(R40:R48)</f>
        <v>80919</v>
      </c>
      <c r="S49" s="25"/>
      <c r="T49" s="25"/>
      <c r="U49" s="26">
        <f>+SUM(U40:U48)</f>
        <v>82671</v>
      </c>
      <c r="V49" s="26">
        <f>+SUM(V40:V48)</f>
        <v>82896</v>
      </c>
      <c r="W49" s="26">
        <f>+SUM(W40:W48)</f>
        <v>65374</v>
      </c>
      <c r="X49" s="26">
        <f>+SUM(X40:X48)</f>
        <v>85410</v>
      </c>
      <c r="Y49" s="26"/>
      <c r="Z49" s="26"/>
      <c r="AA49" s="26"/>
    </row>
    <row r="50" spans="2:27" x14ac:dyDescent="0.2">
      <c r="R50" s="24"/>
    </row>
    <row r="51" spans="2:27" s="22" customFormat="1" x14ac:dyDescent="0.2">
      <c r="B51" s="22" t="s">
        <v>40</v>
      </c>
      <c r="R51" s="27">
        <f>2999+21071</f>
        <v>24070</v>
      </c>
      <c r="U51" s="27">
        <v>20996</v>
      </c>
      <c r="V51" s="27">
        <f>999+19978</f>
        <v>20977</v>
      </c>
      <c r="W51" s="27">
        <f>3247+17673</f>
        <v>20920</v>
      </c>
      <c r="X51" s="27">
        <f>3249+20546</f>
        <v>23795</v>
      </c>
      <c r="Y51" s="27"/>
      <c r="Z51" s="27"/>
      <c r="AA51" s="27"/>
    </row>
    <row r="52" spans="2:27" x14ac:dyDescent="0.2">
      <c r="B52" s="20" t="s">
        <v>73</v>
      </c>
      <c r="R52" s="24">
        <v>174</v>
      </c>
      <c r="U52" s="24">
        <v>172</v>
      </c>
      <c r="V52" s="24">
        <v>2443</v>
      </c>
      <c r="W52" s="24">
        <v>252</v>
      </c>
      <c r="X52" s="24">
        <v>228</v>
      </c>
      <c r="Y52" s="24"/>
      <c r="Z52" s="24"/>
      <c r="AA52" s="24"/>
    </row>
    <row r="53" spans="2:27" x14ac:dyDescent="0.2">
      <c r="B53" s="20" t="s">
        <v>74</v>
      </c>
      <c r="R53" s="24">
        <v>1736</v>
      </c>
      <c r="U53" s="24">
        <v>2376</v>
      </c>
      <c r="V53" s="24">
        <v>2260</v>
      </c>
      <c r="W53" s="24">
        <v>2774</v>
      </c>
      <c r="X53" s="24">
        <v>3068</v>
      </c>
      <c r="Y53" s="24"/>
      <c r="Z53" s="24"/>
      <c r="AA53" s="24"/>
    </row>
    <row r="54" spans="2:27" x14ac:dyDescent="0.2">
      <c r="B54" s="20" t="s">
        <v>67</v>
      </c>
      <c r="R54" s="24">
        <v>1850</v>
      </c>
      <c r="U54" s="24">
        <v>2221</v>
      </c>
      <c r="V54" s="24">
        <v>1211</v>
      </c>
      <c r="W54" s="24">
        <v>2284</v>
      </c>
      <c r="X54" s="24">
        <v>2261</v>
      </c>
      <c r="Y54" s="24"/>
      <c r="Z54" s="24"/>
      <c r="AA54" s="24"/>
    </row>
    <row r="55" spans="2:27" x14ac:dyDescent="0.2">
      <c r="B55" s="49" t="s">
        <v>115</v>
      </c>
      <c r="R55" s="24">
        <v>821</v>
      </c>
      <c r="U55" s="24">
        <v>1044</v>
      </c>
      <c r="V55" s="24">
        <v>5243</v>
      </c>
      <c r="W55" s="24">
        <v>725</v>
      </c>
      <c r="X55" s="24">
        <v>1106</v>
      </c>
      <c r="Y55" s="24"/>
      <c r="Z55" s="24"/>
      <c r="AA55" s="24"/>
    </row>
    <row r="56" spans="2:27" x14ac:dyDescent="0.2">
      <c r="B56" s="20" t="s">
        <v>75</v>
      </c>
      <c r="R56" s="24">
        <v>4176</v>
      </c>
      <c r="U56" s="24">
        <v>5114</v>
      </c>
      <c r="V56" s="24">
        <v>2334</v>
      </c>
      <c r="W56" s="24">
        <v>5294</v>
      </c>
      <c r="X56" s="24">
        <v>5608</v>
      </c>
      <c r="Y56" s="24"/>
      <c r="Z56" s="24"/>
      <c r="AA56" s="24"/>
    </row>
    <row r="57" spans="2:27" x14ac:dyDescent="0.2">
      <c r="B57" s="20" t="s">
        <v>76</v>
      </c>
      <c r="R57" s="24">
        <v>1840</v>
      </c>
      <c r="U57" s="24">
        <v>2196</v>
      </c>
      <c r="V57" s="24">
        <v>999</v>
      </c>
      <c r="W57" s="24">
        <v>2965</v>
      </c>
      <c r="X57" s="24">
        <v>3303</v>
      </c>
      <c r="Y57" s="24"/>
      <c r="Z57" s="24"/>
      <c r="AA57" s="24"/>
    </row>
    <row r="58" spans="2:27" x14ac:dyDescent="0.2">
      <c r="B58" s="20" t="s">
        <v>77</v>
      </c>
      <c r="R58" s="24">
        <v>914</v>
      </c>
      <c r="U58" s="24">
        <v>900</v>
      </c>
      <c r="V58" s="24">
        <v>983</v>
      </c>
      <c r="W58" s="24">
        <v>1027</v>
      </c>
      <c r="X58" s="24">
        <v>1486</v>
      </c>
      <c r="Y58" s="24"/>
      <c r="Z58" s="24"/>
      <c r="AA58" s="24"/>
    </row>
    <row r="59" spans="2:27" x14ac:dyDescent="0.2">
      <c r="B59" s="20" t="s">
        <v>79</v>
      </c>
      <c r="R59" s="24">
        <v>5237</v>
      </c>
      <c r="U59" s="24">
        <v>6240</v>
      </c>
      <c r="V59" s="24">
        <v>6128</v>
      </c>
      <c r="W59" s="24">
        <v>6078</v>
      </c>
      <c r="X59" s="24">
        <v>5685</v>
      </c>
      <c r="Y59" s="24"/>
      <c r="Z59" s="24"/>
      <c r="AA59" s="24"/>
    </row>
    <row r="60" spans="2:27" x14ac:dyDescent="0.2">
      <c r="B60" s="20" t="s">
        <v>46</v>
      </c>
      <c r="R60" s="24">
        <v>3891</v>
      </c>
      <c r="U60" s="24">
        <v>3622</v>
      </c>
      <c r="V60" s="24">
        <v>3462</v>
      </c>
      <c r="W60" s="24">
        <v>3416</v>
      </c>
      <c r="X60" s="24">
        <v>3387</v>
      </c>
      <c r="Y60" s="24"/>
      <c r="Z60" s="24"/>
      <c r="AA60" s="24"/>
    </row>
    <row r="61" spans="2:27" ht="15" x14ac:dyDescent="0.25">
      <c r="B61" s="25" t="s">
        <v>78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>
        <f>+SUM(R51:R60)</f>
        <v>44709</v>
      </c>
      <c r="S61" s="25"/>
      <c r="T61" s="25"/>
      <c r="U61" s="26">
        <f>+SUM(U51:U60)</f>
        <v>44881</v>
      </c>
      <c r="V61" s="26">
        <f>+SUM(V51:V60)</f>
        <v>46040</v>
      </c>
      <c r="W61" s="26">
        <f>+SUM(W51:W60)</f>
        <v>45735</v>
      </c>
      <c r="X61" s="26">
        <f>+SUM(X51:X60)</f>
        <v>49927</v>
      </c>
      <c r="Y61" s="26"/>
      <c r="Z61" s="26"/>
      <c r="AA61" s="26"/>
    </row>
    <row r="62" spans="2:27" ht="15" x14ac:dyDescent="0.25">
      <c r="B62" s="25" t="s">
        <v>124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>
        <f t="shared" ref="R62" si="48">+R49-R61</f>
        <v>36210</v>
      </c>
      <c r="S62" s="25"/>
      <c r="T62" s="25"/>
      <c r="U62" s="26">
        <f t="shared" ref="U62:W62" si="49">+U49-U61</f>
        <v>37790</v>
      </c>
      <c r="V62" s="26">
        <f t="shared" si="49"/>
        <v>36856</v>
      </c>
      <c r="W62" s="26">
        <f t="shared" si="49"/>
        <v>19639</v>
      </c>
      <c r="X62" s="26">
        <f>+X49-X61</f>
        <v>35483</v>
      </c>
      <c r="Y62" s="26"/>
      <c r="Z62" s="26"/>
      <c r="AA62" s="26"/>
    </row>
    <row r="63" spans="2:27" x14ac:dyDescent="0.2">
      <c r="V63" s="24"/>
      <c r="W63" s="24"/>
      <c r="X63" s="24"/>
      <c r="Y63" s="24"/>
      <c r="Z63" s="24"/>
      <c r="AA63" s="24"/>
    </row>
    <row r="64" spans="2:27" x14ac:dyDescent="0.2">
      <c r="B64" s="50" t="s">
        <v>89</v>
      </c>
      <c r="C64" s="24">
        <f t="shared" ref="C64:U64" si="50">+C22</f>
        <v>2231</v>
      </c>
      <c r="D64" s="24">
        <f t="shared" si="50"/>
        <v>563</v>
      </c>
      <c r="E64" s="24">
        <f t="shared" si="50"/>
        <v>2191</v>
      </c>
      <c r="F64" s="24">
        <f t="shared" si="50"/>
        <v>2289</v>
      </c>
      <c r="G64" s="24">
        <f t="shared" si="50"/>
        <v>2667</v>
      </c>
      <c r="H64" s="24">
        <f t="shared" si="50"/>
        <v>2758</v>
      </c>
      <c r="I64" s="24">
        <f t="shared" si="50"/>
        <v>3081</v>
      </c>
      <c r="J64" s="24">
        <f t="shared" si="50"/>
        <v>3076</v>
      </c>
      <c r="K64" s="24">
        <f t="shared" si="50"/>
        <v>3143</v>
      </c>
      <c r="L64" s="24">
        <f t="shared" si="50"/>
        <v>3159</v>
      </c>
      <c r="M64" s="24">
        <f t="shared" si="50"/>
        <v>3267</v>
      </c>
      <c r="N64" s="24">
        <f t="shared" si="50"/>
        <v>3567</v>
      </c>
      <c r="O64" s="24">
        <f t="shared" si="50"/>
        <v>3454</v>
      </c>
      <c r="P64" s="24">
        <f t="shared" si="50"/>
        <v>3284</v>
      </c>
      <c r="Q64" s="24">
        <f t="shared" si="50"/>
        <v>2571</v>
      </c>
      <c r="R64" s="24">
        <f t="shared" si="50"/>
        <v>2335</v>
      </c>
      <c r="S64" s="24">
        <f t="shared" si="50"/>
        <v>3324</v>
      </c>
      <c r="T64" s="24">
        <f t="shared" si="50"/>
        <v>3230</v>
      </c>
      <c r="U64" s="24">
        <f t="shared" si="50"/>
        <v>2777</v>
      </c>
      <c r="V64" s="24">
        <f>+V22</f>
        <v>3787</v>
      </c>
      <c r="W64" s="24">
        <f>+W22</f>
        <v>4377</v>
      </c>
      <c r="X64" s="24">
        <f>+X22</f>
        <v>4358</v>
      </c>
      <c r="Y64" s="24"/>
      <c r="Z64" s="24"/>
      <c r="AA64" s="24"/>
    </row>
    <row r="65" spans="2:24" s="24" customFormat="1" x14ac:dyDescent="0.2">
      <c r="B65" s="51" t="s">
        <v>99</v>
      </c>
      <c r="S65" s="24">
        <v>3126</v>
      </c>
      <c r="V65" s="24">
        <v>12311</v>
      </c>
      <c r="W65" s="24">
        <v>3959</v>
      </c>
      <c r="X65" s="24">
        <v>11017</v>
      </c>
    </row>
    <row r="66" spans="2:24" s="24" customFormat="1" x14ac:dyDescent="0.2">
      <c r="B66" s="51" t="s">
        <v>70</v>
      </c>
      <c r="S66" s="24">
        <v>1858</v>
      </c>
      <c r="V66" s="24">
        <v>8367</v>
      </c>
      <c r="W66" s="24">
        <v>2371</v>
      </c>
      <c r="X66" s="24">
        <v>7435</v>
      </c>
    </row>
    <row r="67" spans="2:24" s="24" customFormat="1" x14ac:dyDescent="0.2">
      <c r="B67" s="51" t="s">
        <v>90</v>
      </c>
      <c r="S67" s="24">
        <v>122</v>
      </c>
      <c r="V67" s="24">
        <v>542</v>
      </c>
      <c r="W67" s="24">
        <v>128</v>
      </c>
      <c r="X67" s="24">
        <v>470</v>
      </c>
    </row>
    <row r="68" spans="2:24" s="24" customFormat="1" x14ac:dyDescent="0.2">
      <c r="B68" s="51" t="s">
        <v>91</v>
      </c>
      <c r="S68" s="24">
        <v>197</v>
      </c>
      <c r="V68" s="24">
        <v>804</v>
      </c>
      <c r="W68" s="24">
        <v>198</v>
      </c>
      <c r="X68" s="24">
        <v>635</v>
      </c>
    </row>
    <row r="69" spans="2:24" s="24" customFormat="1" x14ac:dyDescent="0.2">
      <c r="B69" s="51" t="s">
        <v>100</v>
      </c>
      <c r="S69" s="24">
        <v>5</v>
      </c>
      <c r="V69" s="24">
        <v>873</v>
      </c>
      <c r="W69" s="24">
        <v>-15</v>
      </c>
      <c r="X69" s="24">
        <v>-203</v>
      </c>
    </row>
    <row r="70" spans="2:24" s="24" customFormat="1" x14ac:dyDescent="0.2">
      <c r="B70" s="51" t="s">
        <v>92</v>
      </c>
      <c r="S70" s="24">
        <v>-10</v>
      </c>
      <c r="V70" s="24">
        <v>-147</v>
      </c>
      <c r="W70" s="24">
        <v>-7</v>
      </c>
      <c r="X70" s="24">
        <v>-31</v>
      </c>
    </row>
    <row r="71" spans="2:24" s="24" customFormat="1" x14ac:dyDescent="0.2">
      <c r="B71" s="51" t="s">
        <v>93</v>
      </c>
      <c r="S71" s="24">
        <v>-16</v>
      </c>
      <c r="V71" s="24">
        <v>-712</v>
      </c>
      <c r="W71" s="24">
        <v>-231</v>
      </c>
      <c r="X71" s="24">
        <v>142</v>
      </c>
    </row>
    <row r="72" spans="2:24" s="24" customFormat="1" x14ac:dyDescent="0.2">
      <c r="B72" s="51" t="s">
        <v>46</v>
      </c>
      <c r="S72" s="24">
        <v>41</v>
      </c>
      <c r="V72" s="24">
        <v>-109</v>
      </c>
      <c r="W72" s="24">
        <v>-32</v>
      </c>
      <c r="X72" s="24">
        <v>-71</v>
      </c>
    </row>
    <row r="73" spans="2:24" s="24" customFormat="1" x14ac:dyDescent="0.2">
      <c r="B73" s="51" t="s">
        <v>65</v>
      </c>
      <c r="S73" s="24">
        <v>-244</v>
      </c>
      <c r="V73" s="24">
        <v>-468</v>
      </c>
      <c r="W73" s="24">
        <v>-76</v>
      </c>
      <c r="X73" s="24">
        <v>-248</v>
      </c>
    </row>
    <row r="74" spans="2:24" s="24" customFormat="1" x14ac:dyDescent="0.2">
      <c r="B74" s="51" t="s">
        <v>66</v>
      </c>
      <c r="S74" s="24">
        <v>-108</v>
      </c>
      <c r="V74" s="24">
        <v>-343</v>
      </c>
      <c r="W74" s="24">
        <v>-213</v>
      </c>
      <c r="X74" s="24">
        <v>-80</v>
      </c>
    </row>
    <row r="75" spans="2:24" s="24" customFormat="1" x14ac:dyDescent="0.2">
      <c r="B75" s="51" t="s">
        <v>70</v>
      </c>
      <c r="S75" s="24">
        <v>-1485</v>
      </c>
      <c r="V75" s="24">
        <v>-7510</v>
      </c>
      <c r="W75" s="24">
        <v>-2339</v>
      </c>
      <c r="X75" s="24">
        <v>-7038</v>
      </c>
    </row>
    <row r="76" spans="2:24" s="24" customFormat="1" x14ac:dyDescent="0.2">
      <c r="B76" s="51" t="s">
        <v>94</v>
      </c>
      <c r="S76" s="24">
        <v>235</v>
      </c>
      <c r="V76" s="24">
        <v>-147</v>
      </c>
      <c r="W76" s="24">
        <v>-163</v>
      </c>
      <c r="X76" s="24">
        <v>-455</v>
      </c>
    </row>
    <row r="77" spans="2:24" s="24" customFormat="1" x14ac:dyDescent="0.2">
      <c r="B77" s="51" t="s">
        <v>95</v>
      </c>
      <c r="S77" s="24">
        <v>-39</v>
      </c>
      <c r="V77" s="24">
        <v>88</v>
      </c>
      <c r="W77" s="24">
        <v>-9</v>
      </c>
      <c r="X77" s="24">
        <v>-29</v>
      </c>
    </row>
    <row r="78" spans="2:24" s="24" customFormat="1" x14ac:dyDescent="0.2">
      <c r="B78" s="51" t="s">
        <v>96</v>
      </c>
      <c r="S78" s="24">
        <v>194</v>
      </c>
      <c r="V78" s="24">
        <v>679</v>
      </c>
      <c r="W78" s="24">
        <v>409</v>
      </c>
      <c r="X78" s="24">
        <v>886</v>
      </c>
    </row>
    <row r="79" spans="2:24" s="24" customFormat="1" x14ac:dyDescent="0.2">
      <c r="B79" s="51" t="s">
        <v>97</v>
      </c>
      <c r="S79" s="24">
        <v>-357</v>
      </c>
      <c r="V79" s="24">
        <v>929</v>
      </c>
      <c r="W79" s="24">
        <v>206</v>
      </c>
      <c r="X79" s="24">
        <v>37</v>
      </c>
    </row>
    <row r="80" spans="2:24" s="24" customFormat="1" x14ac:dyDescent="0.2">
      <c r="B80" s="51" t="s">
        <v>77</v>
      </c>
      <c r="S80" s="24">
        <v>-6</v>
      </c>
      <c r="V80" s="24">
        <v>70</v>
      </c>
      <c r="W80" s="24">
        <v>46</v>
      </c>
      <c r="X80" s="24">
        <v>506</v>
      </c>
    </row>
    <row r="81" spans="2:27" s="26" customFormat="1" ht="15" x14ac:dyDescent="0.25">
      <c r="B81" s="26" t="s">
        <v>98</v>
      </c>
      <c r="S81" s="26">
        <f>+SUM(S65:S80)</f>
        <v>3513</v>
      </c>
      <c r="V81" s="26">
        <f>+SUM(V65:V80)</f>
        <v>15227</v>
      </c>
      <c r="W81" s="26">
        <f>+SUM(W65:W80)</f>
        <v>4232</v>
      </c>
      <c r="X81" s="26">
        <f>+SUM(X65:X80)</f>
        <v>12973</v>
      </c>
    </row>
    <row r="82" spans="2:27" s="26" customFormat="1" ht="15" x14ac:dyDescent="0.25">
      <c r="B82" s="26" t="s">
        <v>121</v>
      </c>
      <c r="S82" s="26">
        <f t="shared" ref="S82" si="51">+S81-S84</f>
        <v>3673</v>
      </c>
      <c r="V82" s="26">
        <f t="shared" ref="V82:W82" si="52">+V81-V84</f>
        <v>15932</v>
      </c>
      <c r="W82" s="26">
        <f t="shared" si="52"/>
        <v>4405</v>
      </c>
      <c r="X82" s="26">
        <f>+X81-X84</f>
        <v>13648</v>
      </c>
    </row>
    <row r="83" spans="2:27" s="24" customFormat="1" x14ac:dyDescent="0.2">
      <c r="B83" s="51"/>
      <c r="X83" s="27"/>
    </row>
    <row r="84" spans="2:27" x14ac:dyDescent="0.2">
      <c r="B84" s="50" t="s">
        <v>101</v>
      </c>
      <c r="S84" s="24">
        <v>-160</v>
      </c>
      <c r="V84" s="24">
        <v>-705</v>
      </c>
      <c r="W84" s="24">
        <v>-173</v>
      </c>
      <c r="X84" s="24">
        <v>-675</v>
      </c>
      <c r="Y84" s="24"/>
      <c r="Z84" s="24"/>
      <c r="AA84" s="24"/>
    </row>
    <row r="85" spans="2:27" x14ac:dyDescent="0.2">
      <c r="B85" s="50" t="s">
        <v>102</v>
      </c>
      <c r="S85" s="24">
        <v>-1315</v>
      </c>
      <c r="V85" s="24">
        <v>-5111</v>
      </c>
      <c r="W85" s="24">
        <v>-951</v>
      </c>
      <c r="X85" s="24">
        <v>-4415</v>
      </c>
      <c r="Y85" s="24"/>
      <c r="Z85" s="24"/>
      <c r="AA85" s="24"/>
    </row>
    <row r="86" spans="2:27" x14ac:dyDescent="0.2">
      <c r="B86" s="50" t="s">
        <v>103</v>
      </c>
      <c r="S86" s="24">
        <v>2163</v>
      </c>
      <c r="V86" s="24">
        <v>5701</v>
      </c>
      <c r="W86" s="24">
        <v>1374</v>
      </c>
      <c r="X86" s="24">
        <v>2580</v>
      </c>
      <c r="Y86" s="24"/>
      <c r="Z86" s="24"/>
      <c r="AA86" s="24"/>
    </row>
    <row r="87" spans="2:27" x14ac:dyDescent="0.2">
      <c r="B87" s="50" t="s">
        <v>104</v>
      </c>
      <c r="S87" s="24">
        <v>-75</v>
      </c>
      <c r="V87" s="24">
        <v>-75</v>
      </c>
      <c r="W87" s="24">
        <v>-832</v>
      </c>
      <c r="X87" s="24">
        <v>-1945</v>
      </c>
      <c r="Y87" s="24"/>
      <c r="Z87" s="24"/>
      <c r="AA87" s="24"/>
    </row>
    <row r="88" spans="2:27" x14ac:dyDescent="0.2">
      <c r="B88" s="50" t="s">
        <v>105</v>
      </c>
      <c r="S88" s="24">
        <f>+-18+44</f>
        <v>26</v>
      </c>
      <c r="V88" s="24">
        <f>+-71+109</f>
        <v>38</v>
      </c>
      <c r="W88" s="24">
        <f>+-37+72</f>
        <v>35</v>
      </c>
      <c r="X88" s="24">
        <f>+-68+128</f>
        <v>60</v>
      </c>
      <c r="Y88" s="24"/>
      <c r="Z88" s="24"/>
      <c r="AA88" s="24"/>
    </row>
    <row r="89" spans="2:27" s="25" customFormat="1" ht="15" x14ac:dyDescent="0.25">
      <c r="B89" s="25" t="s">
        <v>106</v>
      </c>
      <c r="S89" s="26">
        <f>+SUM(S84:S88)</f>
        <v>639</v>
      </c>
      <c r="V89" s="26">
        <f>+SUM(V84:V88)</f>
        <v>-152</v>
      </c>
      <c r="W89" s="26">
        <f>+SUM(W84:W88)</f>
        <v>-547</v>
      </c>
      <c r="X89" s="26">
        <f>+SUM(X84:X88)</f>
        <v>-4395</v>
      </c>
      <c r="Y89" s="26"/>
      <c r="Z89" s="26"/>
      <c r="AA89" s="26"/>
    </row>
    <row r="90" spans="2:27" x14ac:dyDescent="0.2">
      <c r="S90" s="24"/>
      <c r="V90" s="24"/>
      <c r="W90" s="24"/>
      <c r="X90" s="24"/>
      <c r="Y90" s="24"/>
      <c r="Z90" s="24"/>
      <c r="AA90" s="24"/>
    </row>
    <row r="91" spans="2:27" x14ac:dyDescent="0.2">
      <c r="B91" s="50" t="s">
        <v>107</v>
      </c>
      <c r="S91" s="24">
        <v>-1796</v>
      </c>
      <c r="V91" s="24">
        <v>-8676</v>
      </c>
      <c r="W91" s="24">
        <v>-4104</v>
      </c>
      <c r="X91" s="24">
        <v>-9486</v>
      </c>
      <c r="Y91" s="24"/>
      <c r="Z91" s="24"/>
      <c r="AA91" s="24"/>
    </row>
    <row r="92" spans="2:27" x14ac:dyDescent="0.2">
      <c r="B92" s="50" t="s">
        <v>108</v>
      </c>
      <c r="S92" s="24">
        <v>-3000</v>
      </c>
      <c r="V92" s="24">
        <v>-3000</v>
      </c>
      <c r="W92" s="24"/>
      <c r="X92" s="24"/>
      <c r="Y92" s="24"/>
      <c r="Z92" s="24"/>
      <c r="AA92" s="24"/>
    </row>
    <row r="93" spans="2:27" x14ac:dyDescent="0.2">
      <c r="B93" s="50" t="s">
        <v>109</v>
      </c>
      <c r="S93" s="24">
        <v>-703</v>
      </c>
      <c r="V93" s="24">
        <v>-2798</v>
      </c>
      <c r="W93" s="24">
        <v>-809</v>
      </c>
      <c r="X93" s="24">
        <v>-2409</v>
      </c>
      <c r="Y93" s="24"/>
      <c r="Z93" s="24"/>
      <c r="AA93" s="24"/>
    </row>
    <row r="94" spans="2:27" x14ac:dyDescent="0.2">
      <c r="B94" s="22" t="s">
        <v>119</v>
      </c>
      <c r="S94" s="24"/>
      <c r="V94" s="24"/>
      <c r="W94" s="24"/>
      <c r="X94" s="24">
        <v>3218</v>
      </c>
      <c r="Y94" s="24"/>
      <c r="Z94" s="24"/>
      <c r="AA94" s="24"/>
    </row>
    <row r="95" spans="2:27" x14ac:dyDescent="0.2">
      <c r="B95" s="22" t="s">
        <v>120</v>
      </c>
      <c r="S95" s="24">
        <v>61</v>
      </c>
      <c r="V95" s="24">
        <v>208</v>
      </c>
      <c r="W95" s="24">
        <v>59</v>
      </c>
      <c r="X95" s="24">
        <v>153</v>
      </c>
      <c r="Y95" s="24"/>
      <c r="Z95" s="24"/>
      <c r="AA95" s="24"/>
    </row>
    <row r="96" spans="2:27" x14ac:dyDescent="0.2">
      <c r="B96" s="50" t="s">
        <v>111</v>
      </c>
      <c r="S96" s="24">
        <v>-134</v>
      </c>
      <c r="V96" s="24">
        <v>-144</v>
      </c>
      <c r="W96" s="24">
        <v>-113</v>
      </c>
      <c r="X96" s="24">
        <v>-117</v>
      </c>
      <c r="Y96" s="24"/>
      <c r="Z96" s="24"/>
      <c r="AA96" s="24"/>
    </row>
    <row r="97" spans="2:27" x14ac:dyDescent="0.2">
      <c r="B97" s="22" t="s">
        <v>46</v>
      </c>
      <c r="S97" s="24"/>
      <c r="V97" s="24"/>
      <c r="W97" s="24"/>
      <c r="X97" s="24">
        <v>-15</v>
      </c>
      <c r="Y97" s="24"/>
      <c r="Z97" s="24"/>
      <c r="AA97" s="24"/>
    </row>
    <row r="98" spans="2:27" s="25" customFormat="1" ht="15" x14ac:dyDescent="0.25">
      <c r="B98" s="25" t="s">
        <v>110</v>
      </c>
      <c r="S98" s="26">
        <f>+SUM(S91:S96)</f>
        <v>-5572</v>
      </c>
      <c r="V98" s="26">
        <f>+SUM(V91:V96)</f>
        <v>-14410</v>
      </c>
      <c r="W98" s="26">
        <f>+SUM(W91:W96)</f>
        <v>-4967</v>
      </c>
      <c r="X98" s="26">
        <f>+SUM(X91:X97)</f>
        <v>-8656</v>
      </c>
      <c r="Y98" s="26"/>
      <c r="Z98" s="26"/>
      <c r="AA98" s="26"/>
    </row>
    <row r="99" spans="2:27" s="25" customFormat="1" ht="15" x14ac:dyDescent="0.25">
      <c r="B99" s="25" t="s">
        <v>114</v>
      </c>
      <c r="S99" s="26">
        <f>+S98+S89+S81</f>
        <v>-1420</v>
      </c>
      <c r="V99" s="26">
        <f>+V98+V89+V81</f>
        <v>665</v>
      </c>
      <c r="W99" s="26">
        <f>+W98+W89+W81</f>
        <v>-1282</v>
      </c>
      <c r="X99" s="26">
        <f>+X98+X89+X81</f>
        <v>-78</v>
      </c>
    </row>
  </sheetData>
  <pageMargins left="0.7" right="0.7" top="0.75" bottom="0.75" header="0.3" footer="0.3"/>
  <pageSetup orientation="portrait" horizontalDpi="300" verticalDpi="300" r:id="rId1"/>
  <ignoredErrors>
    <ignoredError sqref="R11:R13 R14 R16:R24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69AB-FF24-4585-8D80-B77083340330}">
  <dimension ref="A1:N58"/>
  <sheetViews>
    <sheetView workbookViewId="0">
      <selection activeCell="P61" sqref="P61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2" bestFit="1" customWidth="1"/>
    <col min="8" max="8" width="14.5703125" bestFit="1" customWidth="1"/>
    <col min="10" max="10" width="12" bestFit="1" customWidth="1"/>
    <col min="11" max="11" width="13.42578125" bestFit="1" customWidth="1"/>
    <col min="12" max="12" width="12" bestFit="1" customWidth="1"/>
    <col min="13" max="13" width="12.7109375" bestFit="1" customWidth="1"/>
    <col min="14" max="14" width="12.5703125" bestFit="1" customWidth="1"/>
  </cols>
  <sheetData>
    <row r="1" spans="1:5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</row>
    <row r="2" spans="1:5" x14ac:dyDescent="0.25">
      <c r="A2" s="6">
        <v>42879</v>
      </c>
      <c r="B2" s="7">
        <v>4461</v>
      </c>
    </row>
    <row r="3" spans="1:5" x14ac:dyDescent="0.25">
      <c r="A3" s="6">
        <v>42969</v>
      </c>
      <c r="B3" s="7">
        <v>4477</v>
      </c>
    </row>
    <row r="4" spans="1:5" x14ac:dyDescent="0.25">
      <c r="A4" s="6">
        <v>43059</v>
      </c>
      <c r="B4" s="7">
        <v>4565</v>
      </c>
    </row>
    <row r="5" spans="1:5" x14ac:dyDescent="0.25">
      <c r="A5" s="6">
        <v>43149</v>
      </c>
      <c r="B5" s="7">
        <v>4855</v>
      </c>
    </row>
    <row r="6" spans="1:5" x14ac:dyDescent="0.25">
      <c r="A6" s="6">
        <v>43239</v>
      </c>
      <c r="B6" s="7">
        <v>4862</v>
      </c>
    </row>
    <row r="7" spans="1:5" x14ac:dyDescent="0.25">
      <c r="A7" s="6">
        <v>43329</v>
      </c>
      <c r="B7" s="7">
        <v>5073</v>
      </c>
    </row>
    <row r="8" spans="1:5" x14ac:dyDescent="0.25">
      <c r="A8" s="6">
        <v>43419</v>
      </c>
      <c r="B8" s="7">
        <v>5240</v>
      </c>
    </row>
    <row r="9" spans="1:5" x14ac:dyDescent="0.25">
      <c r="A9" s="6">
        <v>43509</v>
      </c>
      <c r="B9" s="7">
        <v>5434</v>
      </c>
    </row>
    <row r="10" spans="1:5" x14ac:dyDescent="0.25">
      <c r="A10" s="6">
        <v>43599</v>
      </c>
      <c r="B10" s="7">
        <v>5506</v>
      </c>
    </row>
    <row r="11" spans="1:5" x14ac:dyDescent="0.25">
      <c r="A11" s="6">
        <v>43689</v>
      </c>
      <c r="B11" s="7">
        <v>5494</v>
      </c>
    </row>
    <row r="12" spans="1:5" x14ac:dyDescent="0.25">
      <c r="A12" s="6">
        <v>43779</v>
      </c>
      <c r="B12" s="7">
        <v>5840</v>
      </c>
    </row>
    <row r="13" spans="1:5" x14ac:dyDescent="0.25">
      <c r="A13" s="6">
        <v>43869</v>
      </c>
      <c r="B13" s="7">
        <v>6137</v>
      </c>
    </row>
    <row r="14" spans="1:5" x14ac:dyDescent="0.25">
      <c r="A14" s="6">
        <v>43959</v>
      </c>
      <c r="B14" s="7">
        <v>6054</v>
      </c>
    </row>
    <row r="15" spans="1:5" x14ac:dyDescent="0.25">
      <c r="A15" s="6">
        <v>44049</v>
      </c>
      <c r="B15" s="7">
        <v>5854</v>
      </c>
    </row>
    <row r="16" spans="1:5" x14ac:dyDescent="0.25">
      <c r="A16" s="6">
        <v>44139</v>
      </c>
      <c r="B16" s="7">
        <v>4837</v>
      </c>
    </row>
    <row r="17" spans="1:5" x14ac:dyDescent="0.25">
      <c r="A17" s="6">
        <v>44229</v>
      </c>
      <c r="B17" s="7">
        <v>5101</v>
      </c>
    </row>
    <row r="18" spans="1:5" x14ac:dyDescent="0.25">
      <c r="A18" s="6">
        <v>44319</v>
      </c>
      <c r="B18" s="7">
        <v>5687</v>
      </c>
    </row>
    <row r="19" spans="1:5" x14ac:dyDescent="0.25">
      <c r="A19" s="6">
        <v>44409</v>
      </c>
      <c r="B19" s="7">
        <v>5729</v>
      </c>
    </row>
    <row r="20" spans="1:5" x14ac:dyDescent="0.25">
      <c r="A20" s="6">
        <v>44499</v>
      </c>
      <c r="B20" s="7">
        <v>6130</v>
      </c>
    </row>
    <row r="21" spans="1:5" x14ac:dyDescent="0.25">
      <c r="A21" s="6">
        <v>44589</v>
      </c>
      <c r="B21" s="7">
        <v>6559</v>
      </c>
    </row>
    <row r="22" spans="1:5" x14ac:dyDescent="0.25">
      <c r="A22" s="6">
        <v>44679</v>
      </c>
      <c r="B22" s="7">
        <v>7059</v>
      </c>
    </row>
    <row r="23" spans="1:5" x14ac:dyDescent="0.25">
      <c r="A23" s="6">
        <v>44769</v>
      </c>
      <c r="B23" s="7">
        <v>7275</v>
      </c>
      <c r="C23" s="7">
        <v>7275</v>
      </c>
      <c r="D23" s="7">
        <v>7275</v>
      </c>
      <c r="E23" s="7">
        <v>7275</v>
      </c>
    </row>
    <row r="24" spans="1:5" x14ac:dyDescent="0.25">
      <c r="A24" s="6">
        <v>44859</v>
      </c>
      <c r="C24" s="7">
        <f>_xlfn.FORECAST.ETS(A24,$B$2:$B$23,$A$2:$A$23,1,1)</f>
        <v>7447.1234484682172</v>
      </c>
      <c r="D24" s="7">
        <f>C24-_xlfn.FORECAST.ETS.CONFINT(A24,$B$2:$B$23,$A$2:$A$23,0.95,1,1)</f>
        <v>6806.9716234104772</v>
      </c>
      <c r="E24" s="7">
        <f>C24+_xlfn.FORECAST.ETS.CONFINT(A24,$B$2:$B$23,$A$2:$A$23,0.95,1,1)</f>
        <v>8087.2752735259573</v>
      </c>
    </row>
    <row r="25" spans="1:5" x14ac:dyDescent="0.25">
      <c r="A25" s="6">
        <v>44949</v>
      </c>
      <c r="C25" s="7">
        <f>_xlfn.FORECAST.ETS(A25,$B$2:$B$23,$A$2:$A$23,1,1)</f>
        <v>7619.3457152512183</v>
      </c>
      <c r="D25" s="7">
        <f>C25-_xlfn.FORECAST.ETS.CONFINT(A25,$B$2:$B$23,$A$2:$A$23,0.95,1,1)</f>
        <v>6669.1117550894496</v>
      </c>
      <c r="E25" s="7">
        <f>C25+_xlfn.FORECAST.ETS.CONFINT(A25,$B$2:$B$23,$A$2:$A$23,0.95,1,1)</f>
        <v>8569.579675412986</v>
      </c>
    </row>
    <row r="26" spans="1:5" x14ac:dyDescent="0.25">
      <c r="A26" s="6">
        <v>45039</v>
      </c>
      <c r="C26" s="7">
        <f>_xlfn.FORECAST.ETS(A26,$B$2:$B$23,$A$2:$A$23,1,1)</f>
        <v>7791.5679820342193</v>
      </c>
      <c r="D26" s="7">
        <f>C26-_xlfn.FORECAST.ETS.CONFINT(A26,$B$2:$B$23,$A$2:$A$23,0.95,1,1)</f>
        <v>6571.2725313147994</v>
      </c>
      <c r="E26" s="7">
        <f>C26+_xlfn.FORECAST.ETS.CONFINT(A26,$B$2:$B$23,$A$2:$A$23,0.95,1,1)</f>
        <v>9011.8634327536402</v>
      </c>
    </row>
    <row r="27" spans="1:5" x14ac:dyDescent="0.25">
      <c r="A27" s="6">
        <v>45129</v>
      </c>
      <c r="C27" s="7">
        <f>_xlfn.FORECAST.ETS(A27,$B$2:$B$23,$A$2:$A$23,1,1)</f>
        <v>7963.7902488172203</v>
      </c>
      <c r="D27" s="7">
        <f>C27-_xlfn.FORECAST.ETS.CONFINT(A27,$B$2:$B$23,$A$2:$A$23,0.95,1,1)</f>
        <v>6488.5423468842246</v>
      </c>
      <c r="E27" s="7">
        <f>C27+_xlfn.FORECAST.ETS.CONFINT(A27,$B$2:$B$23,$A$2:$A$23,0.95,1,1)</f>
        <v>9439.038150750217</v>
      </c>
    </row>
    <row r="28" spans="1:5" x14ac:dyDescent="0.25">
      <c r="A28" s="6">
        <v>45219</v>
      </c>
      <c r="C28" s="7">
        <f>_xlfn.FORECAST.ETS(A28,$B$2:$B$23,$A$2:$A$23,1,1)</f>
        <v>8136.0125156002214</v>
      </c>
      <c r="D28" s="7">
        <f>C28-_xlfn.FORECAST.ETS.CONFINT(A28,$B$2:$B$23,$A$2:$A$23,0.95,1,1)</f>
        <v>6411.8653283201274</v>
      </c>
      <c r="E28" s="7">
        <f>C28+_xlfn.FORECAST.ETS.CONFINT(A28,$B$2:$B$23,$A$2:$A$23,0.95,1,1)</f>
        <v>9860.1597028803153</v>
      </c>
    </row>
    <row r="29" spans="1:5" x14ac:dyDescent="0.25">
      <c r="A29" s="6">
        <v>45309</v>
      </c>
      <c r="C29" s="7">
        <f>_xlfn.FORECAST.ETS(A29,$B$2:$B$23,$A$2:$A$23,1,1)</f>
        <v>8308.2347823832224</v>
      </c>
      <c r="D29" s="7">
        <f>C29-_xlfn.FORECAST.ETS.CONFINT(A29,$B$2:$B$23,$A$2:$A$23,0.95,1,1)</f>
        <v>6336.9064916567559</v>
      </c>
      <c r="E29" s="7">
        <f>C29+_xlfn.FORECAST.ETS.CONFINT(A29,$B$2:$B$23,$A$2:$A$23,0.95,1,1)</f>
        <v>10279.56307310969</v>
      </c>
    </row>
    <row r="38" spans="3:7" ht="15.75" thickBot="1" x14ac:dyDescent="0.3"/>
    <row r="39" spans="3:7" x14ac:dyDescent="0.25">
      <c r="C39" s="16" t="s">
        <v>132</v>
      </c>
      <c r="D39" s="17" t="s">
        <v>133</v>
      </c>
    </row>
    <row r="40" spans="3:7" ht="15.75" thickBot="1" x14ac:dyDescent="0.3">
      <c r="C40" s="18" t="s">
        <v>131</v>
      </c>
      <c r="D40" s="19" t="s">
        <v>134</v>
      </c>
    </row>
    <row r="41" spans="3:7" x14ac:dyDescent="0.25">
      <c r="C41" s="12">
        <v>8.9890159157139715E-2</v>
      </c>
      <c r="D41" s="13">
        <v>5.1676336405847456E-2</v>
      </c>
      <c r="F41" s="11" t="s">
        <v>135</v>
      </c>
      <c r="G41" s="11"/>
    </row>
    <row r="42" spans="3:7" x14ac:dyDescent="0.25">
      <c r="C42" s="12">
        <v>0.13312486039758764</v>
      </c>
      <c r="D42" s="13">
        <v>6.0527704922444414E-2</v>
      </c>
      <c r="F42" s="8" t="s">
        <v>136</v>
      </c>
      <c r="G42" s="8">
        <v>0.50489801885125463</v>
      </c>
    </row>
    <row r="43" spans="3:7" x14ac:dyDescent="0.25">
      <c r="C43" s="12">
        <v>0.14786418400876222</v>
      </c>
      <c r="D43" s="13">
        <v>5.6261888256030179E-2</v>
      </c>
      <c r="F43" s="8" t="s">
        <v>137</v>
      </c>
      <c r="G43" s="8">
        <v>0.25492200943992188</v>
      </c>
    </row>
    <row r="44" spans="3:7" x14ac:dyDescent="0.25">
      <c r="C44" s="12">
        <v>0.11925849639546859</v>
      </c>
      <c r="D44" s="13">
        <v>4.6791813997560272E-2</v>
      </c>
      <c r="F44" s="8" t="s">
        <v>138</v>
      </c>
      <c r="G44" s="8">
        <v>0.20835463502991702</v>
      </c>
    </row>
    <row r="45" spans="3:7" x14ac:dyDescent="0.25">
      <c r="C45" s="12">
        <v>0.13245577951460308</v>
      </c>
      <c r="D45" s="13">
        <v>4.2587723139067224E-2</v>
      </c>
      <c r="F45" s="8" t="s">
        <v>139</v>
      </c>
      <c r="G45" s="8">
        <v>0.1192389649685001</v>
      </c>
    </row>
    <row r="46" spans="3:7" ht="15.75" thickBot="1" x14ac:dyDescent="0.3">
      <c r="C46" s="12">
        <v>8.2988369800906847E-2</v>
      </c>
      <c r="D46" s="13">
        <v>3.8881362012975318E-2</v>
      </c>
      <c r="F46" s="9" t="s">
        <v>140</v>
      </c>
      <c r="G46" s="9">
        <v>18</v>
      </c>
    </row>
    <row r="47" spans="3:7" x14ac:dyDescent="0.25">
      <c r="C47" s="12">
        <v>0.11450381679389321</v>
      </c>
      <c r="D47" s="13">
        <v>4.094611663178771E-2</v>
      </c>
    </row>
    <row r="48" spans="3:7" ht="15.75" thickBot="1" x14ac:dyDescent="0.3">
      <c r="C48" s="12">
        <v>0.12937062937062938</v>
      </c>
      <c r="D48" s="13">
        <v>4.2335042574888959E-2</v>
      </c>
      <c r="F48" t="s">
        <v>141</v>
      </c>
    </row>
    <row r="49" spans="3:14" x14ac:dyDescent="0.25">
      <c r="C49" s="12">
        <v>9.9527787867780493E-2</v>
      </c>
      <c r="D49" s="13">
        <v>2.2844745429048574E-2</v>
      </c>
      <c r="F49" s="10"/>
      <c r="G49" s="10" t="s">
        <v>146</v>
      </c>
      <c r="H49" s="10" t="s">
        <v>147</v>
      </c>
      <c r="I49" s="10" t="s">
        <v>148</v>
      </c>
      <c r="J49" s="10" t="s">
        <v>149</v>
      </c>
      <c r="K49" s="10" t="s">
        <v>150</v>
      </c>
    </row>
    <row r="50" spans="3:14" x14ac:dyDescent="0.25">
      <c r="C50" s="12">
        <v>6.5526028394612412E-2</v>
      </c>
      <c r="D50" s="13">
        <v>-8.5105039778727964E-2</v>
      </c>
      <c r="F50" s="8" t="s">
        <v>142</v>
      </c>
      <c r="G50" s="8">
        <v>1</v>
      </c>
      <c r="H50" s="8">
        <v>7.7832678502081004E-2</v>
      </c>
      <c r="I50" s="8">
        <v>7.7832678502081004E-2</v>
      </c>
      <c r="J50" s="8">
        <v>5.4742620272177636</v>
      </c>
      <c r="K50" s="8">
        <v>3.2591854644682103E-2</v>
      </c>
    </row>
    <row r="51" spans="3:14" x14ac:dyDescent="0.25">
      <c r="C51" s="12">
        <v>-0.17174657534246573</v>
      </c>
      <c r="D51" s="13">
        <v>-1.7039655685846644E-2</v>
      </c>
      <c r="F51" s="8" t="s">
        <v>143</v>
      </c>
      <c r="G51" s="8">
        <v>16</v>
      </c>
      <c r="H51" s="8">
        <v>0.22748689226814714</v>
      </c>
      <c r="I51" s="8">
        <v>1.4217930766759196E-2</v>
      </c>
      <c r="J51" s="8"/>
      <c r="K51" s="8"/>
    </row>
    <row r="52" spans="3:14" ht="15.75" thickBot="1" x14ac:dyDescent="0.3">
      <c r="C52" s="12">
        <v>-0.16881212318722505</v>
      </c>
      <c r="D52" s="13">
        <v>-9.9961474031754483E-3</v>
      </c>
      <c r="F52" s="9" t="s">
        <v>144</v>
      </c>
      <c r="G52" s="9">
        <v>17</v>
      </c>
      <c r="H52" s="9">
        <v>0.30531957077022814</v>
      </c>
      <c r="I52" s="9"/>
      <c r="J52" s="9"/>
      <c r="K52" s="9"/>
    </row>
    <row r="53" spans="3:14" ht="15.75" thickBot="1" x14ac:dyDescent="0.3">
      <c r="C53" s="12">
        <v>-6.0621076973901511E-2</v>
      </c>
      <c r="D53" s="13">
        <v>2.5922884702821669E-2</v>
      </c>
    </row>
    <row r="54" spans="3:14" x14ac:dyDescent="0.25">
      <c r="C54" s="12">
        <v>-2.1352921079603737E-2</v>
      </c>
      <c r="D54" s="13">
        <v>0.16755355579510334</v>
      </c>
      <c r="F54" s="10"/>
      <c r="G54" s="10" t="s">
        <v>151</v>
      </c>
      <c r="H54" s="10" t="s">
        <v>139</v>
      </c>
      <c r="I54" s="10" t="s">
        <v>152</v>
      </c>
      <c r="J54" s="10" t="s">
        <v>153</v>
      </c>
      <c r="K54" s="10" t="s">
        <v>154</v>
      </c>
      <c r="L54" s="10" t="s">
        <v>155</v>
      </c>
      <c r="M54" s="10" t="s">
        <v>156</v>
      </c>
      <c r="N54" s="10" t="s">
        <v>157</v>
      </c>
    </row>
    <row r="55" spans="3:14" x14ac:dyDescent="0.25">
      <c r="C55" s="12">
        <v>0.26731445110605745</v>
      </c>
      <c r="D55" s="13">
        <v>9.7630521339802767E-2</v>
      </c>
      <c r="F55" s="8" t="s">
        <v>145</v>
      </c>
      <c r="G55" s="8">
        <v>3.7503992562164738E-2</v>
      </c>
      <c r="H55" s="8">
        <v>3.8064594123538797E-2</v>
      </c>
      <c r="I55" s="8">
        <v>0.98527236203925816</v>
      </c>
      <c r="J55" s="8">
        <v>0.33915617960276911</v>
      </c>
      <c r="K55" s="8">
        <v>-4.3189342233031398E-2</v>
      </c>
      <c r="L55" s="8">
        <v>0.11819732735736088</v>
      </c>
      <c r="M55" s="8">
        <v>-4.3189342233031398E-2</v>
      </c>
      <c r="N55" s="8">
        <v>0.11819732735736088</v>
      </c>
    </row>
    <row r="56" spans="3:14" ht="15.75" thickBot="1" x14ac:dyDescent="0.3">
      <c r="C56" s="12">
        <v>0.28582630856694768</v>
      </c>
      <c r="D56" s="13">
        <v>0.11757451264217322</v>
      </c>
      <c r="F56" s="9" t="s">
        <v>158</v>
      </c>
      <c r="G56" s="9">
        <v>1.2010850548068273</v>
      </c>
      <c r="H56" s="9">
        <v>0.5133469339144946</v>
      </c>
      <c r="I56" s="9">
        <v>2.3397140909131902</v>
      </c>
      <c r="J56" s="9">
        <v>3.2591854644682242E-2</v>
      </c>
      <c r="K56" s="9">
        <v>0.11283816926250667</v>
      </c>
      <c r="L56" s="9">
        <v>2.2893319403511478</v>
      </c>
      <c r="M56" s="9">
        <v>0.11283816926250667</v>
      </c>
      <c r="N56" s="9">
        <v>2.2893319403511478</v>
      </c>
    </row>
    <row r="57" spans="3:14" x14ac:dyDescent="0.25">
      <c r="C57" s="12">
        <v>0.24125197819588529</v>
      </c>
      <c r="D57" s="13">
        <v>0.10656520175444251</v>
      </c>
    </row>
    <row r="58" spans="3:14" x14ac:dyDescent="0.25">
      <c r="C58" s="14">
        <v>0.26985512305812542</v>
      </c>
      <c r="D58" s="15">
        <v>9.4188683951279328E-2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2021-11-13T12:20:09Z</dcterms:created>
  <dcterms:modified xsi:type="dcterms:W3CDTF">2022-10-25T22:56:57Z</dcterms:modified>
</cp:coreProperties>
</file>