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 Case\Documents\xl\"/>
    </mc:Choice>
  </mc:AlternateContent>
  <xr:revisionPtr revIDLastSave="0" documentId="13_ncr:1_{058FFF44-0655-4EBA-9D9A-B2E2014E5324}" xr6:coauthVersionLast="47" xr6:coauthVersionMax="47" xr10:uidLastSave="{00000000-0000-0000-0000-000000000000}"/>
  <bookViews>
    <workbookView xWindow="-120" yWindow="-120" windowWidth="29040" windowHeight="16440" activeTab="1" xr2:uid="{9A0EA9E2-DB3F-4F3B-B952-2CCE9559331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5" i="2" l="1"/>
  <c r="AB20" i="2"/>
  <c r="AB7" i="2"/>
  <c r="AB6" i="2"/>
  <c r="D6" i="1"/>
  <c r="D5" i="1"/>
  <c r="R4" i="2" l="1"/>
  <c r="U3" i="2"/>
  <c r="T3" i="2"/>
  <c r="S3" i="2"/>
  <c r="R3" i="2"/>
  <c r="Q31" i="2"/>
  <c r="P31" i="2"/>
  <c r="O31" i="2"/>
  <c r="N31" i="2"/>
  <c r="M31" i="2"/>
  <c r="L31" i="2"/>
  <c r="K31" i="2"/>
  <c r="J31" i="2"/>
  <c r="I31" i="2"/>
  <c r="H31" i="2"/>
  <c r="G31" i="2"/>
  <c r="P30" i="2"/>
  <c r="O30" i="2"/>
  <c r="N30" i="2"/>
  <c r="M30" i="2"/>
  <c r="L30" i="2"/>
  <c r="K30" i="2"/>
  <c r="J30" i="2"/>
  <c r="I30" i="2"/>
  <c r="H30" i="2"/>
  <c r="G30" i="2"/>
  <c r="Q30" i="2"/>
  <c r="Y20" i="2"/>
  <c r="Y17" i="2"/>
  <c r="Y15" i="2"/>
  <c r="Y12" i="2"/>
  <c r="Y11" i="2"/>
  <c r="Y10" i="2"/>
  <c r="Y7" i="2"/>
  <c r="Y6" i="2"/>
  <c r="Y4" i="2"/>
  <c r="Y3" i="2"/>
  <c r="Z20" i="2"/>
  <c r="Z17" i="2"/>
  <c r="Z15" i="2"/>
  <c r="Z12" i="2"/>
  <c r="Z11" i="2"/>
  <c r="Z10" i="2"/>
  <c r="Z7" i="2"/>
  <c r="Z6" i="2"/>
  <c r="Z4" i="2"/>
  <c r="Z3" i="2"/>
  <c r="AA20" i="2"/>
  <c r="AA17" i="2"/>
  <c r="AA15" i="2"/>
  <c r="AA12" i="2"/>
  <c r="AA11" i="2"/>
  <c r="AA10" i="2"/>
  <c r="AA7" i="2"/>
  <c r="AA6" i="2"/>
  <c r="AA4" i="2"/>
  <c r="AA3" i="2"/>
  <c r="F13" i="2"/>
  <c r="F8" i="2"/>
  <c r="F5" i="2"/>
  <c r="C13" i="2"/>
  <c r="C8" i="2"/>
  <c r="C5" i="2"/>
  <c r="G13" i="2"/>
  <c r="G8" i="2"/>
  <c r="G5" i="2"/>
  <c r="G9" i="2" s="1"/>
  <c r="G22" i="2" s="1"/>
  <c r="D13" i="2"/>
  <c r="D8" i="2"/>
  <c r="D5" i="2"/>
  <c r="H13" i="2"/>
  <c r="H8" i="2"/>
  <c r="H5" i="2"/>
  <c r="E13" i="2"/>
  <c r="E8" i="2"/>
  <c r="E5" i="2"/>
  <c r="I13" i="2"/>
  <c r="I8" i="2"/>
  <c r="I5" i="2"/>
  <c r="J13" i="2"/>
  <c r="J8" i="2"/>
  <c r="J5" i="2"/>
  <c r="N13" i="2"/>
  <c r="N8" i="2"/>
  <c r="N5" i="2"/>
  <c r="N32" i="2" s="1"/>
  <c r="K13" i="2"/>
  <c r="K8" i="2"/>
  <c r="K5" i="2"/>
  <c r="O13" i="2"/>
  <c r="O8" i="2"/>
  <c r="O5" i="2"/>
  <c r="L13" i="2"/>
  <c r="L8" i="2"/>
  <c r="L5" i="2"/>
  <c r="P13" i="2"/>
  <c r="P8" i="2"/>
  <c r="P5" i="2"/>
  <c r="Q90" i="2"/>
  <c r="Q83" i="2"/>
  <c r="Q72" i="2"/>
  <c r="Q51" i="2"/>
  <c r="Q55" i="2" s="1"/>
  <c r="Q42" i="2"/>
  <c r="Q35" i="2"/>
  <c r="M13" i="2"/>
  <c r="M8" i="2"/>
  <c r="M5" i="2"/>
  <c r="Q13" i="2"/>
  <c r="Q8" i="2"/>
  <c r="Q5" i="2"/>
  <c r="Z2" i="2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L10" i="1"/>
  <c r="L9" i="1"/>
  <c r="L7" i="1"/>
  <c r="L8" i="1" s="1"/>
  <c r="L11" i="1" s="1"/>
  <c r="G26" i="2" l="1"/>
  <c r="G27" i="2"/>
  <c r="G28" i="2"/>
  <c r="R5" i="2"/>
  <c r="R9" i="2" s="1"/>
  <c r="AB3" i="2"/>
  <c r="AB8" i="2"/>
  <c r="S4" i="2"/>
  <c r="S5" i="2" s="1"/>
  <c r="AB4" i="2"/>
  <c r="C9" i="2"/>
  <c r="Y13" i="2"/>
  <c r="L32" i="2"/>
  <c r="J32" i="2"/>
  <c r="Z8" i="2"/>
  <c r="V3" i="2"/>
  <c r="AC3" i="2" s="1"/>
  <c r="AD3" i="2" s="1"/>
  <c r="H32" i="2"/>
  <c r="K32" i="2"/>
  <c r="AA8" i="2"/>
  <c r="Y8" i="2"/>
  <c r="Y5" i="2"/>
  <c r="AA13" i="2"/>
  <c r="I32" i="2"/>
  <c r="AA5" i="2"/>
  <c r="Z13" i="2"/>
  <c r="M32" i="2"/>
  <c r="G32" i="2"/>
  <c r="Z5" i="2"/>
  <c r="E9" i="2"/>
  <c r="O32" i="2"/>
  <c r="F9" i="2"/>
  <c r="C14" i="2"/>
  <c r="G14" i="2"/>
  <c r="D9" i="2"/>
  <c r="H9" i="2"/>
  <c r="I9" i="2"/>
  <c r="Q91" i="2"/>
  <c r="P32" i="2"/>
  <c r="Q34" i="2"/>
  <c r="R15" i="2" s="1"/>
  <c r="AB15" i="2" s="1"/>
  <c r="J9" i="2"/>
  <c r="N9" i="2"/>
  <c r="K9" i="2"/>
  <c r="O9" i="2"/>
  <c r="L9" i="2"/>
  <c r="P9" i="2"/>
  <c r="Q44" i="2"/>
  <c r="Q32" i="2"/>
  <c r="M9" i="2"/>
  <c r="Q9" i="2"/>
  <c r="T4" i="2" l="1"/>
  <c r="AE3" i="2"/>
  <c r="Q26" i="2"/>
  <c r="Q28" i="2"/>
  <c r="Q27" i="2"/>
  <c r="N28" i="2"/>
  <c r="N26" i="2"/>
  <c r="N27" i="2"/>
  <c r="P28" i="2"/>
  <c r="P27" i="2"/>
  <c r="P26" i="2"/>
  <c r="E22" i="2"/>
  <c r="E27" i="2"/>
  <c r="E28" i="2"/>
  <c r="E26" i="2"/>
  <c r="S9" i="2"/>
  <c r="C22" i="2"/>
  <c r="C26" i="2"/>
  <c r="C27" i="2"/>
  <c r="C28" i="2"/>
  <c r="M27" i="2"/>
  <c r="M28" i="2"/>
  <c r="M26" i="2"/>
  <c r="AB5" i="2"/>
  <c r="AB32" i="2" s="1"/>
  <c r="J28" i="2"/>
  <c r="J26" i="2"/>
  <c r="J27" i="2"/>
  <c r="I27" i="2"/>
  <c r="I28" i="2"/>
  <c r="I26" i="2"/>
  <c r="AB9" i="2"/>
  <c r="O26" i="2"/>
  <c r="O28" i="2"/>
  <c r="O27" i="2"/>
  <c r="F28" i="2"/>
  <c r="F26" i="2"/>
  <c r="F27" i="2"/>
  <c r="R22" i="2"/>
  <c r="R11" i="2"/>
  <c r="R10" i="2"/>
  <c r="R12" i="2"/>
  <c r="L26" i="2"/>
  <c r="L27" i="2"/>
  <c r="L28" i="2"/>
  <c r="H27" i="2"/>
  <c r="H28" i="2"/>
  <c r="H26" i="2"/>
  <c r="K26" i="2"/>
  <c r="K27" i="2"/>
  <c r="K28" i="2"/>
  <c r="D27" i="2"/>
  <c r="D28" i="2"/>
  <c r="D26" i="2"/>
  <c r="U4" i="2"/>
  <c r="T5" i="2"/>
  <c r="T9" i="2" s="1"/>
  <c r="E14" i="2"/>
  <c r="E16" i="2" s="1"/>
  <c r="Z32" i="2"/>
  <c r="G16" i="2"/>
  <c r="G24" i="2" s="1"/>
  <c r="G23" i="2"/>
  <c r="AA9" i="2"/>
  <c r="Z9" i="2"/>
  <c r="C16" i="2"/>
  <c r="C24" i="2" s="1"/>
  <c r="C23" i="2"/>
  <c r="Y9" i="2"/>
  <c r="AA32" i="2"/>
  <c r="I14" i="2"/>
  <c r="I22" i="2"/>
  <c r="H14" i="2"/>
  <c r="H22" i="2"/>
  <c r="D14" i="2"/>
  <c r="D22" i="2"/>
  <c r="F14" i="2"/>
  <c r="F22" i="2"/>
  <c r="K14" i="2"/>
  <c r="K22" i="2"/>
  <c r="P14" i="2"/>
  <c r="P22" i="2"/>
  <c r="O14" i="2"/>
  <c r="O22" i="2"/>
  <c r="N14" i="2"/>
  <c r="N22" i="2"/>
  <c r="L14" i="2"/>
  <c r="L22" i="2"/>
  <c r="J14" i="2"/>
  <c r="J22" i="2"/>
  <c r="Q22" i="2"/>
  <c r="Q14" i="2"/>
  <c r="M14" i="2"/>
  <c r="M22" i="2"/>
  <c r="AA22" i="2" l="1"/>
  <c r="AA26" i="2"/>
  <c r="AA28" i="2"/>
  <c r="AA27" i="2"/>
  <c r="T22" i="2"/>
  <c r="T10" i="2"/>
  <c r="T12" i="2"/>
  <c r="T28" i="2" s="1"/>
  <c r="T11" i="2"/>
  <c r="T27" i="2" s="1"/>
  <c r="AB12" i="2"/>
  <c r="AB28" i="2" s="1"/>
  <c r="R28" i="2"/>
  <c r="S22" i="2"/>
  <c r="S12" i="2"/>
  <c r="S11" i="2"/>
  <c r="S10" i="2"/>
  <c r="Y22" i="2"/>
  <c r="Y26" i="2"/>
  <c r="Y28" i="2"/>
  <c r="Y27" i="2"/>
  <c r="R26" i="2"/>
  <c r="AB10" i="2"/>
  <c r="AB26" i="2" s="1"/>
  <c r="R13" i="2"/>
  <c r="Z22" i="2"/>
  <c r="Z28" i="2"/>
  <c r="Z27" i="2"/>
  <c r="Z26" i="2"/>
  <c r="R27" i="2"/>
  <c r="AB11" i="2"/>
  <c r="AB27" i="2" s="1"/>
  <c r="AB22" i="2"/>
  <c r="AF3" i="2"/>
  <c r="E18" i="2"/>
  <c r="E19" i="2" s="1"/>
  <c r="E24" i="2"/>
  <c r="V4" i="2"/>
  <c r="V5" i="2" s="1"/>
  <c r="V9" i="2" s="1"/>
  <c r="U5" i="2"/>
  <c r="U9" i="2" s="1"/>
  <c r="AC9" i="2" s="1"/>
  <c r="Y14" i="2"/>
  <c r="Y23" i="2" s="1"/>
  <c r="E23" i="2"/>
  <c r="H16" i="2"/>
  <c r="H23" i="2"/>
  <c r="L16" i="2"/>
  <c r="L23" i="2"/>
  <c r="P16" i="2"/>
  <c r="P23" i="2"/>
  <c r="M16" i="2"/>
  <c r="M23" i="2"/>
  <c r="F16" i="2"/>
  <c r="F23" i="2"/>
  <c r="Z14" i="2"/>
  <c r="Z23" i="2" s="1"/>
  <c r="J16" i="2"/>
  <c r="J23" i="2"/>
  <c r="I16" i="2"/>
  <c r="I23" i="2"/>
  <c r="C18" i="2"/>
  <c r="K16" i="2"/>
  <c r="K24" i="2" s="1"/>
  <c r="K23" i="2"/>
  <c r="AA14" i="2"/>
  <c r="AA23" i="2" s="1"/>
  <c r="N16" i="2"/>
  <c r="N23" i="2"/>
  <c r="Q16" i="2"/>
  <c r="Q23" i="2"/>
  <c r="O16" i="2"/>
  <c r="O23" i="2"/>
  <c r="D16" i="2"/>
  <c r="D23" i="2"/>
  <c r="G18" i="2"/>
  <c r="S27" i="2" l="1"/>
  <c r="S28" i="2"/>
  <c r="U12" i="2"/>
  <c r="U28" i="2" s="1"/>
  <c r="U22" i="2"/>
  <c r="U11" i="2"/>
  <c r="U27" i="2" s="1"/>
  <c r="U10" i="2"/>
  <c r="AC10" i="2" s="1"/>
  <c r="AC26" i="2" s="1"/>
  <c r="T13" i="2"/>
  <c r="T14" i="2" s="1"/>
  <c r="T26" i="2"/>
  <c r="AG3" i="2"/>
  <c r="V11" i="2"/>
  <c r="V27" i="2" s="1"/>
  <c r="V10" i="2"/>
  <c r="V12" i="2"/>
  <c r="V28" i="2" s="1"/>
  <c r="V22" i="2"/>
  <c r="AC5" i="2"/>
  <c r="AC22" i="2" s="1"/>
  <c r="R14" i="2"/>
  <c r="AB13" i="2"/>
  <c r="S13" i="2"/>
  <c r="S26" i="2"/>
  <c r="AC4" i="2"/>
  <c r="AD4" i="2" s="1"/>
  <c r="H18" i="2"/>
  <c r="H19" i="2" s="1"/>
  <c r="H24" i="2"/>
  <c r="D18" i="2"/>
  <c r="D19" i="2" s="1"/>
  <c r="D24" i="2"/>
  <c r="O18" i="2"/>
  <c r="O24" i="2"/>
  <c r="M18" i="2"/>
  <c r="M19" i="2" s="1"/>
  <c r="M24" i="2"/>
  <c r="Q18" i="2"/>
  <c r="Q24" i="2"/>
  <c r="P18" i="2"/>
  <c r="P19" i="2" s="1"/>
  <c r="P24" i="2"/>
  <c r="N18" i="2"/>
  <c r="N19" i="2" s="1"/>
  <c r="N24" i="2"/>
  <c r="J18" i="2"/>
  <c r="J19" i="2" s="1"/>
  <c r="J24" i="2"/>
  <c r="F18" i="2"/>
  <c r="F19" i="2" s="1"/>
  <c r="F24" i="2"/>
  <c r="I18" i="2"/>
  <c r="I19" i="2" s="1"/>
  <c r="I24" i="2"/>
  <c r="L18" i="2"/>
  <c r="L19" i="2" s="1"/>
  <c r="L24" i="2"/>
  <c r="Z16" i="2"/>
  <c r="Z24" i="2" s="1"/>
  <c r="G19" i="2"/>
  <c r="C19" i="2"/>
  <c r="K18" i="2"/>
  <c r="AA16" i="2"/>
  <c r="AA24" i="2" s="1"/>
  <c r="Y16" i="2"/>
  <c r="Y24" i="2" s="1"/>
  <c r="AE4" i="2" l="1"/>
  <c r="AD5" i="2"/>
  <c r="AD9" i="2" s="1"/>
  <c r="O19" i="2"/>
  <c r="R16" i="2"/>
  <c r="AB14" i="2"/>
  <c r="AB23" i="2" s="1"/>
  <c r="AC12" i="2"/>
  <c r="AC28" i="2" s="1"/>
  <c r="V13" i="2"/>
  <c r="V14" i="2" s="1"/>
  <c r="V26" i="2"/>
  <c r="AH3" i="2"/>
  <c r="AC11" i="2"/>
  <c r="AC27" i="2" s="1"/>
  <c r="U13" i="2"/>
  <c r="U14" i="2" s="1"/>
  <c r="U26" i="2"/>
  <c r="S14" i="2"/>
  <c r="Y18" i="2"/>
  <c r="Y19" i="2" s="1"/>
  <c r="Z18" i="2"/>
  <c r="Z19" i="2" s="1"/>
  <c r="Q57" i="2"/>
  <c r="Q19" i="2"/>
  <c r="K19" i="2"/>
  <c r="AA18" i="2"/>
  <c r="AA19" i="2" s="1"/>
  <c r="AC14" i="2" l="1"/>
  <c r="AC13" i="2"/>
  <c r="AB16" i="2"/>
  <c r="R17" i="2"/>
  <c r="AB17" i="2" s="1"/>
  <c r="AB24" i="2" s="1"/>
  <c r="AI3" i="2"/>
  <c r="AD11" i="2"/>
  <c r="AD27" i="2" s="1"/>
  <c r="AD12" i="2"/>
  <c r="AD28" i="2" s="1"/>
  <c r="AD22" i="2"/>
  <c r="AD10" i="2"/>
  <c r="AF4" i="2"/>
  <c r="AE5" i="2"/>
  <c r="AE9" i="2" s="1"/>
  <c r="AE12" i="2" l="1"/>
  <c r="AE28" i="2" s="1"/>
  <c r="AE22" i="2"/>
  <c r="AE10" i="2"/>
  <c r="AE11" i="2"/>
  <c r="AE27" i="2" s="1"/>
  <c r="AG4" i="2"/>
  <c r="AF5" i="2"/>
  <c r="AF9" i="2" s="1"/>
  <c r="AJ3" i="2"/>
  <c r="R18" i="2"/>
  <c r="AD26" i="2"/>
  <c r="AD13" i="2"/>
  <c r="AD14" i="2" s="1"/>
  <c r="AD16" i="2" s="1"/>
  <c r="AD17" i="2" s="1"/>
  <c r="AD18" i="2" s="1"/>
  <c r="AF12" i="2" l="1"/>
  <c r="AF28" i="2" s="1"/>
  <c r="AF22" i="2"/>
  <c r="AF10" i="2"/>
  <c r="AF11" i="2"/>
  <c r="AF27" i="2" s="1"/>
  <c r="AH4" i="2"/>
  <c r="AG5" i="2"/>
  <c r="AG9" i="2" s="1"/>
  <c r="AE13" i="2"/>
  <c r="AE14" i="2" s="1"/>
  <c r="AE26" i="2"/>
  <c r="AD34" i="2"/>
  <c r="AD19" i="2"/>
  <c r="R19" i="2"/>
  <c r="R34" i="2"/>
  <c r="S15" i="2" s="1"/>
  <c r="S16" i="2" s="1"/>
  <c r="AB18" i="2"/>
  <c r="AB19" i="2" s="1"/>
  <c r="AG12" i="2" l="1"/>
  <c r="AG28" i="2" s="1"/>
  <c r="AG11" i="2"/>
  <c r="AG27" i="2" s="1"/>
  <c r="AG22" i="2"/>
  <c r="AG10" i="2"/>
  <c r="S17" i="2"/>
  <c r="S18" i="2"/>
  <c r="S19" i="2" s="1"/>
  <c r="AI4" i="2"/>
  <c r="AH5" i="2"/>
  <c r="AH9" i="2" s="1"/>
  <c r="AF26" i="2"/>
  <c r="AF13" i="2"/>
  <c r="AF14" i="2" s="1"/>
  <c r="AE15" i="2"/>
  <c r="AE16" i="2" s="1"/>
  <c r="AE17" i="2" s="1"/>
  <c r="AE18" i="2" s="1"/>
  <c r="AE19" i="2" s="1"/>
  <c r="AJ4" i="2" l="1"/>
  <c r="AJ5" i="2" s="1"/>
  <c r="AJ9" i="2" s="1"/>
  <c r="AI5" i="2"/>
  <c r="AI9" i="2" s="1"/>
  <c r="S34" i="2"/>
  <c r="T15" i="2" s="1"/>
  <c r="T16" i="2" s="1"/>
  <c r="AE34" i="2"/>
  <c r="AF15" i="2" s="1"/>
  <c r="AF16" i="2" s="1"/>
  <c r="AF17" i="2" s="1"/>
  <c r="AF18" i="2" s="1"/>
  <c r="AG26" i="2"/>
  <c r="AG13" i="2"/>
  <c r="AG14" i="2" s="1"/>
  <c r="AH12" i="2"/>
  <c r="AH28" i="2" s="1"/>
  <c r="AH22" i="2"/>
  <c r="AH10" i="2"/>
  <c r="AH11" i="2"/>
  <c r="AH27" i="2" s="1"/>
  <c r="AF34" i="2" l="1"/>
  <c r="AF19" i="2"/>
  <c r="AI10" i="2"/>
  <c r="AI12" i="2"/>
  <c r="AI28" i="2" s="1"/>
  <c r="AI22" i="2"/>
  <c r="AI11" i="2"/>
  <c r="AI27" i="2" s="1"/>
  <c r="AH26" i="2"/>
  <c r="AH13" i="2"/>
  <c r="AH14" i="2" s="1"/>
  <c r="AJ12" i="2"/>
  <c r="AJ28" i="2" s="1"/>
  <c r="AJ22" i="2"/>
  <c r="AJ10" i="2"/>
  <c r="AJ11" i="2"/>
  <c r="AJ27" i="2" s="1"/>
  <c r="T17" i="2"/>
  <c r="AJ13" i="2" l="1"/>
  <c r="AJ14" i="2" s="1"/>
  <c r="AJ26" i="2"/>
  <c r="AI26" i="2"/>
  <c r="AI13" i="2"/>
  <c r="AI14" i="2" s="1"/>
  <c r="AG15" i="2"/>
  <c r="AG16" i="2" s="1"/>
  <c r="T18" i="2"/>
  <c r="AG17" i="2" l="1"/>
  <c r="AG18" i="2" s="1"/>
  <c r="T19" i="2"/>
  <c r="T34" i="2"/>
  <c r="AG19" i="2" l="1"/>
  <c r="AG34" i="2"/>
  <c r="U15" i="2"/>
  <c r="AH15" i="2" l="1"/>
  <c r="AH16" i="2" s="1"/>
  <c r="U16" i="2"/>
  <c r="AH17" i="2" l="1"/>
  <c r="AH18" i="2"/>
  <c r="U17" i="2"/>
  <c r="AH19" i="2" l="1"/>
  <c r="AH34" i="2"/>
  <c r="U18" i="2"/>
  <c r="AI15" i="2" l="1"/>
  <c r="AI16" i="2" s="1"/>
  <c r="AI17" i="2" s="1"/>
  <c r="AI18" i="2" s="1"/>
  <c r="AI19" i="2" s="1"/>
  <c r="U19" i="2"/>
  <c r="U34" i="2"/>
  <c r="AI34" i="2" l="1"/>
  <c r="V15" i="2"/>
  <c r="AJ15" i="2" l="1"/>
  <c r="AJ16" i="2" s="1"/>
  <c r="AJ17" i="2" s="1"/>
  <c r="AJ18" i="2" s="1"/>
  <c r="AJ34" i="2"/>
  <c r="V16" i="2"/>
  <c r="AC15" i="2"/>
  <c r="AK18" i="2" l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AJ19" i="2"/>
  <c r="V17" i="2"/>
  <c r="AC16" i="2"/>
  <c r="V18" i="2" l="1"/>
  <c r="AC17" i="2"/>
  <c r="AC24" i="2" s="1"/>
  <c r="V19" i="2" l="1"/>
  <c r="AC18" i="2"/>
  <c r="V34" i="2"/>
  <c r="AC19" i="2" l="1"/>
  <c r="X37" i="2"/>
  <c r="X38" i="2" s="1"/>
  <c r="X39" i="2" s="1"/>
  <c r="X41" i="2" s="1"/>
</calcChain>
</file>

<file path=xl/sharedStrings.xml><?xml version="1.0" encoding="utf-8"?>
<sst xmlns="http://schemas.openxmlformats.org/spreadsheetml/2006/main" count="129" uniqueCount="111">
  <si>
    <t>Price</t>
  </si>
  <si>
    <t>Shares</t>
  </si>
  <si>
    <t>EV</t>
  </si>
  <si>
    <t>Cash</t>
  </si>
  <si>
    <t>Debt</t>
  </si>
  <si>
    <t>MC</t>
  </si>
  <si>
    <t>Q321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</si>
  <si>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</si>
  <si>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</si>
  <si>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</si>
  <si>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</si>
  <si>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</si>
  <si>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</si>
  <si>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</si>
  <si>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</si>
  <si>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</si>
  <si>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</si>
  <si>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Q421</t>
  </si>
  <si>
    <t>Q122</t>
  </si>
  <si>
    <t>Q222</t>
  </si>
  <si>
    <t>Q322</t>
  </si>
  <si>
    <t>Q422</t>
  </si>
  <si>
    <t>Main</t>
  </si>
  <si>
    <t>Subscription Service</t>
  </si>
  <si>
    <t>Professional Service</t>
  </si>
  <si>
    <t>Revenue</t>
  </si>
  <si>
    <t>Cost of Subscription</t>
  </si>
  <si>
    <t xml:space="preserve">Cost of Professional 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</si>
  <si>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</si>
  <si>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</si>
  <si>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</si>
  <si>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</si>
  <si>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</si>
  <si>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</si>
  <si>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</si>
  <si>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Other Income</t>
  </si>
  <si>
    <t>Pretax Income</t>
  </si>
  <si>
    <t>Taxes</t>
  </si>
  <si>
    <t>Net Income</t>
  </si>
  <si>
    <t>EPS</t>
  </si>
  <si>
    <t>Gross Margins %</t>
  </si>
  <si>
    <t>Revenue Growth Y/Y</t>
  </si>
  <si>
    <t>A/R</t>
  </si>
  <si>
    <t>D/T</t>
  </si>
  <si>
    <t>Prepaids</t>
  </si>
  <si>
    <t>PP&amp;E</t>
  </si>
  <si>
    <t>Operating Lease</t>
  </si>
  <si>
    <t>NC D/T</t>
  </si>
  <si>
    <t>Intangibles</t>
  </si>
  <si>
    <t>OA</t>
  </si>
  <si>
    <t>Total Assets</t>
  </si>
  <si>
    <t>A/P</t>
  </si>
  <si>
    <t>A/E</t>
  </si>
  <si>
    <t>A/C</t>
  </si>
  <si>
    <t>Unearned Revenue</t>
  </si>
  <si>
    <t>NC Unearned Revenue</t>
  </si>
  <si>
    <t>NC Operating Lease</t>
  </si>
  <si>
    <t>OL</t>
  </si>
  <si>
    <t>Total Liabilties</t>
  </si>
  <si>
    <t>Net Cash</t>
  </si>
  <si>
    <t>Model NI</t>
  </si>
  <si>
    <t>Reported NI</t>
  </si>
  <si>
    <t>D/A</t>
  </si>
  <si>
    <t>SBC</t>
  </si>
  <si>
    <t>Debt &amp; Issurance</t>
  </si>
  <si>
    <t>NC Lease</t>
  </si>
  <si>
    <t>Investments (Gains)</t>
  </si>
  <si>
    <t>Other</t>
  </si>
  <si>
    <t>CFFO</t>
  </si>
  <si>
    <t>Borrowings</t>
  </si>
  <si>
    <t>Payment of Notes</t>
  </si>
  <si>
    <t>Payment on Term Loans</t>
  </si>
  <si>
    <t>Employee Stock</t>
  </si>
  <si>
    <t>CFFI</t>
  </si>
  <si>
    <t>Purchase of Securities</t>
  </si>
  <si>
    <t>Maturity of Securities</t>
  </si>
  <si>
    <t>Sale of Securities</t>
  </si>
  <si>
    <t>Owned real estate</t>
  </si>
  <si>
    <t>CapEx</t>
  </si>
  <si>
    <t>Business Combinations</t>
  </si>
  <si>
    <t>Purchase of non-marketable equity</t>
  </si>
  <si>
    <t>Maturity of non-marketable equity</t>
  </si>
  <si>
    <t>CFFF</t>
  </si>
  <si>
    <t>CF</t>
  </si>
  <si>
    <t>Q118</t>
  </si>
  <si>
    <t>Q218</t>
  </si>
  <si>
    <t>Q318</t>
  </si>
  <si>
    <t>Q418</t>
  </si>
  <si>
    <t>Operating Margins %</t>
  </si>
  <si>
    <t>Tax Rate %</t>
  </si>
  <si>
    <t>Subscription Y/Y</t>
  </si>
  <si>
    <t>Professional Y/Y</t>
  </si>
  <si>
    <t>R&amp;D Margins</t>
  </si>
  <si>
    <t>S&amp;M Margins</t>
  </si>
  <si>
    <t>G&amp;A Margins</t>
  </si>
  <si>
    <t>ROIC</t>
  </si>
  <si>
    <t>Maturity</t>
  </si>
  <si>
    <t>Discount</t>
  </si>
  <si>
    <t>NPV</t>
  </si>
  <si>
    <t>cash</t>
  </si>
  <si>
    <t>per share</t>
  </si>
  <si>
    <t>curr share</t>
  </si>
  <si>
    <t>yield</t>
  </si>
  <si>
    <t>Name</t>
  </si>
  <si>
    <t>Description</t>
  </si>
  <si>
    <t>% of Revenue</t>
  </si>
  <si>
    <t>Competitors</t>
  </si>
  <si>
    <t>Provided Data, optimization services, and Training</t>
  </si>
  <si>
    <t>Cloud Applications &amp; Services</t>
  </si>
  <si>
    <t>ORCL, MSFT, IBM, BABA, CSCO</t>
  </si>
  <si>
    <t>CRM, MSFT, GOOGL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</si>
</sst>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#,##0.0000000000"/>
  </numFmts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2" fillId="0" borderId="0" xfId="1"/>
    <xf numFmtId="4" fontId="0" fillId="0" borderId="0" xfId="0" applyNumberFormat="1"/>
    <xf numFmtId="0" fontId="1" fillId="0" borderId="0" xfId="0" applyFont="1"/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  <xf numFmtId="9" fontId="0" fillId="0" borderId="0" xfId="0" applyNumberFormat="1" applyFont="1"/>
    <xf numFmtId="0" fontId="0" fillId="0" borderId="0" xfId="0" applyFont="1"/>
    <xf numFmtId="0" fontId="0" fillId="0" borderId="1" xfId="0" applyBorder="1"/>
    <xf numFmtId="0" fontId="0" fillId="0" borderId="0" xfId="0" applyBorder="1"/>
    <xf numFmtId="9" fontId="0" fillId="0" borderId="0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0" fontId="0" fillId="0" borderId="0" xfId="0" applyNumberFormat="1"/>
    <xf numFmtId="8" fontId="0" fillId="0" borderId="0" xfId="0" applyNumberForma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Model!$C$26:$R$26</c:f>
              <c:numCache>
                <c:formatCode>0%</c:formatCode>
                <c:ptCount val="16"/>
                <c:pt idx="0">
                  <c:v>0.5981410209861302</c:v>
                </c:pt>
                <c:pt idx="1">
                  <c:v>0.62109482703768892</c:v>
                </c:pt>
                <c:pt idx="2">
                  <c:v>0.61132321391496902</c:v>
                </c:pt>
                <c:pt idx="3">
                  <c:v>0.6080684111880047</c:v>
                </c:pt>
                <c:pt idx="4">
                  <c:v>0.59781622312816673</c:v>
                </c:pt>
                <c:pt idx="5">
                  <c:v>0.60848253510519501</c:v>
                </c:pt>
                <c:pt idx="6">
                  <c:v>0.60215837043032527</c:v>
                </c:pt>
                <c:pt idx="7">
                  <c:v>0.61055147760598327</c:v>
                </c:pt>
                <c:pt idx="8">
                  <c:v>0.62221099816907632</c:v>
                </c:pt>
                <c:pt idx="9">
                  <c:v>0.53836490118170477</c:v>
                </c:pt>
                <c:pt idx="10">
                  <c:v>0.51797345515855742</c:v>
                </c:pt>
                <c:pt idx="11">
                  <c:v>0.53637129873937262</c:v>
                </c:pt>
                <c:pt idx="12">
                  <c:v>0.52449701893156597</c:v>
                </c:pt>
                <c:pt idx="13">
                  <c:v>0.48560513313803511</c:v>
                </c:pt>
                <c:pt idx="14">
                  <c:v>0.47090091458845579</c:v>
                </c:pt>
                <c:pt idx="15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F-4209-A117-4399AB58E6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Model!$C$27:$R$27</c:f>
              <c:numCache>
                <c:formatCode>0%</c:formatCode>
                <c:ptCount val="16"/>
                <c:pt idx="0">
                  <c:v>0.43744780698569452</c:v>
                </c:pt>
                <c:pt idx="1">
                  <c:v>0.42941313707607798</c:v>
                </c:pt>
                <c:pt idx="2">
                  <c:v>0.47320584096518942</c:v>
                </c:pt>
                <c:pt idx="3">
                  <c:v>0.45046496539792397</c:v>
                </c:pt>
                <c:pt idx="4">
                  <c:v>0.46909438398449044</c:v>
                </c:pt>
                <c:pt idx="5">
                  <c:v>0.4509042222787239</c:v>
                </c:pt>
                <c:pt idx="6">
                  <c:v>0.42986645082962371</c:v>
                </c:pt>
                <c:pt idx="7">
                  <c:v>0.44339458934180159</c:v>
                </c:pt>
                <c:pt idx="8">
                  <c:v>0.44693758724947563</c:v>
                </c:pt>
                <c:pt idx="9">
                  <c:v>0.35553626766449353</c:v>
                </c:pt>
                <c:pt idx="10">
                  <c:v>0.37355432244791736</c:v>
                </c:pt>
                <c:pt idx="11">
                  <c:v>0.40951944688752079</c:v>
                </c:pt>
                <c:pt idx="12">
                  <c:v>0.38776930568422052</c:v>
                </c:pt>
                <c:pt idx="13">
                  <c:v>0.39149687377027681</c:v>
                </c:pt>
                <c:pt idx="14">
                  <c:v>0.37861316184670579</c:v>
                </c:pt>
                <c:pt idx="15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F-4209-A117-4399AB58E6A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Model!$C$28:$R$28</c:f>
              <c:numCache>
                <c:formatCode>0%</c:formatCode>
                <c:ptCount val="16"/>
                <c:pt idx="0">
                  <c:v>0.12612782296129549</c:v>
                </c:pt>
                <c:pt idx="1">
                  <c:v>0.13821714140278693</c:v>
                </c:pt>
                <c:pt idx="2">
                  <c:v>0.26679585073088952</c:v>
                </c:pt>
                <c:pt idx="3">
                  <c:v>0.15823961937716266</c:v>
                </c:pt>
                <c:pt idx="4">
                  <c:v>0.14515258595205521</c:v>
                </c:pt>
                <c:pt idx="5">
                  <c:v>0.13773820520165173</c:v>
                </c:pt>
                <c:pt idx="6">
                  <c:v>0.1332254148118171</c:v>
                </c:pt>
                <c:pt idx="7">
                  <c:v>0.15732208860430008</c:v>
                </c:pt>
                <c:pt idx="8">
                  <c:v>0.13352554524345675</c:v>
                </c:pt>
                <c:pt idx="9">
                  <c:v>0.12764211961064176</c:v>
                </c:pt>
                <c:pt idx="10">
                  <c:v>0.12583453690833138</c:v>
                </c:pt>
                <c:pt idx="11">
                  <c:v>0.14366143848333823</c:v>
                </c:pt>
                <c:pt idx="12">
                  <c:v>0.13323713152331407</c:v>
                </c:pt>
                <c:pt idx="13">
                  <c:v>0.12412225088540074</c:v>
                </c:pt>
                <c:pt idx="14">
                  <c:v>0.12573756716783507</c:v>
                </c:pt>
                <c:pt idx="15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1F-4209-A117-4399AB58E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246576"/>
        <c:axId val="1741247824"/>
      </c:lineChart>
      <c:catAx>
        <c:axId val="174124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47824"/>
        <c:crosses val="autoZero"/>
        <c:auto val="1"/>
        <c:lblAlgn val="ctr"/>
        <c:lblOffset val="100"/>
        <c:noMultiLvlLbl val="0"/>
      </c:catAx>
      <c:valAx>
        <c:axId val="17412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0</xdr:row>
      <xdr:rowOff>28575</xdr:rowOff>
    </xdr:from>
    <xdr:to>
      <xdr:col>17</xdr:col>
      <xdr:colOff>19050</xdr:colOff>
      <xdr:row>48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810F420-B9EF-421E-9D60-9769F75DC0EA}"/>
            </a:ext>
          </a:extLst>
        </xdr:cNvPr>
        <xdr:cNvCxnSpPr/>
      </xdr:nvCxnSpPr>
      <xdr:spPr>
        <a:xfrm>
          <a:off x="12563475" y="28575"/>
          <a:ext cx="0" cy="774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28575</xdr:colOff>
      <xdr:row>0</xdr:row>
      <xdr:rowOff>57150</xdr:rowOff>
    </xdr:from>
    <xdr:to>
      <xdr:col>27</xdr:col>
      <xdr:colOff>28575</xdr:colOff>
      <xdr:row>46</xdr:row>
      <xdr:rowOff>104775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EB6CA57-1065-4F09-8213-BC4FB54C3A10}"/>
            </a:ext>
          </a:extLst>
        </xdr:cNvPr>
        <xdr:cNvCxnSpPr/>
      </xdr:nvCxnSpPr>
      <xdr:spPr>
        <a:xfrm>
          <a:off x="19431000" y="57150"/>
          <a:ext cx="0" cy="7315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446313</xdr:colOff>
      <xdr:row>44</xdr:row>
      <xdr:rowOff>102734</xdr:rowOff>
    </xdr:from>
    <xdr:to>
      <xdr:col>26</xdr:col>
      <xdr:colOff>217713</xdr:colOff>
      <xdr:row>59</xdr:row>
      <xdr:rowOff>135391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01766B-6281-40E7-97E0-43892FA2D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A0DF6-68E1-491A-860A-5DB12AED74D5}">
  <dimension ref="B3:N11"/>
  <sheetViews>
    <sheetView workbookViewId="0">
      <selection activeCell="L7" sqref="L7"/>
    </sheetView>
  </sheetViews>
  <sheetFormatPr defaultRowHeight="14.25" x14ac:dyDescent="0.2"/>
  <cols>
    <col min="2" max="2" width="17.875" bestFit="1" customWidth="1"/>
    <col min="3" max="3" width="42.5" bestFit="1" customWidth="1"/>
    <col min="4" max="4" width="12.25" bestFit="1" customWidth="1"/>
    <col min="5" max="5" width="28.75" bestFit="1" customWidth="1"/>
    <col min="14" max="14" width="9" style="1"/>
  </cols>
  <sheetData>
    <row r="3" spans="2:13" ht="15" thickBot="1" x14ac:dyDescent="0.25"/>
    <row r="4" spans="2:13" ht="15" thickBot="1" x14ac:dyDescent="0.25">
      <c r="B4" s="18" t="s">
        <v>103</v>
      </c>
      <c r="C4" s="19" t="s">
        <v>104</v>
      </c>
      <c r="D4" s="19" t="s">
        <v>105</v>
      </c>
      <c r="E4" s="20" t="s">
        <v>106</v>
      </c>
    </row>
    <row r="5" spans="2:13" x14ac:dyDescent="0.2">
      <c r="B5" s="11" t="s">
        <v>23</v>
      </c>
      <c r="C5" s="12" t="s">
        <v>108</v>
      </c>
      <c r="D5" s="13">
        <f>3788.452/D7</f>
        <v>0.87736348065167269</v>
      </c>
      <c r="E5" s="14" t="s">
        <v>109</v>
      </c>
    </row>
    <row r="6" spans="2:13" x14ac:dyDescent="0.2">
      <c r="B6" s="11" t="s">
        <v>24</v>
      </c>
      <c r="C6" s="12" t="s">
        <v>107</v>
      </c>
      <c r="D6" s="13">
        <f>529.544/D7</f>
        <v>0.12263651934832732</v>
      </c>
      <c r="E6" s="14" t="s">
        <v>110</v>
      </c>
      <c r="K6" t="s">
        <v>0</v>
      </c>
      <c r="L6">
        <v>257.83999999999997</v>
      </c>
      <c r="M6" s="1"/>
    </row>
    <row r="7" spans="2:13" x14ac:dyDescent="0.2">
      <c r="B7" s="15"/>
      <c r="C7" s="16"/>
      <c r="D7" s="16">
        <v>4317.9960000000001</v>
      </c>
      <c r="E7" s="17"/>
      <c r="K7" t="s">
        <v>1</v>
      </c>
      <c r="L7">
        <f>193+57</f>
        <v>250</v>
      </c>
      <c r="M7" s="1" t="s">
        <v>6</v>
      </c>
    </row>
    <row r="8" spans="2:13" x14ac:dyDescent="0.2">
      <c r="K8" t="s">
        <v>2</v>
      </c>
      <c r="L8" s="2">
        <f>+L6*L7</f>
        <v>64459.999999999993</v>
      </c>
      <c r="M8" s="1"/>
    </row>
    <row r="9" spans="2:13" x14ac:dyDescent="0.2">
      <c r="K9" t="s">
        <v>3</v>
      </c>
      <c r="L9" s="2">
        <f>1297.259+2257.722</f>
        <v>3554.9810000000002</v>
      </c>
      <c r="M9" s="1" t="s">
        <v>6</v>
      </c>
    </row>
    <row r="10" spans="2:13" x14ac:dyDescent="0.2">
      <c r="K10" t="s">
        <v>4</v>
      </c>
      <c r="L10" s="2">
        <f>1212.215+635.994</f>
        <v>1848.2089999999998</v>
      </c>
      <c r="M10" s="1" t="s">
        <v>6</v>
      </c>
    </row>
    <row r="11" spans="2:13" x14ac:dyDescent="0.2">
      <c r="K11" t="s">
        <v>5</v>
      </c>
      <c r="L11" s="2">
        <f>+L8-L9+L10</f>
        <v>62753.227999999996</v>
      </c>
      <c r="M11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0C86-C288-4D56-AE0A-4B200E6884C0}">
  <dimension ref="A1:CS91"/>
  <sheetViews>
    <sheetView tabSelected="1" zoomScaleNormal="100" workbookViewId="0">
      <pane xSplit="2" ySplit="2" topLeftCell="G9" activePane="bottomRight" state="frozen"/>
      <selection pane="topRight" activeCell="C1" sqref="C1"/>
      <selection pane="bottomLeft" activeCell="A3" sqref="A3"/>
      <selection pane="bottomRight" activeCell="N20" sqref="N20"/>
    </sheetView>
  </sheetViews>
  <sheetFormatPr defaultRowHeight="14.25" x14ac:dyDescent="0.2"/>
  <cols>
    <col min="1" max="1" width="4.625" bestFit="1" customWidth="1"/>
    <col min="2" max="2" width="29.75" bestFit="1" customWidth="1"/>
    <col min="3" max="6" width="8" customWidth="1"/>
    <col min="7" max="7" width="8.25" customWidth="1"/>
    <col min="24" max="24" width="17.125" bestFit="1" customWidth="1"/>
  </cols>
  <sheetData>
    <row r="1" spans="1:36" x14ac:dyDescent="0.2">
      <c r="A1" s="3" t="s">
        <v>22</v>
      </c>
    </row>
    <row r="2" spans="1:36" x14ac:dyDescent="0.2">
      <c r="C2" t="s">
        <v>84</v>
      </c>
      <c r="D2" t="s">
        <v>85</v>
      </c>
      <c r="E2" t="s">
        <v>86</v>
      </c>
      <c r="F2" t="s">
        <v>87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Y2">
        <v>2018</v>
      </c>
      <c r="Z2">
        <f>+Y2+1</f>
        <v>2019</v>
      </c>
      <c r="AA2">
        <f t="shared" ref="AA2:AJ2" si="0">+Z2+1</f>
        <v>2020</v>
      </c>
      <c r="AB2">
        <f t="shared" si="0"/>
        <v>2021</v>
      </c>
      <c r="AC2">
        <f t="shared" si="0"/>
        <v>2022</v>
      </c>
      <c r="AD2">
        <f t="shared" si="0"/>
        <v>2023</v>
      </c>
      <c r="AE2">
        <f t="shared" si="0"/>
        <v>2024</v>
      </c>
      <c r="AF2">
        <f t="shared" si="0"/>
        <v>2025</v>
      </c>
      <c r="AG2">
        <f t="shared" si="0"/>
        <v>2026</v>
      </c>
      <c r="AH2">
        <f t="shared" si="0"/>
        <v>2027</v>
      </c>
      <c r="AI2">
        <f t="shared" si="0"/>
        <v>2028</v>
      </c>
      <c r="AJ2">
        <f t="shared" si="0"/>
        <v>2029</v>
      </c>
    </row>
    <row r="3" spans="1:36" x14ac:dyDescent="0.2">
      <c r="B3" t="s">
        <v>23</v>
      </c>
      <c r="C3" s="2">
        <v>522.149</v>
      </c>
      <c r="D3" s="2">
        <v>565.65899999999999</v>
      </c>
      <c r="E3" s="2">
        <v>624.41600000000005</v>
      </c>
      <c r="F3" s="2">
        <v>673.54499999999996</v>
      </c>
      <c r="G3" s="2">
        <v>701.024</v>
      </c>
      <c r="H3" s="2">
        <v>757.15499999999997</v>
      </c>
      <c r="I3" s="2">
        <v>798.51599999999996</v>
      </c>
      <c r="J3" s="2">
        <v>839.69399999999996</v>
      </c>
      <c r="K3" s="2">
        <v>881.95600000000002</v>
      </c>
      <c r="L3" s="2">
        <v>931.69799999999998</v>
      </c>
      <c r="M3" s="2">
        <v>968.54700000000003</v>
      </c>
      <c r="N3" s="2">
        <v>1006.251</v>
      </c>
      <c r="O3" s="2">
        <v>1032.1690000000001</v>
      </c>
      <c r="P3" s="2">
        <v>1113.454</v>
      </c>
      <c r="Q3" s="2">
        <v>1171.5170000000001</v>
      </c>
      <c r="R3" s="2">
        <f>+N3*1.17</f>
        <v>1177.31367</v>
      </c>
      <c r="S3" s="2">
        <f t="shared" ref="S3:V3" si="1">+O3*1.17</f>
        <v>1207.6377300000001</v>
      </c>
      <c r="T3" s="2">
        <f t="shared" si="1"/>
        <v>1302.7411799999998</v>
      </c>
      <c r="U3" s="2">
        <f t="shared" si="1"/>
        <v>1370.67489</v>
      </c>
      <c r="V3" s="2">
        <f t="shared" si="1"/>
        <v>1377.4569938999998</v>
      </c>
      <c r="Y3" s="2">
        <f>+SUM(C3:F3)</f>
        <v>2385.7690000000002</v>
      </c>
      <c r="Z3" s="2">
        <f>+SUM(G3:J3)</f>
        <v>3096.3890000000001</v>
      </c>
      <c r="AA3" s="2">
        <f>+SUM(K3:N3)</f>
        <v>3788.4520000000002</v>
      </c>
      <c r="AB3" s="2">
        <f>+SUM(O3:R3)</f>
        <v>4494.4536700000008</v>
      </c>
      <c r="AC3" s="2">
        <f>+SUM(S3:V3)</f>
        <v>5258.510793899999</v>
      </c>
      <c r="AD3" s="2">
        <f>+AC3*1.2</f>
        <v>6310.212952679999</v>
      </c>
      <c r="AE3" s="2">
        <f>+AD3*1.19</f>
        <v>7509.1534136891987</v>
      </c>
      <c r="AF3" s="2">
        <f t="shared" ref="AF3:AJ3" si="2">+AE3*1.19</f>
        <v>8935.8925622901461</v>
      </c>
      <c r="AG3" s="2">
        <f t="shared" si="2"/>
        <v>10633.712149125273</v>
      </c>
      <c r="AH3" s="2">
        <f t="shared" si="2"/>
        <v>12654.117457459075</v>
      </c>
      <c r="AI3" s="2">
        <f t="shared" si="2"/>
        <v>15058.399774376299</v>
      </c>
      <c r="AJ3" s="2">
        <f t="shared" si="2"/>
        <v>17919.495731507795</v>
      </c>
    </row>
    <row r="4" spans="1:36" x14ac:dyDescent="0.2">
      <c r="B4" t="s">
        <v>24</v>
      </c>
      <c r="C4" s="2">
        <v>96.494</v>
      </c>
      <c r="D4" s="2">
        <v>106.06100000000001</v>
      </c>
      <c r="E4" s="2">
        <v>118.773</v>
      </c>
      <c r="F4" s="2">
        <v>115.083</v>
      </c>
      <c r="G4" s="2">
        <v>124.03100000000001</v>
      </c>
      <c r="H4" s="2">
        <v>130.59700000000001</v>
      </c>
      <c r="I4" s="2">
        <v>139.584</v>
      </c>
      <c r="J4" s="2">
        <v>136.60499999999999</v>
      </c>
      <c r="K4" s="2">
        <v>136.429</v>
      </c>
      <c r="L4" s="2">
        <v>130.26900000000001</v>
      </c>
      <c r="M4" s="2">
        <v>137.41300000000001</v>
      </c>
      <c r="N4" s="2">
        <v>125.43300000000001</v>
      </c>
      <c r="O4" s="2">
        <v>142.864</v>
      </c>
      <c r="P4" s="2">
        <v>146.90700000000001</v>
      </c>
      <c r="Q4" s="2">
        <v>155.74600000000001</v>
      </c>
      <c r="R4" s="2">
        <f>+Q4*1.15</f>
        <v>179.1079</v>
      </c>
      <c r="S4" s="2">
        <f t="shared" ref="S4:V4" si="3">+R4*1.15</f>
        <v>205.97408499999997</v>
      </c>
      <c r="T4" s="2">
        <f t="shared" si="3"/>
        <v>236.87019774999996</v>
      </c>
      <c r="U4" s="2">
        <f t="shared" si="3"/>
        <v>272.40072741249992</v>
      </c>
      <c r="V4" s="2">
        <f t="shared" si="3"/>
        <v>313.26083652437489</v>
      </c>
      <c r="Y4" s="2">
        <f t="shared" ref="Y4:Y18" si="4">+SUM(C4:F4)</f>
        <v>436.41099999999994</v>
      </c>
      <c r="Z4" s="2">
        <f t="shared" ref="Z4:Z18" si="5">+SUM(G4:J4)</f>
        <v>530.81700000000001</v>
      </c>
      <c r="AA4" s="2">
        <f t="shared" ref="AA4:AA18" si="6">+SUM(K4:N4)</f>
        <v>529.54399999999998</v>
      </c>
      <c r="AB4" s="2">
        <f t="shared" ref="AB4:AB18" si="7">+SUM(O4:R4)</f>
        <v>624.62490000000003</v>
      </c>
      <c r="AC4" s="2">
        <f t="shared" ref="AC4:AC18" si="8">+SUM(S4:V4)</f>
        <v>1028.5058466868747</v>
      </c>
      <c r="AD4" s="2">
        <f>+AC4*1.05</f>
        <v>1079.9311390212185</v>
      </c>
      <c r="AE4" s="2">
        <f t="shared" ref="AE4:AJ4" si="9">+AD4*1.05</f>
        <v>1133.9276959722795</v>
      </c>
      <c r="AF4" s="2">
        <f t="shared" si="9"/>
        <v>1190.6240807708934</v>
      </c>
      <c r="AG4" s="2">
        <f t="shared" si="9"/>
        <v>1250.1552848094382</v>
      </c>
      <c r="AH4" s="2">
        <f t="shared" si="9"/>
        <v>1312.6630490499101</v>
      </c>
      <c r="AI4" s="2">
        <f t="shared" si="9"/>
        <v>1378.2962015024057</v>
      </c>
      <c r="AJ4" s="2">
        <f t="shared" si="9"/>
        <v>1447.2110115775261</v>
      </c>
    </row>
    <row r="5" spans="1:36" s="5" customFormat="1" ht="15" x14ac:dyDescent="0.25">
      <c r="B5" s="5" t="s">
        <v>25</v>
      </c>
      <c r="C5" s="6">
        <f t="shared" ref="C5:R5" si="10">+SUM(C3:C4)</f>
        <v>618.64300000000003</v>
      </c>
      <c r="D5" s="6">
        <f t="shared" si="10"/>
        <v>671.72</v>
      </c>
      <c r="E5" s="6">
        <f t="shared" si="10"/>
        <v>743.18900000000008</v>
      </c>
      <c r="F5" s="6">
        <f t="shared" si="10"/>
        <v>788.62799999999993</v>
      </c>
      <c r="G5" s="6">
        <f t="shared" si="10"/>
        <v>825.05500000000006</v>
      </c>
      <c r="H5" s="6">
        <f t="shared" si="10"/>
        <v>887.75199999999995</v>
      </c>
      <c r="I5" s="6">
        <f t="shared" si="10"/>
        <v>938.09999999999991</v>
      </c>
      <c r="J5" s="6">
        <f t="shared" si="10"/>
        <v>976.29899999999998</v>
      </c>
      <c r="K5" s="6">
        <f t="shared" si="10"/>
        <v>1018.385</v>
      </c>
      <c r="L5" s="6">
        <f t="shared" si="10"/>
        <v>1061.9670000000001</v>
      </c>
      <c r="M5" s="6">
        <f t="shared" si="10"/>
        <v>1105.96</v>
      </c>
      <c r="N5" s="6">
        <f t="shared" si="10"/>
        <v>1131.684</v>
      </c>
      <c r="O5" s="6">
        <f t="shared" si="10"/>
        <v>1175.0330000000001</v>
      </c>
      <c r="P5" s="6">
        <f t="shared" si="10"/>
        <v>1260.3609999999999</v>
      </c>
      <c r="Q5" s="6">
        <f t="shared" si="10"/>
        <v>1327.2630000000001</v>
      </c>
      <c r="R5" s="6">
        <f t="shared" si="10"/>
        <v>1356.42157</v>
      </c>
      <c r="S5" s="6">
        <f t="shared" ref="S5:V5" si="11">+SUM(S3:S4)</f>
        <v>1413.6118150000002</v>
      </c>
      <c r="T5" s="6">
        <f t="shared" si="11"/>
        <v>1539.6113777499997</v>
      </c>
      <c r="U5" s="6">
        <f t="shared" si="11"/>
        <v>1643.0756174124999</v>
      </c>
      <c r="V5" s="6">
        <f t="shared" si="11"/>
        <v>1690.7178304243748</v>
      </c>
      <c r="Y5" s="6">
        <f t="shared" si="4"/>
        <v>2822.1800000000003</v>
      </c>
      <c r="Z5" s="6">
        <f t="shared" si="5"/>
        <v>3627.2060000000001</v>
      </c>
      <c r="AA5" s="6">
        <f t="shared" si="6"/>
        <v>4317.9960000000001</v>
      </c>
      <c r="AB5" s="6">
        <f t="shared" si="7"/>
        <v>5119.0785699999997</v>
      </c>
      <c r="AC5" s="6">
        <f t="shared" si="8"/>
        <v>6287.0166405868749</v>
      </c>
      <c r="AD5" s="6">
        <f>+SUM(AD3:AD4)</f>
        <v>7390.1440917012178</v>
      </c>
      <c r="AE5" s="6">
        <f t="shared" ref="AE5:AJ5" si="12">+SUM(AE3:AE4)</f>
        <v>8643.081109661478</v>
      </c>
      <c r="AF5" s="6">
        <f t="shared" si="12"/>
        <v>10126.516643061039</v>
      </c>
      <c r="AG5" s="6">
        <f t="shared" si="12"/>
        <v>11883.867433934711</v>
      </c>
      <c r="AH5" s="6">
        <f t="shared" si="12"/>
        <v>13966.780506508985</v>
      </c>
      <c r="AI5" s="6">
        <f t="shared" si="12"/>
        <v>16436.695975878705</v>
      </c>
      <c r="AJ5" s="6">
        <f t="shared" si="12"/>
        <v>19366.70674308532</v>
      </c>
    </row>
    <row r="6" spans="1:36" x14ac:dyDescent="0.2">
      <c r="B6" t="s">
        <v>26</v>
      </c>
      <c r="C6" s="2">
        <v>80.245000000000005</v>
      </c>
      <c r="D6" s="2">
        <v>87.522999999999996</v>
      </c>
      <c r="E6" s="2">
        <v>103.31</v>
      </c>
      <c r="F6" s="2">
        <v>108.79900000000001</v>
      </c>
      <c r="G6" s="2">
        <v>112.46899999999999</v>
      </c>
      <c r="H6" s="2">
        <v>121.161</v>
      </c>
      <c r="I6" s="2">
        <v>122.30500000000001</v>
      </c>
      <c r="J6" s="2">
        <v>132.578</v>
      </c>
      <c r="K6" s="2">
        <v>145.26300000000001</v>
      </c>
      <c r="L6" s="2">
        <v>145.00700000000001</v>
      </c>
      <c r="M6" s="2">
        <v>152.39599999999999</v>
      </c>
      <c r="N6" s="2">
        <v>169.24600000000001</v>
      </c>
      <c r="O6" s="2">
        <v>182.208</v>
      </c>
      <c r="P6" s="2">
        <v>192.738</v>
      </c>
      <c r="Q6" s="2">
        <v>200.7</v>
      </c>
      <c r="Y6" s="2">
        <f t="shared" si="4"/>
        <v>379.87699999999995</v>
      </c>
      <c r="Z6" s="2">
        <f t="shared" si="5"/>
        <v>488.51300000000003</v>
      </c>
      <c r="AA6" s="2">
        <f t="shared" si="6"/>
        <v>611.91199999999992</v>
      </c>
      <c r="AB6" s="2">
        <f t="shared" si="7"/>
        <v>575.64599999999996</v>
      </c>
      <c r="AC6" s="2"/>
    </row>
    <row r="7" spans="1:36" x14ac:dyDescent="0.2">
      <c r="B7" t="s">
        <v>27</v>
      </c>
      <c r="C7" s="2">
        <v>97.725999999999999</v>
      </c>
      <c r="D7" s="2">
        <v>112.70699999999999</v>
      </c>
      <c r="E7" s="2">
        <v>119.691</v>
      </c>
      <c r="F7" s="2">
        <v>124.949</v>
      </c>
      <c r="G7" s="2">
        <v>130.75</v>
      </c>
      <c r="H7" s="2">
        <v>145.173</v>
      </c>
      <c r="I7" s="2">
        <v>148.625</v>
      </c>
      <c r="J7" s="2">
        <v>152.197</v>
      </c>
      <c r="K7" s="2">
        <v>160.36699999999999</v>
      </c>
      <c r="L7" s="2">
        <v>139.27000000000001</v>
      </c>
      <c r="M7" s="2">
        <v>142.785</v>
      </c>
      <c r="N7" s="2">
        <v>143.798</v>
      </c>
      <c r="O7" s="2">
        <v>150.845</v>
      </c>
      <c r="P7" s="2">
        <v>152.78299999999999</v>
      </c>
      <c r="Q7" s="2">
        <v>159.024</v>
      </c>
      <c r="Y7" s="2">
        <f t="shared" si="4"/>
        <v>455.07300000000004</v>
      </c>
      <c r="Z7" s="2">
        <f t="shared" si="5"/>
        <v>576.745</v>
      </c>
      <c r="AA7" s="2">
        <f t="shared" si="6"/>
        <v>586.22</v>
      </c>
      <c r="AB7" s="2">
        <f t="shared" si="7"/>
        <v>462.65199999999999</v>
      </c>
      <c r="AC7" s="2"/>
    </row>
    <row r="8" spans="1:36" x14ac:dyDescent="0.2">
      <c r="B8" t="s">
        <v>28</v>
      </c>
      <c r="C8" s="2">
        <f t="shared" ref="C8:Q8" si="13">+SUM(C6:C7)</f>
        <v>177.971</v>
      </c>
      <c r="D8" s="2">
        <f t="shared" si="13"/>
        <v>200.23</v>
      </c>
      <c r="E8" s="2">
        <f t="shared" si="13"/>
        <v>223.001</v>
      </c>
      <c r="F8" s="2">
        <f t="shared" si="13"/>
        <v>233.74799999999999</v>
      </c>
      <c r="G8" s="2">
        <f t="shared" si="13"/>
        <v>243.21899999999999</v>
      </c>
      <c r="H8" s="2">
        <f t="shared" si="13"/>
        <v>266.334</v>
      </c>
      <c r="I8" s="2">
        <f t="shared" si="13"/>
        <v>270.93</v>
      </c>
      <c r="J8" s="2">
        <f t="shared" si="13"/>
        <v>284.77499999999998</v>
      </c>
      <c r="K8" s="2">
        <f t="shared" si="13"/>
        <v>305.63</v>
      </c>
      <c r="L8" s="2">
        <f t="shared" si="13"/>
        <v>284.27700000000004</v>
      </c>
      <c r="M8" s="2">
        <f t="shared" si="13"/>
        <v>295.18099999999998</v>
      </c>
      <c r="N8" s="2">
        <f t="shared" si="13"/>
        <v>313.04399999999998</v>
      </c>
      <c r="O8" s="2">
        <f t="shared" si="13"/>
        <v>333.053</v>
      </c>
      <c r="P8" s="2">
        <f t="shared" si="13"/>
        <v>345.52099999999996</v>
      </c>
      <c r="Q8" s="2">
        <f t="shared" si="13"/>
        <v>359.72399999999999</v>
      </c>
      <c r="Y8" s="2">
        <f t="shared" si="4"/>
        <v>834.95</v>
      </c>
      <c r="Z8" s="2">
        <f t="shared" si="5"/>
        <v>1065.2579999999998</v>
      </c>
      <c r="AA8" s="2">
        <f t="shared" si="6"/>
        <v>1198.1320000000001</v>
      </c>
      <c r="AB8" s="2">
        <f t="shared" si="7"/>
        <v>1038.298</v>
      </c>
      <c r="AC8" s="2"/>
    </row>
    <row r="9" spans="1:36" x14ac:dyDescent="0.2">
      <c r="B9" t="s">
        <v>29</v>
      </c>
      <c r="C9" s="2">
        <f t="shared" ref="C9:Q9" si="14">+C5-C8</f>
        <v>440.67200000000003</v>
      </c>
      <c r="D9" s="2">
        <f t="shared" si="14"/>
        <v>471.49</v>
      </c>
      <c r="E9" s="2">
        <f t="shared" si="14"/>
        <v>520.1880000000001</v>
      </c>
      <c r="F9" s="2">
        <f t="shared" si="14"/>
        <v>554.87999999999988</v>
      </c>
      <c r="G9" s="2">
        <f t="shared" si="14"/>
        <v>581.83600000000001</v>
      </c>
      <c r="H9" s="2">
        <f t="shared" si="14"/>
        <v>621.41799999999989</v>
      </c>
      <c r="I9" s="2">
        <f t="shared" si="14"/>
        <v>667.16999999999985</v>
      </c>
      <c r="J9" s="2">
        <f t="shared" si="14"/>
        <v>691.524</v>
      </c>
      <c r="K9" s="2">
        <f t="shared" si="14"/>
        <v>712.755</v>
      </c>
      <c r="L9" s="2">
        <f t="shared" si="14"/>
        <v>777.69</v>
      </c>
      <c r="M9" s="2">
        <f t="shared" si="14"/>
        <v>810.779</v>
      </c>
      <c r="N9" s="2">
        <f t="shared" si="14"/>
        <v>818.64</v>
      </c>
      <c r="O9" s="2">
        <f t="shared" si="14"/>
        <v>841.98000000000013</v>
      </c>
      <c r="P9" s="2">
        <f t="shared" si="14"/>
        <v>914.83999999999992</v>
      </c>
      <c r="Q9" s="2">
        <f t="shared" si="14"/>
        <v>967.53900000000021</v>
      </c>
      <c r="R9" s="2">
        <f>+R5*0.73</f>
        <v>990.18774609999991</v>
      </c>
      <c r="S9" s="2">
        <f t="shared" ref="S9:V9" si="15">+S5*0.73</f>
        <v>1031.9366249500001</v>
      </c>
      <c r="T9" s="2">
        <f t="shared" si="15"/>
        <v>1123.9163057574997</v>
      </c>
      <c r="U9" s="2">
        <f t="shared" si="15"/>
        <v>1199.4452007111249</v>
      </c>
      <c r="V9" s="2">
        <f t="shared" si="15"/>
        <v>1234.2240162097935</v>
      </c>
      <c r="Y9" s="2">
        <f t="shared" si="4"/>
        <v>1987.23</v>
      </c>
      <c r="Z9" s="2">
        <f t="shared" si="5"/>
        <v>2561.9479999999999</v>
      </c>
      <c r="AA9" s="2">
        <f t="shared" si="6"/>
        <v>3119.864</v>
      </c>
      <c r="AB9" s="2">
        <f>+SUM(O9:R9)</f>
        <v>3714.5467461000003</v>
      </c>
      <c r="AC9" s="2">
        <f t="shared" si="8"/>
        <v>4589.5221476284178</v>
      </c>
      <c r="AD9" s="2">
        <f>+AD5*0.72</f>
        <v>5320.9037460248765</v>
      </c>
      <c r="AE9" s="2">
        <f t="shared" ref="AE9:AF9" si="16">+AE5*0.72</f>
        <v>6223.0183989562638</v>
      </c>
      <c r="AF9" s="2">
        <f t="shared" si="16"/>
        <v>7291.0919830039475</v>
      </c>
      <c r="AG9" s="2">
        <f>+AG5*0.73</f>
        <v>8675.2232267723393</v>
      </c>
      <c r="AH9" s="2">
        <f t="shared" ref="AH9:AJ9" si="17">+AH5*0.73</f>
        <v>10195.749769751559</v>
      </c>
      <c r="AI9" s="2">
        <f t="shared" si="17"/>
        <v>11998.788062391455</v>
      </c>
      <c r="AJ9" s="2">
        <f t="shared" si="17"/>
        <v>14137.695922452283</v>
      </c>
    </row>
    <row r="10" spans="1:36" x14ac:dyDescent="0.2">
      <c r="B10" t="s">
        <v>30</v>
      </c>
      <c r="C10" s="2">
        <v>263.584</v>
      </c>
      <c r="D10" s="2">
        <v>292.83999999999997</v>
      </c>
      <c r="E10" s="2">
        <v>318.00299999999999</v>
      </c>
      <c r="F10" s="2">
        <v>337.40499999999997</v>
      </c>
      <c r="G10" s="2">
        <v>347.83100000000002</v>
      </c>
      <c r="H10" s="2">
        <v>378.12200000000001</v>
      </c>
      <c r="I10" s="2">
        <v>401.74200000000002</v>
      </c>
      <c r="J10" s="2">
        <v>422.21100000000001</v>
      </c>
      <c r="K10" s="2">
        <v>443.48399999999998</v>
      </c>
      <c r="L10" s="2">
        <v>418.68099999999998</v>
      </c>
      <c r="M10" s="2">
        <v>419.96199999999999</v>
      </c>
      <c r="N10" s="2">
        <v>439.09500000000003</v>
      </c>
      <c r="O10" s="2">
        <v>441.61599999999999</v>
      </c>
      <c r="P10" s="2">
        <v>444.25099999999998</v>
      </c>
      <c r="Q10" s="2">
        <v>455.61500000000001</v>
      </c>
      <c r="R10" s="2">
        <f>+R9*0.45</f>
        <v>445.58448574499999</v>
      </c>
      <c r="S10" s="2">
        <f>+S9*0.45</f>
        <v>464.37148122750006</v>
      </c>
      <c r="T10" s="2">
        <f>+T9*0.42</f>
        <v>472.04484841814985</v>
      </c>
      <c r="U10" s="2">
        <f>+U9*0.4</f>
        <v>479.77808028444997</v>
      </c>
      <c r="V10" s="2">
        <f>+V9*0.38</f>
        <v>469.00512615972156</v>
      </c>
      <c r="Y10" s="2">
        <f t="shared" si="4"/>
        <v>1211.8319999999999</v>
      </c>
      <c r="Z10" s="2">
        <f t="shared" si="5"/>
        <v>1549.9059999999999</v>
      </c>
      <c r="AA10" s="2">
        <f t="shared" si="6"/>
        <v>1721.222</v>
      </c>
      <c r="AB10" s="2">
        <f t="shared" si="7"/>
        <v>1787.0664857449999</v>
      </c>
      <c r="AC10" s="2">
        <f t="shared" si="8"/>
        <v>1885.1995360898215</v>
      </c>
      <c r="AD10" s="2">
        <f>+AD9*0.38</f>
        <v>2021.9434234894532</v>
      </c>
      <c r="AE10" s="2">
        <f t="shared" ref="AE10" si="18">+AE9*0.38</f>
        <v>2364.7469916033801</v>
      </c>
      <c r="AF10" s="2">
        <f>+AF9*0.36</f>
        <v>2624.793113881421</v>
      </c>
      <c r="AG10" s="2">
        <f t="shared" ref="AG10" si="19">+AG9*0.36</f>
        <v>3123.0803616380422</v>
      </c>
      <c r="AH10" s="2">
        <f>+AH9*0.32</f>
        <v>3262.6399263204989</v>
      </c>
      <c r="AI10" s="2">
        <f t="shared" ref="AI10:AJ10" si="20">+AI9*0.32</f>
        <v>3839.6121799652656</v>
      </c>
      <c r="AJ10" s="2">
        <f t="shared" si="20"/>
        <v>4524.0626951847307</v>
      </c>
    </row>
    <row r="11" spans="1:36" x14ac:dyDescent="0.2">
      <c r="B11" t="s">
        <v>31</v>
      </c>
      <c r="C11" s="2">
        <v>192.77099999999999</v>
      </c>
      <c r="D11" s="2">
        <v>202.464</v>
      </c>
      <c r="E11" s="2">
        <v>246.15600000000001</v>
      </c>
      <c r="F11" s="2">
        <v>249.95400000000001</v>
      </c>
      <c r="G11" s="2">
        <v>272.93599999999998</v>
      </c>
      <c r="H11" s="2">
        <v>280.2</v>
      </c>
      <c r="I11" s="2">
        <v>286.79399999999998</v>
      </c>
      <c r="J11" s="2">
        <v>306.61799999999999</v>
      </c>
      <c r="K11" s="2">
        <v>318.55700000000002</v>
      </c>
      <c r="L11" s="2">
        <v>276.49700000000001</v>
      </c>
      <c r="M11" s="2">
        <v>302.87</v>
      </c>
      <c r="N11" s="2">
        <v>335.24900000000002</v>
      </c>
      <c r="O11" s="2">
        <v>326.49400000000003</v>
      </c>
      <c r="P11" s="2">
        <v>358.15699999999998</v>
      </c>
      <c r="Q11" s="2">
        <v>366.32299999999998</v>
      </c>
      <c r="R11" s="2">
        <f>+R9*0.37</f>
        <v>366.36946605699995</v>
      </c>
      <c r="S11" s="2">
        <f>+S9*0.35</f>
        <v>361.17781873250004</v>
      </c>
      <c r="T11" s="2">
        <f>+T9*0.32</f>
        <v>359.6532178423999</v>
      </c>
      <c r="U11" s="2">
        <f t="shared" ref="U11:V11" si="21">+U9*0.32</f>
        <v>383.82246422755998</v>
      </c>
      <c r="V11" s="2">
        <f t="shared" si="21"/>
        <v>394.95168518713393</v>
      </c>
      <c r="Y11" s="2">
        <f t="shared" si="4"/>
        <v>891.34500000000003</v>
      </c>
      <c r="Z11" s="2">
        <f t="shared" si="5"/>
        <v>1146.548</v>
      </c>
      <c r="AA11" s="2">
        <f t="shared" si="6"/>
        <v>1233.1730000000002</v>
      </c>
      <c r="AB11" s="2">
        <f t="shared" si="7"/>
        <v>1417.3434660570001</v>
      </c>
      <c r="AC11" s="2">
        <f t="shared" si="8"/>
        <v>1499.6051859895938</v>
      </c>
      <c r="AD11" s="2">
        <f>+AD9*0.35</f>
        <v>1862.3163111087067</v>
      </c>
      <c r="AE11" s="2">
        <f t="shared" ref="AE11:AJ11" si="22">+AE9*0.35</f>
        <v>2178.0564396346922</v>
      </c>
      <c r="AF11" s="2">
        <f t="shared" si="22"/>
        <v>2551.8821940513812</v>
      </c>
      <c r="AG11" s="2">
        <f t="shared" si="22"/>
        <v>3036.3281293703185</v>
      </c>
      <c r="AH11" s="2">
        <f t="shared" si="22"/>
        <v>3568.5124194130453</v>
      </c>
      <c r="AI11" s="2">
        <f t="shared" si="22"/>
        <v>4199.5758218370092</v>
      </c>
      <c r="AJ11" s="2">
        <f t="shared" si="22"/>
        <v>4948.1935728582985</v>
      </c>
    </row>
    <row r="12" spans="1:36" x14ac:dyDescent="0.2">
      <c r="B12" t="s">
        <v>32</v>
      </c>
      <c r="C12" s="2">
        <v>55.581000000000003</v>
      </c>
      <c r="D12" s="2">
        <v>65.168000000000006</v>
      </c>
      <c r="E12" s="2">
        <v>138.78399999999999</v>
      </c>
      <c r="F12" s="2">
        <v>87.804000000000002</v>
      </c>
      <c r="G12" s="2">
        <v>84.454999999999998</v>
      </c>
      <c r="H12" s="2">
        <v>85.593000000000004</v>
      </c>
      <c r="I12" s="2">
        <v>88.884</v>
      </c>
      <c r="J12" s="2">
        <v>108.792</v>
      </c>
      <c r="K12" s="2">
        <v>95.171000000000006</v>
      </c>
      <c r="L12" s="2">
        <v>99.266000000000005</v>
      </c>
      <c r="M12" s="2">
        <v>102.024</v>
      </c>
      <c r="N12" s="2">
        <v>117.607</v>
      </c>
      <c r="O12" s="2">
        <v>112.18300000000001</v>
      </c>
      <c r="P12" s="2">
        <v>113.55200000000001</v>
      </c>
      <c r="Q12" s="2">
        <v>121.65600000000001</v>
      </c>
      <c r="R12" s="2">
        <f>+R9*0.12</f>
        <v>118.82252953199999</v>
      </c>
      <c r="S12" s="2">
        <f>+S9*0.12</f>
        <v>123.83239499400001</v>
      </c>
      <c r="T12" s="2">
        <f>+T9*0.12</f>
        <v>134.86995669089995</v>
      </c>
      <c r="U12" s="2">
        <f t="shared" ref="U12:V12" si="23">+U9*0.12</f>
        <v>143.93342408533499</v>
      </c>
      <c r="V12" s="2">
        <f t="shared" si="23"/>
        <v>148.10688194517522</v>
      </c>
      <c r="Y12" s="2">
        <f t="shared" si="4"/>
        <v>347.33699999999999</v>
      </c>
      <c r="Z12" s="2">
        <f t="shared" si="5"/>
        <v>367.72400000000005</v>
      </c>
      <c r="AA12" s="2">
        <f t="shared" si="6"/>
        <v>414.06799999999998</v>
      </c>
      <c r="AB12" s="2">
        <f t="shared" si="7"/>
        <v>466.213529532</v>
      </c>
      <c r="AC12" s="2">
        <f t="shared" si="8"/>
        <v>550.74265771541013</v>
      </c>
      <c r="AD12" s="2">
        <f>+AD9*0.12</f>
        <v>638.50844952298519</v>
      </c>
      <c r="AE12" s="2">
        <f t="shared" ref="AE12:AJ12" si="24">+AE9*0.12</f>
        <v>746.76220787475165</v>
      </c>
      <c r="AF12" s="2">
        <f t="shared" si="24"/>
        <v>874.93103796047365</v>
      </c>
      <c r="AG12" s="2">
        <f t="shared" si="24"/>
        <v>1041.0267872126806</v>
      </c>
      <c r="AH12" s="2">
        <f t="shared" si="24"/>
        <v>1223.4899723701872</v>
      </c>
      <c r="AI12" s="2">
        <f t="shared" si="24"/>
        <v>1439.8545674869745</v>
      </c>
      <c r="AJ12" s="2">
        <f t="shared" si="24"/>
        <v>1696.5235106942739</v>
      </c>
    </row>
    <row r="13" spans="1:36" x14ac:dyDescent="0.2">
      <c r="B13" t="s">
        <v>33</v>
      </c>
      <c r="C13" s="2">
        <f t="shared" ref="C13:T13" si="25">+SUM(C10:C12)</f>
        <v>511.93600000000004</v>
      </c>
      <c r="D13" s="2">
        <f t="shared" si="25"/>
        <v>560.47199999999998</v>
      </c>
      <c r="E13" s="2">
        <f t="shared" si="25"/>
        <v>702.94299999999998</v>
      </c>
      <c r="F13" s="2">
        <f t="shared" si="25"/>
        <v>675.1629999999999</v>
      </c>
      <c r="G13" s="2">
        <f t="shared" si="25"/>
        <v>705.22200000000009</v>
      </c>
      <c r="H13" s="2">
        <f t="shared" si="25"/>
        <v>743.91499999999996</v>
      </c>
      <c r="I13" s="2">
        <f t="shared" si="25"/>
        <v>777.42000000000007</v>
      </c>
      <c r="J13" s="2">
        <f t="shared" si="25"/>
        <v>837.62099999999998</v>
      </c>
      <c r="K13" s="2">
        <f t="shared" si="25"/>
        <v>857.21199999999999</v>
      </c>
      <c r="L13" s="2">
        <f t="shared" si="25"/>
        <v>794.44399999999996</v>
      </c>
      <c r="M13" s="2">
        <f t="shared" si="25"/>
        <v>824.85599999999999</v>
      </c>
      <c r="N13" s="2">
        <f t="shared" si="25"/>
        <v>891.95100000000002</v>
      </c>
      <c r="O13" s="2">
        <f t="shared" si="25"/>
        <v>880.29300000000001</v>
      </c>
      <c r="P13" s="2">
        <f t="shared" si="25"/>
        <v>915.95999999999992</v>
      </c>
      <c r="Q13" s="2">
        <f t="shared" si="25"/>
        <v>943.59400000000005</v>
      </c>
      <c r="R13" s="2">
        <f t="shared" si="25"/>
        <v>930.77648133399987</v>
      </c>
      <c r="S13" s="2">
        <f t="shared" si="25"/>
        <v>949.38169495400007</v>
      </c>
      <c r="T13" s="2">
        <f t="shared" si="25"/>
        <v>966.56802295144962</v>
      </c>
      <c r="U13" s="2">
        <f t="shared" ref="U13:V13" si="26">+SUM(U10:U12)</f>
        <v>1007.5339685973449</v>
      </c>
      <c r="V13" s="2">
        <f t="shared" si="26"/>
        <v>1012.0636932920307</v>
      </c>
      <c r="Y13" s="2">
        <f t="shared" si="4"/>
        <v>2450.5139999999997</v>
      </c>
      <c r="Z13" s="2">
        <f t="shared" si="5"/>
        <v>3064.1780000000003</v>
      </c>
      <c r="AA13" s="2">
        <f t="shared" si="6"/>
        <v>3368.4629999999997</v>
      </c>
      <c r="AB13" s="2">
        <f t="shared" si="7"/>
        <v>3670.6234813339997</v>
      </c>
      <c r="AC13" s="2">
        <f t="shared" si="8"/>
        <v>3935.5473797948252</v>
      </c>
      <c r="AD13" s="2">
        <f>+SUM(AD10:AD12)</f>
        <v>4522.7681841211452</v>
      </c>
      <c r="AE13" s="2">
        <f t="shared" ref="AE13:AJ13" si="27">+SUM(AE10:AE12)</f>
        <v>5289.5656391128241</v>
      </c>
      <c r="AF13" s="2">
        <f t="shared" si="27"/>
        <v>6051.6063458932767</v>
      </c>
      <c r="AG13" s="2">
        <f t="shared" si="27"/>
        <v>7200.4352782210408</v>
      </c>
      <c r="AH13" s="2">
        <f t="shared" si="27"/>
        <v>8054.6423181037317</v>
      </c>
      <c r="AI13" s="2">
        <f t="shared" si="27"/>
        <v>9479.0425692892495</v>
      </c>
      <c r="AJ13" s="2">
        <f t="shared" si="27"/>
        <v>11168.779778737304</v>
      </c>
    </row>
    <row r="14" spans="1:36" x14ac:dyDescent="0.2">
      <c r="B14" t="s">
        <v>34</v>
      </c>
      <c r="C14" s="2">
        <f t="shared" ref="C14:T14" si="28">+C9-C13</f>
        <v>-71.26400000000001</v>
      </c>
      <c r="D14" s="2">
        <f t="shared" si="28"/>
        <v>-88.981999999999971</v>
      </c>
      <c r="E14" s="2">
        <f t="shared" si="28"/>
        <v>-182.75499999999988</v>
      </c>
      <c r="F14" s="2">
        <f t="shared" si="28"/>
        <v>-120.28300000000002</v>
      </c>
      <c r="G14" s="2">
        <f t="shared" si="28"/>
        <v>-123.38600000000008</v>
      </c>
      <c r="H14" s="2">
        <f t="shared" si="28"/>
        <v>-122.49700000000007</v>
      </c>
      <c r="I14" s="2">
        <f t="shared" si="28"/>
        <v>-110.25000000000023</v>
      </c>
      <c r="J14" s="2">
        <f t="shared" si="28"/>
        <v>-146.09699999999998</v>
      </c>
      <c r="K14" s="2">
        <f t="shared" si="28"/>
        <v>-144.45699999999999</v>
      </c>
      <c r="L14" s="2">
        <f t="shared" si="28"/>
        <v>-16.753999999999905</v>
      </c>
      <c r="M14" s="2">
        <f t="shared" si="28"/>
        <v>-14.076999999999998</v>
      </c>
      <c r="N14" s="2">
        <f t="shared" si="28"/>
        <v>-73.311000000000035</v>
      </c>
      <c r="O14" s="2">
        <f t="shared" si="28"/>
        <v>-38.312999999999874</v>
      </c>
      <c r="P14" s="2">
        <f t="shared" si="28"/>
        <v>-1.1200000000000045</v>
      </c>
      <c r="Q14" s="2">
        <f t="shared" si="28"/>
        <v>23.945000000000164</v>
      </c>
      <c r="R14" s="2">
        <f t="shared" si="28"/>
        <v>59.411264766000045</v>
      </c>
      <c r="S14" s="2">
        <f t="shared" si="28"/>
        <v>82.554929996000055</v>
      </c>
      <c r="T14" s="2">
        <f t="shared" si="28"/>
        <v>157.34828280605007</v>
      </c>
      <c r="U14" s="2">
        <f t="shared" ref="U14:V14" si="29">+U9-U13</f>
        <v>191.91123211377999</v>
      </c>
      <c r="V14" s="2">
        <f t="shared" si="29"/>
        <v>222.16032291776276</v>
      </c>
      <c r="Y14" s="2">
        <f t="shared" si="4"/>
        <v>-463.28399999999988</v>
      </c>
      <c r="Z14" s="2">
        <f t="shared" si="5"/>
        <v>-502.23000000000036</v>
      </c>
      <c r="AA14" s="2">
        <f t="shared" si="6"/>
        <v>-248.59899999999993</v>
      </c>
      <c r="AB14" s="2">
        <f t="shared" si="7"/>
        <v>43.923264766000329</v>
      </c>
      <c r="AC14" s="2">
        <f t="shared" si="8"/>
        <v>653.97476783359286</v>
      </c>
      <c r="AD14" s="2">
        <f>+AD9-AD13</f>
        <v>798.13556190373129</v>
      </c>
      <c r="AE14" s="2">
        <f t="shared" ref="AE14:AJ14" si="30">+AE9-AE13</f>
        <v>933.45275984343971</v>
      </c>
      <c r="AF14" s="2">
        <f t="shared" si="30"/>
        <v>1239.4856371106707</v>
      </c>
      <c r="AG14" s="2">
        <f t="shared" si="30"/>
        <v>1474.7879485512985</v>
      </c>
      <c r="AH14" s="2">
        <f t="shared" si="30"/>
        <v>2141.1074516478275</v>
      </c>
      <c r="AI14" s="2">
        <f t="shared" si="30"/>
        <v>2519.7454931022057</v>
      </c>
      <c r="AJ14" s="2">
        <f t="shared" si="30"/>
        <v>2968.9161437149796</v>
      </c>
    </row>
    <row r="15" spans="1:36" x14ac:dyDescent="0.2">
      <c r="B15" t="s">
        <v>35</v>
      </c>
      <c r="C15" s="2">
        <v>-3.8479999999999999</v>
      </c>
      <c r="D15" s="2">
        <v>1.613</v>
      </c>
      <c r="E15" s="2">
        <v>26.617000000000001</v>
      </c>
      <c r="F15" s="2">
        <v>15.15</v>
      </c>
      <c r="G15" s="2">
        <v>7.141</v>
      </c>
      <c r="H15" s="2">
        <v>-0.106</v>
      </c>
      <c r="I15" s="2">
        <v>-4.1360000000000001</v>
      </c>
      <c r="J15" s="2">
        <v>16.884</v>
      </c>
      <c r="K15" s="2">
        <v>-10.973000000000001</v>
      </c>
      <c r="L15" s="2">
        <v>-11.452999999999999</v>
      </c>
      <c r="M15" s="2">
        <v>-8.8460000000000001</v>
      </c>
      <c r="N15" s="2">
        <v>4.7370000000000001</v>
      </c>
      <c r="O15" s="2">
        <v>-9.0510000000000002</v>
      </c>
      <c r="P15" s="2">
        <v>102.985</v>
      </c>
      <c r="Q15" s="2">
        <v>21.556999999999999</v>
      </c>
      <c r="R15" s="2">
        <f>+Q34*$X$34</f>
        <v>17.067720000000005</v>
      </c>
      <c r="S15" s="2">
        <f t="shared" ref="S15:V15" si="31">+R34*$X$34</f>
        <v>17.756030862894004</v>
      </c>
      <c r="T15" s="2">
        <f t="shared" si="31"/>
        <v>18.658829510624052</v>
      </c>
      <c r="U15" s="2">
        <f t="shared" si="31"/>
        <v>20.242893521474119</v>
      </c>
      <c r="V15" s="2">
        <f t="shared" si="31"/>
        <v>22.152280652191408</v>
      </c>
      <c r="Y15" s="2">
        <f t="shared" si="4"/>
        <v>39.532000000000004</v>
      </c>
      <c r="Z15" s="2">
        <f t="shared" si="5"/>
        <v>19.783000000000001</v>
      </c>
      <c r="AA15" s="2">
        <f t="shared" si="6"/>
        <v>-26.535000000000004</v>
      </c>
      <c r="AB15" s="2">
        <f t="shared" si="7"/>
        <v>132.55871999999999</v>
      </c>
      <c r="AC15" s="2">
        <f t="shared" si="8"/>
        <v>78.810034547183577</v>
      </c>
      <c r="AD15" s="2">
        <f>+AC34*$X$34</f>
        <v>24.35</v>
      </c>
      <c r="AE15" s="2">
        <f>+AD34*$X$34</f>
        <v>31.628997222848021</v>
      </c>
      <c r="AF15" s="2">
        <f t="shared" ref="AF15:AJ15" si="32">+AE34*$X$34</f>
        <v>40.169970772884668</v>
      </c>
      <c r="AG15" s="2">
        <f t="shared" si="32"/>
        <v>51.494922902654139</v>
      </c>
      <c r="AH15" s="2">
        <f t="shared" si="32"/>
        <v>65.002526315021612</v>
      </c>
      <c r="AI15" s="2">
        <f t="shared" si="32"/>
        <v>84.526599619992837</v>
      </c>
      <c r="AJ15" s="2">
        <f t="shared" si="32"/>
        <v>107.57440764058428</v>
      </c>
    </row>
    <row r="16" spans="1:36" x14ac:dyDescent="0.2">
      <c r="B16" t="s">
        <v>36</v>
      </c>
      <c r="C16" s="2">
        <f t="shared" ref="C16:Q16" si="33">+C14+C15</f>
        <v>-75.112000000000009</v>
      </c>
      <c r="D16" s="2">
        <f t="shared" si="33"/>
        <v>-87.368999999999971</v>
      </c>
      <c r="E16" s="2">
        <f t="shared" si="33"/>
        <v>-156.13799999999989</v>
      </c>
      <c r="F16" s="2">
        <f t="shared" si="33"/>
        <v>-105.13300000000001</v>
      </c>
      <c r="G16" s="2">
        <f t="shared" si="33"/>
        <v>-116.24500000000008</v>
      </c>
      <c r="H16" s="2">
        <f t="shared" si="33"/>
        <v>-122.60300000000007</v>
      </c>
      <c r="I16" s="2">
        <f t="shared" si="33"/>
        <v>-114.38600000000022</v>
      </c>
      <c r="J16" s="2">
        <f t="shared" si="33"/>
        <v>-129.21299999999997</v>
      </c>
      <c r="K16" s="2">
        <f t="shared" si="33"/>
        <v>-155.43</v>
      </c>
      <c r="L16" s="2">
        <f t="shared" si="33"/>
        <v>-28.206999999999905</v>
      </c>
      <c r="M16" s="2">
        <f t="shared" si="33"/>
        <v>-22.922999999999998</v>
      </c>
      <c r="N16" s="2">
        <f t="shared" si="33"/>
        <v>-68.574000000000041</v>
      </c>
      <c r="O16" s="2">
        <f t="shared" si="33"/>
        <v>-47.363999999999876</v>
      </c>
      <c r="P16" s="2">
        <f t="shared" si="33"/>
        <v>101.86499999999999</v>
      </c>
      <c r="Q16" s="2">
        <f t="shared" si="33"/>
        <v>45.502000000000166</v>
      </c>
      <c r="R16" s="2">
        <f t="shared" ref="R16:V16" si="34">+R14+R15</f>
        <v>76.478984766000053</v>
      </c>
      <c r="S16" s="2">
        <f t="shared" si="34"/>
        <v>100.31096085889406</v>
      </c>
      <c r="T16" s="2">
        <f t="shared" si="34"/>
        <v>176.00711231667412</v>
      </c>
      <c r="U16" s="2">
        <f t="shared" si="34"/>
        <v>212.1541256352541</v>
      </c>
      <c r="V16" s="2">
        <f t="shared" si="34"/>
        <v>244.31260356995415</v>
      </c>
      <c r="Y16" s="2">
        <f t="shared" si="4"/>
        <v>-423.75199999999995</v>
      </c>
      <c r="Z16" s="2">
        <f t="shared" si="5"/>
        <v>-482.44700000000034</v>
      </c>
      <c r="AA16" s="2">
        <f t="shared" si="6"/>
        <v>-275.13399999999996</v>
      </c>
      <c r="AB16" s="2">
        <f t="shared" si="7"/>
        <v>176.48198476600032</v>
      </c>
      <c r="AC16" s="2">
        <f t="shared" si="8"/>
        <v>732.78480238077645</v>
      </c>
      <c r="AD16" s="2">
        <f>+AD14+AD15</f>
        <v>822.48556190373131</v>
      </c>
      <c r="AE16" s="2">
        <f t="shared" ref="AE16:AJ16" si="35">+AE14+AE15</f>
        <v>965.08175706628776</v>
      </c>
      <c r="AF16" s="2">
        <f t="shared" si="35"/>
        <v>1279.6556078835554</v>
      </c>
      <c r="AG16" s="2">
        <f t="shared" si="35"/>
        <v>1526.2828714539528</v>
      </c>
      <c r="AH16" s="2">
        <f t="shared" si="35"/>
        <v>2206.1099779628489</v>
      </c>
      <c r="AI16" s="2">
        <f t="shared" si="35"/>
        <v>2604.2720927221985</v>
      </c>
      <c r="AJ16" s="2">
        <f t="shared" si="35"/>
        <v>3076.4905513555641</v>
      </c>
    </row>
    <row r="17" spans="2:97" x14ac:dyDescent="0.2">
      <c r="B17" t="s">
        <v>37</v>
      </c>
      <c r="C17" s="2">
        <v>-0.70199999999999996</v>
      </c>
      <c r="D17" s="2">
        <v>-1.2130000000000001</v>
      </c>
      <c r="E17" s="2">
        <v>-2.8069999999999999</v>
      </c>
      <c r="F17" s="2">
        <v>-0.77200000000000002</v>
      </c>
      <c r="G17" s="2">
        <v>0.03</v>
      </c>
      <c r="H17" s="2">
        <v>-1.891</v>
      </c>
      <c r="I17" s="2">
        <v>1.343</v>
      </c>
      <c r="J17" s="2">
        <v>-1.2549999999999999</v>
      </c>
      <c r="K17" s="2">
        <v>2.9380000000000002</v>
      </c>
      <c r="L17" s="2">
        <v>-0.191</v>
      </c>
      <c r="M17" s="2">
        <v>1.417</v>
      </c>
      <c r="N17" s="2">
        <v>3.133</v>
      </c>
      <c r="O17" s="2">
        <v>-0.84199999999999997</v>
      </c>
      <c r="P17" s="2">
        <v>-3.871</v>
      </c>
      <c r="Q17" s="2">
        <v>2.09</v>
      </c>
      <c r="R17" s="2">
        <f>+R16*0.1</f>
        <v>7.6478984766000053</v>
      </c>
      <c r="S17" s="2">
        <f t="shared" ref="S17:V17" si="36">+S16*0.1</f>
        <v>10.031096085889407</v>
      </c>
      <c r="T17" s="2">
        <f t="shared" si="36"/>
        <v>17.600711231667415</v>
      </c>
      <c r="U17" s="2">
        <f t="shared" si="36"/>
        <v>21.215412563525412</v>
      </c>
      <c r="V17" s="2">
        <f t="shared" si="36"/>
        <v>24.431260356995416</v>
      </c>
      <c r="Y17" s="2">
        <f t="shared" si="4"/>
        <v>-5.4939999999999998</v>
      </c>
      <c r="Z17" s="2">
        <f t="shared" si="5"/>
        <v>-1.7729999999999999</v>
      </c>
      <c r="AA17" s="2">
        <f t="shared" si="6"/>
        <v>7.2970000000000006</v>
      </c>
      <c r="AB17" s="2">
        <f t="shared" si="7"/>
        <v>5.0248984766000051</v>
      </c>
      <c r="AC17" s="2">
        <f t="shared" si="8"/>
        <v>73.278480238077648</v>
      </c>
      <c r="AD17" s="2">
        <f>+AD16*0.115</f>
        <v>94.5858396189291</v>
      </c>
      <c r="AE17" s="2">
        <f t="shared" ref="AE17:AJ17" si="37">+AE16*0.115</f>
        <v>110.9844020626231</v>
      </c>
      <c r="AF17" s="2">
        <f t="shared" si="37"/>
        <v>147.16039490660887</v>
      </c>
      <c r="AG17" s="2">
        <f t="shared" si="37"/>
        <v>175.52253021720458</v>
      </c>
      <c r="AH17" s="2">
        <f t="shared" si="37"/>
        <v>253.70264746572764</v>
      </c>
      <c r="AI17" s="2">
        <f t="shared" si="37"/>
        <v>299.49129066305284</v>
      </c>
      <c r="AJ17" s="2">
        <f t="shared" si="37"/>
        <v>353.79641340588989</v>
      </c>
    </row>
    <row r="18" spans="2:97" s="5" customFormat="1" ht="15" x14ac:dyDescent="0.25">
      <c r="B18" s="5" t="s">
        <v>38</v>
      </c>
      <c r="C18" s="6">
        <f t="shared" ref="C18:Q18" si="38">+C16-C17</f>
        <v>-74.410000000000011</v>
      </c>
      <c r="D18" s="6">
        <f t="shared" si="38"/>
        <v>-86.155999999999977</v>
      </c>
      <c r="E18" s="6">
        <f t="shared" si="38"/>
        <v>-153.3309999999999</v>
      </c>
      <c r="F18" s="6">
        <f t="shared" si="38"/>
        <v>-104.361</v>
      </c>
      <c r="G18" s="6">
        <f t="shared" si="38"/>
        <v>-116.27500000000008</v>
      </c>
      <c r="H18" s="6">
        <f t="shared" si="38"/>
        <v>-120.71200000000006</v>
      </c>
      <c r="I18" s="6">
        <f t="shared" si="38"/>
        <v>-115.72900000000023</v>
      </c>
      <c r="J18" s="6">
        <f t="shared" si="38"/>
        <v>-127.95799999999997</v>
      </c>
      <c r="K18" s="6">
        <f t="shared" si="38"/>
        <v>-158.36799999999999</v>
      </c>
      <c r="L18" s="6">
        <f t="shared" si="38"/>
        <v>-28.015999999999906</v>
      </c>
      <c r="M18" s="6">
        <f t="shared" si="38"/>
        <v>-24.34</v>
      </c>
      <c r="N18" s="6">
        <f t="shared" si="38"/>
        <v>-71.707000000000036</v>
      </c>
      <c r="O18" s="6">
        <f t="shared" si="38"/>
        <v>-46.521999999999878</v>
      </c>
      <c r="P18" s="6">
        <f t="shared" si="38"/>
        <v>105.73599999999999</v>
      </c>
      <c r="Q18" s="6">
        <f t="shared" si="38"/>
        <v>43.412000000000162</v>
      </c>
      <c r="R18" s="6">
        <f t="shared" ref="R18:V18" si="39">+R16-R17</f>
        <v>68.831086289400048</v>
      </c>
      <c r="S18" s="6">
        <f t="shared" si="39"/>
        <v>90.279864773004661</v>
      </c>
      <c r="T18" s="6">
        <f t="shared" si="39"/>
        <v>158.40640108500671</v>
      </c>
      <c r="U18" s="6">
        <f t="shared" si="39"/>
        <v>190.9387130717287</v>
      </c>
      <c r="V18" s="6">
        <f t="shared" si="39"/>
        <v>219.88134321295874</v>
      </c>
      <c r="Y18" s="6">
        <f t="shared" si="4"/>
        <v>-418.25799999999987</v>
      </c>
      <c r="Z18" s="6">
        <f t="shared" si="5"/>
        <v>-480.67400000000032</v>
      </c>
      <c r="AA18" s="6">
        <f t="shared" si="6"/>
        <v>-282.43099999999993</v>
      </c>
      <c r="AB18" s="6">
        <f t="shared" si="7"/>
        <v>171.45708628940031</v>
      </c>
      <c r="AC18" s="6">
        <f t="shared" si="8"/>
        <v>659.50632214269888</v>
      </c>
      <c r="AD18" s="6">
        <f>+AD16-AD17</f>
        <v>727.89972228480224</v>
      </c>
      <c r="AE18" s="6">
        <f>+AE16-AE17</f>
        <v>854.09735500366469</v>
      </c>
      <c r="AF18" s="6">
        <f t="shared" ref="AF18:AJ18" si="40">+AF16-AF17</f>
        <v>1132.4952129769465</v>
      </c>
      <c r="AG18" s="6">
        <f t="shared" si="40"/>
        <v>1350.7603412367482</v>
      </c>
      <c r="AH18" s="6">
        <f t="shared" si="40"/>
        <v>1952.4073304971212</v>
      </c>
      <c r="AI18" s="6">
        <f t="shared" si="40"/>
        <v>2304.7808020591456</v>
      </c>
      <c r="AJ18" s="6">
        <f t="shared" si="40"/>
        <v>2722.6941379496743</v>
      </c>
      <c r="AK18" s="5">
        <f>+AJ18*(1+$X$35)</f>
        <v>2635.5679255352848</v>
      </c>
      <c r="AL18" s="5">
        <f>+AK18*(1+$X$35)</f>
        <v>2551.2297519181557</v>
      </c>
      <c r="AM18" s="5">
        <f>+AL18*(1+$X$35)</f>
        <v>2469.5903998567746</v>
      </c>
      <c r="AN18" s="5">
        <f>+AM18*(1+$X$35)</f>
        <v>2390.563507061358</v>
      </c>
      <c r="AO18" s="5">
        <f>+AN18*(1+$X$35)</f>
        <v>2314.0654748353945</v>
      </c>
      <c r="AP18" s="5">
        <f>+AO18*(1+$X$35)</f>
        <v>2240.0153796406616</v>
      </c>
      <c r="AQ18" s="5">
        <f>+AP18*(1+$X$35)</f>
        <v>2168.3348874921603</v>
      </c>
      <c r="AR18" s="5">
        <f>+AQ18*(1+$X$35)</f>
        <v>2098.948171092411</v>
      </c>
      <c r="AS18" s="5">
        <f>+AR18*(1+$X$35)</f>
        <v>2031.7818296174539</v>
      </c>
      <c r="AT18" s="5">
        <f>+AS18*(1+$X$35)</f>
        <v>1966.7648110696953</v>
      </c>
      <c r="AU18" s="5">
        <f>+AT18*(1+$X$35)</f>
        <v>1903.828337115465</v>
      </c>
      <c r="AV18" s="5">
        <f>+AU18*(1+$X$35)</f>
        <v>1842.9058303277702</v>
      </c>
      <c r="AW18" s="5">
        <f>+AV18*(1+$X$35)</f>
        <v>1783.9328437572815</v>
      </c>
      <c r="AX18" s="5">
        <f>+AW18*(1+$X$35)</f>
        <v>1726.8469927570484</v>
      </c>
      <c r="AY18" s="5">
        <f>+AX18*(1+$X$35)</f>
        <v>1671.5878889888229</v>
      </c>
      <c r="AZ18" s="5">
        <f>+AY18*(1+$X$35)</f>
        <v>1618.0970765411805</v>
      </c>
      <c r="BA18" s="5">
        <f>+AZ18*(1+$X$35)</f>
        <v>1566.3179700918627</v>
      </c>
      <c r="BB18" s="5">
        <f>+BA18*(1+$X$35)</f>
        <v>1516.1957950489229</v>
      </c>
      <c r="BC18" s="5">
        <f>+BB18*(1+$X$35)</f>
        <v>1467.6775296073574</v>
      </c>
      <c r="BD18" s="5">
        <f>+BC18*(1+$X$35)</f>
        <v>1420.711848659922</v>
      </c>
      <c r="BE18" s="5">
        <f>+BD18*(1+$X$35)</f>
        <v>1375.2490695028046</v>
      </c>
      <c r="BF18" s="5">
        <f>+BE18*(1+$X$35)</f>
        <v>1331.2410992787147</v>
      </c>
      <c r="BG18" s="5">
        <f>+BF18*(1+$X$35)</f>
        <v>1288.6413841017959</v>
      </c>
      <c r="BH18" s="5">
        <f>+BG18*(1+$X$35)</f>
        <v>1247.4048598105385</v>
      </c>
      <c r="BI18" s="5">
        <f>+BH18*(1+$X$35)</f>
        <v>1207.4879042966013</v>
      </c>
      <c r="BJ18" s="5">
        <f>+BI18*(1+$X$35)</f>
        <v>1168.8482913591101</v>
      </c>
      <c r="BK18" s="5">
        <f>+BJ18*(1+$X$35)</f>
        <v>1131.4451460356186</v>
      </c>
      <c r="BL18" s="5">
        <f>+BK18*(1+$X$35)</f>
        <v>1095.2389013624788</v>
      </c>
      <c r="BM18" s="5">
        <f>+BL18*(1+$X$35)</f>
        <v>1060.1912565188795</v>
      </c>
      <c r="BN18" s="5">
        <f>+BM18*(1+$X$35)</f>
        <v>1026.2651363102752</v>
      </c>
      <c r="BO18" s="5">
        <f>+BN18*(1+$X$35)</f>
        <v>993.42465194834642</v>
      </c>
      <c r="BP18" s="5">
        <f>+BO18*(1+$X$35)</f>
        <v>961.63506308599926</v>
      </c>
      <c r="BQ18" s="5">
        <f>+BP18*(1+$X$35)</f>
        <v>930.86274106724727</v>
      </c>
      <c r="BR18" s="5">
        <f>+BQ18*(1+$X$35)</f>
        <v>901.07513335309534</v>
      </c>
      <c r="BS18" s="5">
        <f>+BR18*(1+$X$35)</f>
        <v>872.24072908579626</v>
      </c>
      <c r="BT18" s="5">
        <f>+BS18*(1+$X$35)</f>
        <v>844.32902575505079</v>
      </c>
      <c r="BU18" s="5">
        <f>+BT18*(1+$X$35)</f>
        <v>817.31049693088914</v>
      </c>
      <c r="BV18" s="5">
        <f>+BU18*(1+$X$35)</f>
        <v>791.15656102910066</v>
      </c>
      <c r="BW18" s="5">
        <f>+BV18*(1+$X$35)</f>
        <v>765.83955107616941</v>
      </c>
      <c r="BX18" s="5">
        <f>+BW18*(1+$X$35)</f>
        <v>741.332685441732</v>
      </c>
      <c r="BY18" s="5">
        <f>+BX18*(1+$X$35)</f>
        <v>717.61003950759653</v>
      </c>
      <c r="BZ18" s="5">
        <f>+BY18*(1+$X$35)</f>
        <v>694.6465182433534</v>
      </c>
      <c r="CA18" s="5">
        <f>+BZ18*(1+$X$35)</f>
        <v>672.41782965956611</v>
      </c>
      <c r="CB18" s="5">
        <f>+CA18*(1+$X$35)</f>
        <v>650.90045911046002</v>
      </c>
      <c r="CC18" s="5">
        <f>+CB18*(1+$X$35)</f>
        <v>630.0716444189253</v>
      </c>
      <c r="CD18" s="5">
        <f>+CC18*(1+$X$35)</f>
        <v>609.90935179751966</v>
      </c>
      <c r="CE18" s="5">
        <f>+CD18*(1+$X$35)</f>
        <v>590.39225253999905</v>
      </c>
      <c r="CF18" s="5">
        <f>+CE18*(1+$X$35)</f>
        <v>571.49970045871908</v>
      </c>
      <c r="CG18" s="5">
        <f>+CF18*(1+$X$35)</f>
        <v>553.21171004404005</v>
      </c>
      <c r="CH18" s="5">
        <f>+CG18*(1+$X$35)</f>
        <v>535.5089353226308</v>
      </c>
      <c r="CI18" s="5">
        <f>+CH18*(1+$X$35)</f>
        <v>518.37264939230658</v>
      </c>
      <c r="CJ18" s="5">
        <f>+CI18*(1+$X$35)</f>
        <v>501.78472461175278</v>
      </c>
      <c r="CK18" s="5">
        <f>+CJ18*(1+$X$35)</f>
        <v>485.7276134241767</v>
      </c>
      <c r="CL18" s="5">
        <f>+CK18*(1+$X$35)</f>
        <v>470.184329794603</v>
      </c>
      <c r="CM18" s="5">
        <f>+CL18*(1+$X$35)</f>
        <v>455.13843124117568</v>
      </c>
      <c r="CN18" s="5">
        <f>+CM18*(1+$X$35)</f>
        <v>440.57400144145805</v>
      </c>
      <c r="CO18" s="5">
        <f>+CN18*(1+$X$35)</f>
        <v>426.47563339533139</v>
      </c>
      <c r="CP18" s="5">
        <f>+CO18*(1+$X$35)</f>
        <v>412.82841312668074</v>
      </c>
      <c r="CQ18" s="5">
        <f>+CP18*(1+$X$35)</f>
        <v>399.61790390662696</v>
      </c>
      <c r="CR18" s="5">
        <f>+CQ18*(1+$X$35)</f>
        <v>386.8301309816149</v>
      </c>
      <c r="CS18" s="5">
        <f>+CR18*(1+$X$35)</f>
        <v>374.45156679020323</v>
      </c>
    </row>
    <row r="19" spans="2:97" x14ac:dyDescent="0.2">
      <c r="B19" t="s">
        <v>39</v>
      </c>
      <c r="C19" s="4">
        <f t="shared" ref="C19:Q19" si="41">+C18/C20</f>
        <v>-0.34925254042383425</v>
      </c>
      <c r="D19" s="4">
        <f t="shared" si="41"/>
        <v>-0.39899598021599386</v>
      </c>
      <c r="E19" s="4">
        <f t="shared" si="41"/>
        <v>-0.7043418743741211</v>
      </c>
      <c r="F19" s="4">
        <f t="shared" si="41"/>
        <v>-0.47361255451529605</v>
      </c>
      <c r="G19" s="4">
        <f t="shared" si="41"/>
        <v>-0.52069106036926449</v>
      </c>
      <c r="H19" s="4">
        <f t="shared" si="41"/>
        <v>-0.53319905297006986</v>
      </c>
      <c r="I19" s="4">
        <f t="shared" si="41"/>
        <v>-0.50655910636826518</v>
      </c>
      <c r="J19" s="4">
        <f t="shared" si="41"/>
        <v>-0.55515399733612147</v>
      </c>
      <c r="K19" s="4">
        <f t="shared" si="41"/>
        <v>-0.6798689785737897</v>
      </c>
      <c r="L19" s="4">
        <f t="shared" si="41"/>
        <v>-0.11871085838255567</v>
      </c>
      <c r="M19" s="4">
        <f t="shared" si="41"/>
        <v>-0.10224356147005574</v>
      </c>
      <c r="N19" s="4">
        <f t="shared" si="41"/>
        <v>-0.29754929624219906</v>
      </c>
      <c r="O19" s="4">
        <f t="shared" si="41"/>
        <v>-0.19086810071428814</v>
      </c>
      <c r="P19" s="4">
        <f t="shared" si="41"/>
        <v>0.40665189834471716</v>
      </c>
      <c r="Q19" s="4">
        <f t="shared" si="41"/>
        <v>0.17040351703564202</v>
      </c>
      <c r="R19" s="4">
        <f t="shared" ref="R19:V19" si="42">+R18/R20</f>
        <v>0.2701801157536507</v>
      </c>
      <c r="S19" s="4">
        <f t="shared" si="42"/>
        <v>0.35437221217225884</v>
      </c>
      <c r="T19" s="4">
        <f t="shared" si="42"/>
        <v>0.62178678397317755</v>
      </c>
      <c r="U19" s="4">
        <f t="shared" si="42"/>
        <v>0.74948466427904181</v>
      </c>
      <c r="V19" s="4">
        <f t="shared" si="42"/>
        <v>0.86309209928151498</v>
      </c>
      <c r="Y19" s="4">
        <f>+Y18/Y20</f>
        <v>-1.9296081344171836</v>
      </c>
      <c r="Z19" s="4">
        <f>+Z18/Z20</f>
        <v>-2.1159848699118378</v>
      </c>
      <c r="AA19" s="4">
        <f>+AA18/AA20</f>
        <v>-1.1917020396796594</v>
      </c>
      <c r="AB19" s="4">
        <f>+AB18/AB20</f>
        <v>0.67684325100056875</v>
      </c>
      <c r="AC19" s="4">
        <f>+AC18/AC20</f>
        <v>2.5862993025203878</v>
      </c>
      <c r="AD19" s="4">
        <f t="shared" ref="AD19:AJ19" si="43">+AD18/AD20</f>
        <v>2.8545087148423618</v>
      </c>
      <c r="AE19" s="4">
        <f t="shared" si="43"/>
        <v>3.349401392171234</v>
      </c>
      <c r="AF19" s="4">
        <f t="shared" si="43"/>
        <v>4.4411576979488094</v>
      </c>
      <c r="AG19" s="4">
        <f t="shared" si="43"/>
        <v>5.2970993773990127</v>
      </c>
      <c r="AH19" s="4">
        <f t="shared" si="43"/>
        <v>7.6564993352828283</v>
      </c>
      <c r="AI19" s="4">
        <f t="shared" si="43"/>
        <v>9.0383560865064538</v>
      </c>
      <c r="AJ19" s="4">
        <f t="shared" si="43"/>
        <v>10.677231913528134</v>
      </c>
    </row>
    <row r="20" spans="2:97" x14ac:dyDescent="0.2">
      <c r="B20" t="s">
        <v>1</v>
      </c>
      <c r="C20" s="2">
        <v>213.05500000000001</v>
      </c>
      <c r="D20" s="2">
        <v>215.93199999999999</v>
      </c>
      <c r="E20" s="2">
        <v>217.69399999999999</v>
      </c>
      <c r="F20" s="2">
        <v>220.351</v>
      </c>
      <c r="G20" s="2">
        <v>223.309</v>
      </c>
      <c r="H20" s="2">
        <v>226.392</v>
      </c>
      <c r="I20" s="2">
        <v>228.46100000000001</v>
      </c>
      <c r="J20" s="2">
        <v>230.49100000000001</v>
      </c>
      <c r="K20" s="2">
        <v>232.93899999999999</v>
      </c>
      <c r="L20" s="2">
        <v>236.00200000000001</v>
      </c>
      <c r="M20" s="2">
        <v>238.059</v>
      </c>
      <c r="N20" s="2">
        <v>240.99199999999999</v>
      </c>
      <c r="O20" s="2">
        <v>243.739</v>
      </c>
      <c r="P20" s="2">
        <v>260.01600000000002</v>
      </c>
      <c r="Q20" s="2">
        <v>254.76</v>
      </c>
      <c r="R20" s="2">
        <v>254.76</v>
      </c>
      <c r="S20" s="2">
        <v>254.76</v>
      </c>
      <c r="T20" s="2">
        <v>254.76</v>
      </c>
      <c r="U20" s="2">
        <v>254.76</v>
      </c>
      <c r="V20" s="2">
        <v>254.76</v>
      </c>
      <c r="Y20" s="2">
        <f>+AVERAGE(C20:F20)</f>
        <v>216.75799999999998</v>
      </c>
      <c r="Z20" s="2">
        <f>+AVERAGE(G20:J20)</f>
        <v>227.16325000000001</v>
      </c>
      <c r="AA20" s="2">
        <f>+AVERAGE(K20:N20)</f>
        <v>236.99799999999999</v>
      </c>
      <c r="AB20" s="2">
        <f>+AVERAGE(O20:R20)</f>
        <v>253.31874999999999</v>
      </c>
      <c r="AC20">
        <v>255</v>
      </c>
      <c r="AD20">
        <v>255</v>
      </c>
      <c r="AE20">
        <v>255</v>
      </c>
      <c r="AF20">
        <v>255</v>
      </c>
      <c r="AG20">
        <v>255</v>
      </c>
      <c r="AH20">
        <v>255</v>
      </c>
      <c r="AI20">
        <v>255</v>
      </c>
      <c r="AJ20">
        <v>255</v>
      </c>
    </row>
    <row r="22" spans="2:97" x14ac:dyDescent="0.2">
      <c r="B22" t="s">
        <v>40</v>
      </c>
      <c r="C22" s="7">
        <f t="shared" ref="C22:H22" si="44">+C9/C5</f>
        <v>0.71232035277211581</v>
      </c>
      <c r="D22" s="7">
        <f t="shared" si="44"/>
        <v>0.70191448817959867</v>
      </c>
      <c r="E22" s="7">
        <f t="shared" si="44"/>
        <v>0.69994039201333713</v>
      </c>
      <c r="F22" s="7">
        <f t="shared" si="44"/>
        <v>0.70360169813904649</v>
      </c>
      <c r="G22" s="7">
        <f t="shared" si="44"/>
        <v>0.70520874365951358</v>
      </c>
      <c r="H22" s="7">
        <f t="shared" si="44"/>
        <v>0.69999053789797139</v>
      </c>
      <c r="I22" s="7">
        <f t="shared" ref="I22:Q22" si="45">+I9/I5</f>
        <v>0.71119283658458576</v>
      </c>
      <c r="J22" s="7">
        <f t="shared" si="45"/>
        <v>0.70831169549492523</v>
      </c>
      <c r="K22" s="7">
        <f t="shared" si="45"/>
        <v>0.69988756707924804</v>
      </c>
      <c r="L22" s="7">
        <f t="shared" si="45"/>
        <v>0.73231089101638747</v>
      </c>
      <c r="M22" s="7">
        <f t="shared" si="45"/>
        <v>0.73309975044305398</v>
      </c>
      <c r="N22" s="7">
        <f t="shared" si="45"/>
        <v>0.72338214554592983</v>
      </c>
      <c r="O22" s="7">
        <f t="shared" si="45"/>
        <v>0.71655859877977901</v>
      </c>
      <c r="P22" s="7">
        <f t="shared" si="45"/>
        <v>0.72585552869376313</v>
      </c>
      <c r="Q22" s="7">
        <f t="shared" si="45"/>
        <v>0.72897308219998602</v>
      </c>
      <c r="R22" s="7">
        <f t="shared" ref="R22:V22" si="46">+R9/R5</f>
        <v>0.73</v>
      </c>
      <c r="S22" s="7">
        <f t="shared" si="46"/>
        <v>0.73</v>
      </c>
      <c r="T22" s="7">
        <f t="shared" si="46"/>
        <v>0.72999999999999987</v>
      </c>
      <c r="U22" s="7">
        <f t="shared" si="46"/>
        <v>0.73</v>
      </c>
      <c r="V22" s="7">
        <f t="shared" si="46"/>
        <v>0.72999999999999987</v>
      </c>
      <c r="Y22" s="7">
        <f>+Y9/Y5</f>
        <v>0.70414714865812944</v>
      </c>
      <c r="Z22" s="7">
        <f t="shared" ref="Z22:AJ22" si="47">+Z9/Z5</f>
        <v>0.70631444698757107</v>
      </c>
      <c r="AA22" s="7">
        <f t="shared" si="47"/>
        <v>0.72252591248347608</v>
      </c>
      <c r="AB22" s="7">
        <f t="shared" si="47"/>
        <v>0.72562800029459218</v>
      </c>
      <c r="AC22" s="7">
        <f t="shared" si="47"/>
        <v>0.72999999999999987</v>
      </c>
      <c r="AD22" s="7">
        <f t="shared" si="47"/>
        <v>0.72</v>
      </c>
      <c r="AE22" s="7">
        <f t="shared" si="47"/>
        <v>0.72</v>
      </c>
      <c r="AF22" s="7">
        <f t="shared" si="47"/>
        <v>0.72</v>
      </c>
      <c r="AG22" s="7">
        <f t="shared" si="47"/>
        <v>0.73000000000000009</v>
      </c>
      <c r="AH22" s="7">
        <f t="shared" si="47"/>
        <v>0.73</v>
      </c>
      <c r="AI22" s="7">
        <f t="shared" si="47"/>
        <v>0.73</v>
      </c>
      <c r="AJ22" s="7">
        <f t="shared" si="47"/>
        <v>0.73</v>
      </c>
    </row>
    <row r="23" spans="2:97" x14ac:dyDescent="0.2">
      <c r="B23" t="s">
        <v>88</v>
      </c>
      <c r="C23" s="7">
        <f>+C14/C5</f>
        <v>-0.11519406184180538</v>
      </c>
      <c r="D23" s="7">
        <f t="shared" ref="D23:P23" si="48">+D14/D5</f>
        <v>-0.13246888584529262</v>
      </c>
      <c r="E23" s="7">
        <f t="shared" si="48"/>
        <v>-0.24590649215744564</v>
      </c>
      <c r="F23" s="7">
        <f t="shared" si="48"/>
        <v>-0.15252184807031963</v>
      </c>
      <c r="G23" s="7">
        <f t="shared" si="48"/>
        <v>-0.14954881795759078</v>
      </c>
      <c r="H23" s="7">
        <f t="shared" si="48"/>
        <v>-0.13798560859339104</v>
      </c>
      <c r="I23" s="7">
        <f t="shared" si="48"/>
        <v>-0.11752478413815183</v>
      </c>
      <c r="J23" s="7">
        <f t="shared" si="48"/>
        <v>-0.14964370546318287</v>
      </c>
      <c r="K23" s="7">
        <f t="shared" si="48"/>
        <v>-0.14184910421893487</v>
      </c>
      <c r="L23" s="7">
        <f t="shared" si="48"/>
        <v>-1.5776384765251561E-2</v>
      </c>
      <c r="M23" s="7">
        <f t="shared" si="48"/>
        <v>-1.2728308437918187E-2</v>
      </c>
      <c r="N23" s="7">
        <f t="shared" si="48"/>
        <v>-6.4780451079983495E-2</v>
      </c>
      <c r="O23" s="7">
        <f t="shared" si="48"/>
        <v>-3.2605892770671011E-2</v>
      </c>
      <c r="P23" s="7">
        <f t="shared" si="48"/>
        <v>-8.8863428811269518E-4</v>
      </c>
      <c r="Q23" s="7">
        <f>+Q14/Q5</f>
        <v>1.8040885642107225E-2</v>
      </c>
      <c r="Y23" s="7">
        <f t="shared" ref="Y23:AA23" si="49">+Y14/Y5</f>
        <v>-0.16415820394163372</v>
      </c>
      <c r="Z23" s="7">
        <f t="shared" si="49"/>
        <v>-0.13846194564080461</v>
      </c>
      <c r="AA23" s="7">
        <f t="shared" si="49"/>
        <v>-5.757277218413355E-2</v>
      </c>
      <c r="AB23" s="7">
        <f>+AB14/AB5</f>
        <v>8.5803068199440304E-3</v>
      </c>
    </row>
    <row r="24" spans="2:97" x14ac:dyDescent="0.2">
      <c r="B24" t="s">
        <v>89</v>
      </c>
      <c r="C24" s="7">
        <f>+C17/C16</f>
        <v>9.3460432420918085E-3</v>
      </c>
      <c r="D24" s="7">
        <f>+D17/D16</f>
        <v>1.3883642939715465E-2</v>
      </c>
      <c r="E24" s="7">
        <f>+E17/E16</f>
        <v>1.7977686405615558E-2</v>
      </c>
      <c r="F24" s="7">
        <f>+F17/F16</f>
        <v>7.3430797180713946E-3</v>
      </c>
      <c r="G24" s="7">
        <f>+G17/G16</f>
        <v>-2.5807561615553341E-4</v>
      </c>
      <c r="H24" s="7">
        <f>+H17/H16</f>
        <v>1.5423766139490869E-2</v>
      </c>
      <c r="I24" s="7">
        <f>+I17/I16</f>
        <v>-1.1740947318727794E-2</v>
      </c>
      <c r="J24" s="7">
        <f>+J17/J16</f>
        <v>9.712645012498744E-3</v>
      </c>
      <c r="K24" s="7">
        <f>+K17/K16</f>
        <v>-1.8902399794119541E-2</v>
      </c>
      <c r="L24" s="7">
        <f>+L17/L16</f>
        <v>6.7713688091608692E-3</v>
      </c>
      <c r="M24" s="7">
        <f>+M17/M16</f>
        <v>-6.1815643676656637E-2</v>
      </c>
      <c r="N24" s="7">
        <f>+N17/N16</f>
        <v>-4.5687870038206874E-2</v>
      </c>
      <c r="O24" s="7">
        <f>+O17/O16</f>
        <v>1.7777214762266746E-2</v>
      </c>
      <c r="P24" s="7">
        <f>+P17/P16</f>
        <v>-3.8001276198890689E-2</v>
      </c>
      <c r="Q24" s="7">
        <f>+Q17/Q16</f>
        <v>4.5932046942991349E-2</v>
      </c>
      <c r="Y24" s="7">
        <f>+Y17/Y16</f>
        <v>1.2965130548056411E-2</v>
      </c>
      <c r="Z24" s="7">
        <f>+Z17/Z16</f>
        <v>3.6750150793765919E-3</v>
      </c>
      <c r="AA24" s="7">
        <f>+AA17/AA16</f>
        <v>-2.6521622191368575E-2</v>
      </c>
      <c r="AB24" s="7">
        <f>+AB17/AB16</f>
        <v>2.8472585931434199E-2</v>
      </c>
      <c r="AC24" s="7">
        <f>+AC17/AC16</f>
        <v>0.1</v>
      </c>
    </row>
    <row r="25" spans="2:97" x14ac:dyDescent="0.2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Y25" s="7"/>
      <c r="Z25" s="7"/>
      <c r="AA25" s="7"/>
      <c r="AB25" s="7"/>
      <c r="AC25" s="7"/>
    </row>
    <row r="26" spans="2:97" x14ac:dyDescent="0.2">
      <c r="B26" t="s">
        <v>92</v>
      </c>
      <c r="C26" s="7">
        <f>+C10/C$9</f>
        <v>0.5981410209861302</v>
      </c>
      <c r="D26" s="7">
        <f>+D10/D$9</f>
        <v>0.62109482703768892</v>
      </c>
      <c r="E26" s="7">
        <f>+E10/E$9</f>
        <v>0.61132321391496902</v>
      </c>
      <c r="F26" s="7">
        <f>+F10/F$9</f>
        <v>0.6080684111880047</v>
      </c>
      <c r="G26" s="7">
        <f>+G10/G$9</f>
        <v>0.59781622312816673</v>
      </c>
      <c r="H26" s="7">
        <f>+H10/H$9</f>
        <v>0.60848253510519501</v>
      </c>
      <c r="I26" s="7">
        <f>+I10/I$9</f>
        <v>0.60215837043032527</v>
      </c>
      <c r="J26" s="7">
        <f>+J10/J$9</f>
        <v>0.61055147760598327</v>
      </c>
      <c r="K26" s="7">
        <f>+K10/K$9</f>
        <v>0.62221099816907632</v>
      </c>
      <c r="L26" s="7">
        <f>+L10/L$9</f>
        <v>0.53836490118170477</v>
      </c>
      <c r="M26" s="7">
        <f>+M10/M$9</f>
        <v>0.51797345515855742</v>
      </c>
      <c r="N26" s="7">
        <f>+N10/N$9</f>
        <v>0.53637129873937262</v>
      </c>
      <c r="O26" s="7">
        <f>+O10/O$9</f>
        <v>0.52449701893156597</v>
      </c>
      <c r="P26" s="7">
        <f>+P10/P$9</f>
        <v>0.48560513313803511</v>
      </c>
      <c r="Q26" s="7">
        <f>+Q10/Q$9</f>
        <v>0.47090091458845579</v>
      </c>
      <c r="R26" s="9">
        <f>+R10/R$9</f>
        <v>0.45</v>
      </c>
      <c r="S26" s="9">
        <f>+S10/S$9</f>
        <v>0.45</v>
      </c>
      <c r="T26" s="9">
        <f>+T10/T$9</f>
        <v>0.42</v>
      </c>
      <c r="U26" s="9">
        <f>+U10/U$9</f>
        <v>0.4</v>
      </c>
      <c r="V26" s="9">
        <f>+V10/V$9</f>
        <v>0.38</v>
      </c>
      <c r="Y26" s="9">
        <f>+Y10/Y$9</f>
        <v>0.60980963451638703</v>
      </c>
      <c r="Z26" s="9">
        <f>+Z10/Z$9</f>
        <v>0.60497168560798265</v>
      </c>
      <c r="AA26" s="9">
        <f>+AA10/AA$9</f>
        <v>0.55169776631289058</v>
      </c>
      <c r="AB26" s="9">
        <f>+AB10/AB$9</f>
        <v>0.48109947401288938</v>
      </c>
      <c r="AC26" s="9">
        <f>+AC10/AC$9</f>
        <v>0.41076161644932391</v>
      </c>
      <c r="AD26" s="9">
        <f>+AD10/AD$9</f>
        <v>0.38</v>
      </c>
      <c r="AE26" s="9">
        <f>+AE10/AE$9</f>
        <v>0.38</v>
      </c>
      <c r="AF26" s="9">
        <f>+AF10/AF$9</f>
        <v>0.36</v>
      </c>
      <c r="AG26" s="9">
        <f>+AG10/AG$9</f>
        <v>0.36</v>
      </c>
      <c r="AH26" s="9">
        <f>+AH10/AH$9</f>
        <v>0.32</v>
      </c>
      <c r="AI26" s="9">
        <f>+AI10/AI$9</f>
        <v>0.32</v>
      </c>
      <c r="AJ26" s="9">
        <f>+AJ10/AJ$9</f>
        <v>0.32</v>
      </c>
    </row>
    <row r="27" spans="2:97" x14ac:dyDescent="0.2">
      <c r="B27" t="s">
        <v>93</v>
      </c>
      <c r="C27" s="7">
        <f>+C11/C$9</f>
        <v>0.43744780698569452</v>
      </c>
      <c r="D27" s="7">
        <f>+D11/D$9</f>
        <v>0.42941313707607798</v>
      </c>
      <c r="E27" s="7">
        <f>+E11/E$9</f>
        <v>0.47320584096518942</v>
      </c>
      <c r="F27" s="7">
        <f>+F11/F$9</f>
        <v>0.45046496539792397</v>
      </c>
      <c r="G27" s="7">
        <f>+G11/G$9</f>
        <v>0.46909438398449044</v>
      </c>
      <c r="H27" s="7">
        <f>+H11/H$9</f>
        <v>0.4509042222787239</v>
      </c>
      <c r="I27" s="7">
        <f>+I11/I$9</f>
        <v>0.42986645082962371</v>
      </c>
      <c r="J27" s="7">
        <f>+J11/J$9</f>
        <v>0.44339458934180159</v>
      </c>
      <c r="K27" s="7">
        <f>+K11/K$9</f>
        <v>0.44693758724947563</v>
      </c>
      <c r="L27" s="7">
        <f>+L11/L$9</f>
        <v>0.35553626766449353</v>
      </c>
      <c r="M27" s="7">
        <f>+M11/M$9</f>
        <v>0.37355432244791736</v>
      </c>
      <c r="N27" s="7">
        <f>+N11/N$9</f>
        <v>0.40951944688752079</v>
      </c>
      <c r="O27" s="7">
        <f>+O11/O$9</f>
        <v>0.38776930568422052</v>
      </c>
      <c r="P27" s="7">
        <f>+P11/P$9</f>
        <v>0.39149687377027681</v>
      </c>
      <c r="Q27" s="7">
        <f>+Q11/Q$9</f>
        <v>0.37861316184670579</v>
      </c>
      <c r="R27" s="9">
        <f>+R11/R$9</f>
        <v>0.37</v>
      </c>
      <c r="S27" s="9">
        <f>+S11/S$9</f>
        <v>0.35</v>
      </c>
      <c r="T27" s="9">
        <f>+T11/T$9</f>
        <v>0.32</v>
      </c>
      <c r="U27" s="9">
        <f>+U11/U$9</f>
        <v>0.32</v>
      </c>
      <c r="V27" s="9">
        <f>+V11/V$9</f>
        <v>0.32</v>
      </c>
      <c r="Y27" s="9">
        <f>+Y11/Y$9</f>
        <v>0.4485364049455775</v>
      </c>
      <c r="Z27" s="9">
        <f>+Z11/Z$9</f>
        <v>0.44752977031540064</v>
      </c>
      <c r="AA27" s="9">
        <f>+AA11/AA$9</f>
        <v>0.39526498590964226</v>
      </c>
      <c r="AB27" s="9">
        <f>+AB11/AB$9</f>
        <v>0.38156565603733644</v>
      </c>
      <c r="AC27" s="9">
        <f>+AC11/AC$9</f>
        <v>0.32674538606693454</v>
      </c>
      <c r="AD27" s="9">
        <f>+AD11/AD$9</f>
        <v>0.35</v>
      </c>
      <c r="AE27" s="9">
        <f>+AE11/AE$9</f>
        <v>0.35</v>
      </c>
      <c r="AF27" s="9">
        <f>+AF11/AF$9</f>
        <v>0.35</v>
      </c>
      <c r="AG27" s="9">
        <f>+AG11/AG$9</f>
        <v>0.35</v>
      </c>
      <c r="AH27" s="9">
        <f>+AH11/AH$9</f>
        <v>0.35</v>
      </c>
      <c r="AI27" s="9">
        <f>+AI11/AI$9</f>
        <v>0.35</v>
      </c>
      <c r="AJ27" s="9">
        <f>+AJ11/AJ$9</f>
        <v>0.34999999999999992</v>
      </c>
    </row>
    <row r="28" spans="2:97" x14ac:dyDescent="0.2">
      <c r="B28" t="s">
        <v>94</v>
      </c>
      <c r="C28" s="7">
        <f>+C12/C$9</f>
        <v>0.12612782296129549</v>
      </c>
      <c r="D28" s="7">
        <f>+D12/D$9</f>
        <v>0.13821714140278693</v>
      </c>
      <c r="E28" s="7">
        <f>+E12/E$9</f>
        <v>0.26679585073088952</v>
      </c>
      <c r="F28" s="7">
        <f>+F12/F$9</f>
        <v>0.15823961937716266</v>
      </c>
      <c r="G28" s="7">
        <f>+G12/G$9</f>
        <v>0.14515258595205521</v>
      </c>
      <c r="H28" s="7">
        <f>+H12/H$9</f>
        <v>0.13773820520165173</v>
      </c>
      <c r="I28" s="7">
        <f>+I12/I$9</f>
        <v>0.1332254148118171</v>
      </c>
      <c r="J28" s="7">
        <f>+J12/J$9</f>
        <v>0.15732208860430008</v>
      </c>
      <c r="K28" s="7">
        <f>+K12/K$9</f>
        <v>0.13352554524345675</v>
      </c>
      <c r="L28" s="7">
        <f>+L12/L$9</f>
        <v>0.12764211961064176</v>
      </c>
      <c r="M28" s="7">
        <f>+M12/M$9</f>
        <v>0.12583453690833138</v>
      </c>
      <c r="N28" s="7">
        <f>+N12/N$9</f>
        <v>0.14366143848333823</v>
      </c>
      <c r="O28" s="7">
        <f>+O12/O$9</f>
        <v>0.13323713152331407</v>
      </c>
      <c r="P28" s="7">
        <f>+P12/P$9</f>
        <v>0.12412225088540074</v>
      </c>
      <c r="Q28" s="7">
        <f>+Q12/Q$9</f>
        <v>0.12573756716783507</v>
      </c>
      <c r="R28" s="9">
        <f>+R12/R$9</f>
        <v>0.12</v>
      </c>
      <c r="S28" s="9">
        <f>+S12/S$9</f>
        <v>0.12</v>
      </c>
      <c r="T28" s="9">
        <f>+T12/T$9</f>
        <v>0.12</v>
      </c>
      <c r="U28" s="9">
        <f>+U12/U$9</f>
        <v>0.12</v>
      </c>
      <c r="V28" s="9">
        <f>+V12/V$9</f>
        <v>0.12</v>
      </c>
      <c r="Y28" s="9">
        <f>+Y12/Y$9</f>
        <v>0.17478449902628282</v>
      </c>
      <c r="Z28" s="9">
        <f>+Z12/Z$9</f>
        <v>0.14353296788225212</v>
      </c>
      <c r="AA28" s="9">
        <f>+AA12/AA$9</f>
        <v>0.13271988778998059</v>
      </c>
      <c r="AB28" s="9">
        <f>+AB12/AB$9</f>
        <v>0.12551020660097756</v>
      </c>
      <c r="AC28" s="9">
        <f>+AC12/AC$9</f>
        <v>0.12</v>
      </c>
      <c r="AD28" s="9">
        <f>+AD12/AD$9</f>
        <v>0.12000000000000001</v>
      </c>
      <c r="AE28" s="9">
        <f>+AE12/AE$9</f>
        <v>0.12</v>
      </c>
      <c r="AF28" s="9">
        <f>+AF12/AF$9</f>
        <v>0.12</v>
      </c>
      <c r="AG28" s="9">
        <f>+AG12/AG$9</f>
        <v>0.11999999999999998</v>
      </c>
      <c r="AH28" s="9">
        <f>+AH12/AH$9</f>
        <v>0.12000000000000001</v>
      </c>
      <c r="AI28" s="9">
        <f>+AI12/AI$9</f>
        <v>0.11999999999999998</v>
      </c>
      <c r="AJ28" s="9">
        <f>+AJ12/AJ$9</f>
        <v>0.12</v>
      </c>
    </row>
    <row r="29" spans="2:97" x14ac:dyDescent="0.2"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2:97" x14ac:dyDescent="0.2">
      <c r="B30" t="s">
        <v>90</v>
      </c>
      <c r="C30" s="7"/>
      <c r="D30" s="7"/>
      <c r="E30" s="7"/>
      <c r="F30" s="7"/>
      <c r="G30" s="7">
        <f>+G3/C3-1</f>
        <v>0.34257462908097125</v>
      </c>
      <c r="H30" s="7">
        <f>+H3/D3-1</f>
        <v>0.33853611451422139</v>
      </c>
      <c r="I30" s="7">
        <f>+I3/E3-1</f>
        <v>0.27882052990314143</v>
      </c>
      <c r="J30" s="7">
        <f>+J3/F3-1</f>
        <v>0.24667839565285177</v>
      </c>
      <c r="K30" s="7">
        <f>+K3/G3-1</f>
        <v>0.25809672707353815</v>
      </c>
      <c r="L30" s="7">
        <f>+L3/H3-1</f>
        <v>0.23052479347029342</v>
      </c>
      <c r="M30" s="7">
        <f>+M3/I3-1</f>
        <v>0.21293374209158</v>
      </c>
      <c r="N30" s="7">
        <f>+N3/J3-1</f>
        <v>0.19835440053162223</v>
      </c>
      <c r="O30" s="7">
        <f>+O3/K3-1</f>
        <v>0.17031802040011068</v>
      </c>
      <c r="P30" s="7">
        <f>+P3/L3-1</f>
        <v>0.19508038012317286</v>
      </c>
      <c r="Q30" s="7">
        <f>+Q3/M3-1</f>
        <v>0.20956133259408172</v>
      </c>
    </row>
    <row r="31" spans="2:97" x14ac:dyDescent="0.2">
      <c r="B31" t="s">
        <v>91</v>
      </c>
      <c r="G31" s="7">
        <f>+G4/C4-1</f>
        <v>0.28537525649263173</v>
      </c>
      <c r="H31" s="7">
        <f>+H4/D4-1</f>
        <v>0.23133856931388541</v>
      </c>
      <c r="I31" s="7">
        <f>+I4/E4-1</f>
        <v>0.17521658962895614</v>
      </c>
      <c r="J31" s="7">
        <f>+J4/F4-1</f>
        <v>0.18701285159406678</v>
      </c>
      <c r="K31" s="7">
        <f>+K4/G4-1</f>
        <v>9.9958881247430131E-2</v>
      </c>
      <c r="L31" s="7">
        <f>+L4/H4-1</f>
        <v>-2.5115431441763425E-3</v>
      </c>
      <c r="M31" s="7">
        <f>+M4/I4-1</f>
        <v>-1.5553358551123275E-2</v>
      </c>
      <c r="N31" s="7">
        <f>+N4/J4-1</f>
        <v>-8.1783243658723914E-2</v>
      </c>
      <c r="O31" s="7">
        <f>+O4/K4-1</f>
        <v>4.7167391097200806E-2</v>
      </c>
      <c r="P31" s="7">
        <f>+P4/L4-1</f>
        <v>0.12772033254266169</v>
      </c>
      <c r="Q31" s="7">
        <f>+Q4/M4-1</f>
        <v>0.13341532460538663</v>
      </c>
    </row>
    <row r="32" spans="2:97" x14ac:dyDescent="0.2">
      <c r="B32" t="s">
        <v>41</v>
      </c>
      <c r="G32" s="7">
        <f>+G5/C5-1</f>
        <v>0.33365284986656274</v>
      </c>
      <c r="H32" s="7">
        <f>+H5/D5-1</f>
        <v>0.32161019472399199</v>
      </c>
      <c r="I32" s="7">
        <f>+I5/E5-1</f>
        <v>0.26226303134195983</v>
      </c>
      <c r="J32" s="7">
        <f>+J5/F5-1</f>
        <v>0.23797151508696124</v>
      </c>
      <c r="K32" s="7">
        <f>+K5/G5-1</f>
        <v>0.23432377235457014</v>
      </c>
      <c r="L32" s="7">
        <f>+L5/H5-1</f>
        <v>0.19624286963025717</v>
      </c>
      <c r="M32" s="7">
        <f>+M5/I5-1</f>
        <v>0.17893614753224618</v>
      </c>
      <c r="N32" s="7">
        <f>+N5/J5-1</f>
        <v>0.1591571844281312</v>
      </c>
      <c r="O32" s="7">
        <f>+O5/K5-1</f>
        <v>0.15382001895157549</v>
      </c>
      <c r="P32" s="7">
        <f>+P5/L5-1</f>
        <v>0.18681748114583585</v>
      </c>
      <c r="Q32" s="7">
        <f>+Q5/M5-1</f>
        <v>0.20010036529350073</v>
      </c>
      <c r="Z32" s="7">
        <f>+Z5/Y5-1</f>
        <v>0.28524970058607169</v>
      </c>
      <c r="AA32" s="7">
        <f>+AA5/Z5-1</f>
        <v>0.1904468618545514</v>
      </c>
      <c r="AB32" s="7">
        <f>+AB5/AA5-1</f>
        <v>0.18552184161356333</v>
      </c>
    </row>
    <row r="34" spans="2:36" s="5" customFormat="1" ht="15" x14ac:dyDescent="0.25">
      <c r="B34" s="5" t="s">
        <v>59</v>
      </c>
      <c r="Q34" s="6">
        <f>+Q35-Q51</f>
        <v>1706.7720000000004</v>
      </c>
      <c r="R34" s="6">
        <f>+Q34+R18</f>
        <v>1775.6030862894004</v>
      </c>
      <c r="S34" s="6">
        <f>+R34+S18</f>
        <v>1865.882951062405</v>
      </c>
      <c r="T34" s="6">
        <f>+S34+T18</f>
        <v>2024.2893521474118</v>
      </c>
      <c r="U34" s="6">
        <f>+T34+U18</f>
        <v>2215.2280652191407</v>
      </c>
      <c r="V34" s="6">
        <f>+U34+V18</f>
        <v>2435.1094084320994</v>
      </c>
      <c r="W34" s="10" t="s">
        <v>95</v>
      </c>
      <c r="X34" s="8">
        <v>0.01</v>
      </c>
      <c r="AC34" s="5">
        <v>2435</v>
      </c>
      <c r="AD34" s="6">
        <f>+AC34+AD18</f>
        <v>3162.899722284802</v>
      </c>
      <c r="AE34" s="6">
        <f>+AD34+AE18</f>
        <v>4016.9970772884667</v>
      </c>
      <c r="AF34" s="6">
        <f>+AE34+AF18</f>
        <v>5149.4922902654134</v>
      </c>
      <c r="AG34" s="6">
        <f>+AF34+AG18</f>
        <v>6500.2526315021614</v>
      </c>
      <c r="AH34" s="6">
        <f>+AG34+AH18</f>
        <v>8452.659961999283</v>
      </c>
      <c r="AI34" s="6">
        <f>+AH34+AI18</f>
        <v>10757.440764058429</v>
      </c>
      <c r="AJ34" s="6">
        <f>+AI34+AJ18</f>
        <v>13480.134902008103</v>
      </c>
    </row>
    <row r="35" spans="2:36" x14ac:dyDescent="0.2">
      <c r="B35" t="s">
        <v>3</v>
      </c>
      <c r="Q35" s="2">
        <f>1297.259+2257.722</f>
        <v>3554.9810000000002</v>
      </c>
      <c r="W35" t="s">
        <v>96</v>
      </c>
      <c r="X35" s="21">
        <v>-3.2000000000000001E-2</v>
      </c>
    </row>
    <row r="36" spans="2:36" x14ac:dyDescent="0.2">
      <c r="B36" t="s">
        <v>42</v>
      </c>
      <c r="Q36" s="2">
        <v>865.04</v>
      </c>
      <c r="W36" t="s">
        <v>97</v>
      </c>
      <c r="X36" s="7">
        <v>0.06</v>
      </c>
    </row>
    <row r="37" spans="2:36" x14ac:dyDescent="0.2">
      <c r="B37" t="s">
        <v>43</v>
      </c>
      <c r="Q37" s="2">
        <v>135.82900000000001</v>
      </c>
      <c r="W37" t="s">
        <v>98</v>
      </c>
      <c r="X37" s="22">
        <f>+NPV(X36,AB18:CS18)</f>
        <v>25080.66794643685</v>
      </c>
    </row>
    <row r="38" spans="2:36" x14ac:dyDescent="0.2">
      <c r="B38" t="s">
        <v>44</v>
      </c>
      <c r="Q38" s="2">
        <v>137.858</v>
      </c>
      <c r="W38" t="s">
        <v>99</v>
      </c>
      <c r="X38" s="23">
        <f>+X37+Q34</f>
        <v>26787.439946436851</v>
      </c>
    </row>
    <row r="39" spans="2:36" x14ac:dyDescent="0.2">
      <c r="B39" t="s">
        <v>45</v>
      </c>
      <c r="Q39" s="2">
        <v>1120.1959999999999</v>
      </c>
      <c r="W39" t="s">
        <v>100</v>
      </c>
      <c r="X39">
        <f>+X38/250.57</f>
        <v>106.90601407365946</v>
      </c>
    </row>
    <row r="40" spans="2:36" x14ac:dyDescent="0.2">
      <c r="B40" t="s">
        <v>46</v>
      </c>
      <c r="Q40" s="2">
        <v>269.68700000000001</v>
      </c>
      <c r="W40" t="s">
        <v>101</v>
      </c>
      <c r="X40">
        <v>267.95999999999998</v>
      </c>
    </row>
    <row r="41" spans="2:36" x14ac:dyDescent="0.2">
      <c r="B41" t="s">
        <v>47</v>
      </c>
      <c r="Q41" s="2">
        <v>287.64499999999998</v>
      </c>
      <c r="W41" t="s">
        <v>102</v>
      </c>
      <c r="X41" s="7">
        <f>+X39/X40-1</f>
        <v>-0.60103741575735381</v>
      </c>
    </row>
    <row r="42" spans="2:36" x14ac:dyDescent="0.2">
      <c r="B42" t="s">
        <v>48</v>
      </c>
      <c r="Q42" s="2">
        <f>371.658+2428.481</f>
        <v>2800.1390000000001</v>
      </c>
    </row>
    <row r="43" spans="2:36" x14ac:dyDescent="0.2">
      <c r="B43" t="s">
        <v>49</v>
      </c>
      <c r="Q43" s="2">
        <v>269.50799999999998</v>
      </c>
    </row>
    <row r="44" spans="2:36" x14ac:dyDescent="0.2">
      <c r="B44" t="s">
        <v>50</v>
      </c>
      <c r="Q44" s="2">
        <f>+SUM(Q35:Q43)</f>
        <v>9440.8829999999998</v>
      </c>
    </row>
    <row r="46" spans="2:36" x14ac:dyDescent="0.2">
      <c r="B46" t="s">
        <v>51</v>
      </c>
      <c r="Q46" s="2">
        <v>47.927999999999997</v>
      </c>
    </row>
    <row r="47" spans="2:36" x14ac:dyDescent="0.2">
      <c r="B47" t="s">
        <v>52</v>
      </c>
      <c r="Q47" s="2">
        <v>196.33099999999999</v>
      </c>
    </row>
    <row r="48" spans="2:36" x14ac:dyDescent="0.2">
      <c r="B48" t="s">
        <v>53</v>
      </c>
      <c r="Q48" s="2">
        <v>311.81900000000002</v>
      </c>
    </row>
    <row r="49" spans="2:17" x14ac:dyDescent="0.2">
      <c r="B49" t="s">
        <v>54</v>
      </c>
      <c r="Q49" s="2">
        <v>2423.3049999999998</v>
      </c>
    </row>
    <row r="50" spans="2:17" x14ac:dyDescent="0.2">
      <c r="B50" t="s">
        <v>46</v>
      </c>
      <c r="Q50" s="2">
        <v>83.451999999999998</v>
      </c>
    </row>
    <row r="51" spans="2:17" x14ac:dyDescent="0.2">
      <c r="B51" t="s">
        <v>4</v>
      </c>
      <c r="Q51" s="2">
        <f>1212.215+635.994</f>
        <v>1848.2089999999998</v>
      </c>
    </row>
    <row r="52" spans="2:17" x14ac:dyDescent="0.2">
      <c r="B52" t="s">
        <v>55</v>
      </c>
      <c r="Q52" s="2">
        <v>70.605999999999995</v>
      </c>
    </row>
    <row r="53" spans="2:17" x14ac:dyDescent="0.2">
      <c r="B53" t="s">
        <v>56</v>
      </c>
      <c r="Q53" s="2">
        <v>202.96899999999999</v>
      </c>
    </row>
    <row r="54" spans="2:17" x14ac:dyDescent="0.2">
      <c r="B54" t="s">
        <v>57</v>
      </c>
      <c r="Q54" s="2">
        <v>40.448</v>
      </c>
    </row>
    <row r="55" spans="2:17" x14ac:dyDescent="0.2">
      <c r="B55" t="s">
        <v>58</v>
      </c>
      <c r="Q55" s="2">
        <f>+SUM(Q46:Q54)</f>
        <v>5225.067</v>
      </c>
    </row>
    <row r="57" spans="2:17" x14ac:dyDescent="0.2">
      <c r="B57" t="s">
        <v>60</v>
      </c>
      <c r="Q57" s="2">
        <f>+Q18</f>
        <v>43.412000000000162</v>
      </c>
    </row>
    <row r="58" spans="2:17" x14ac:dyDescent="0.2">
      <c r="B58" t="s">
        <v>61</v>
      </c>
      <c r="Q58" s="2">
        <v>43.411999999999999</v>
      </c>
    </row>
    <row r="59" spans="2:17" x14ac:dyDescent="0.2">
      <c r="B59" t="s">
        <v>62</v>
      </c>
      <c r="Q59" s="2">
        <v>87.126999999999995</v>
      </c>
    </row>
    <row r="60" spans="2:17" x14ac:dyDescent="0.2">
      <c r="B60" t="s">
        <v>63</v>
      </c>
      <c r="Q60" s="2">
        <v>278.995</v>
      </c>
    </row>
    <row r="61" spans="2:17" x14ac:dyDescent="0.2">
      <c r="B61" t="s">
        <v>43</v>
      </c>
      <c r="Q61" s="2">
        <v>35.481999999999999</v>
      </c>
    </row>
    <row r="62" spans="2:17" x14ac:dyDescent="0.2">
      <c r="B62" t="s">
        <v>64</v>
      </c>
      <c r="Q62" s="2">
        <v>0.997</v>
      </c>
    </row>
    <row r="63" spans="2:17" x14ac:dyDescent="0.2">
      <c r="B63" t="s">
        <v>65</v>
      </c>
      <c r="Q63" s="2">
        <v>21.407</v>
      </c>
    </row>
    <row r="64" spans="2:17" x14ac:dyDescent="0.2">
      <c r="B64" t="s">
        <v>66</v>
      </c>
      <c r="Q64" s="2">
        <v>-25.222000000000001</v>
      </c>
    </row>
    <row r="65" spans="2:17" x14ac:dyDescent="0.2">
      <c r="B65" t="s">
        <v>67</v>
      </c>
      <c r="Q65" s="2">
        <v>3.411</v>
      </c>
    </row>
    <row r="66" spans="2:17" x14ac:dyDescent="0.2">
      <c r="B66" t="s">
        <v>42</v>
      </c>
      <c r="Q66" s="2">
        <v>6.649</v>
      </c>
    </row>
    <row r="67" spans="2:17" x14ac:dyDescent="0.2">
      <c r="B67" t="s">
        <v>43</v>
      </c>
      <c r="Q67" s="2">
        <v>-50.654000000000003</v>
      </c>
    </row>
    <row r="68" spans="2:17" x14ac:dyDescent="0.2">
      <c r="B68" t="s">
        <v>44</v>
      </c>
      <c r="Q68" s="2">
        <v>18.05</v>
      </c>
    </row>
    <row r="69" spans="2:17" x14ac:dyDescent="0.2">
      <c r="B69" t="s">
        <v>51</v>
      </c>
      <c r="Q69" s="2">
        <v>-12.007</v>
      </c>
    </row>
    <row r="70" spans="2:17" x14ac:dyDescent="0.2">
      <c r="B70" t="s">
        <v>52</v>
      </c>
      <c r="Q70" s="2">
        <v>2.4980000000000002</v>
      </c>
    </row>
    <row r="71" spans="2:17" x14ac:dyDescent="0.2">
      <c r="B71" t="s">
        <v>54</v>
      </c>
      <c r="Q71" s="2">
        <v>-25.491</v>
      </c>
    </row>
    <row r="72" spans="2:17" s="5" customFormat="1" ht="15" x14ac:dyDescent="0.25">
      <c r="B72" s="5" t="s">
        <v>68</v>
      </c>
      <c r="Q72" s="6">
        <f>+SUM(Q58:Q71)</f>
        <v>384.654</v>
      </c>
    </row>
    <row r="73" spans="2:17" x14ac:dyDescent="0.2">
      <c r="Q73" s="2"/>
    </row>
    <row r="74" spans="2:17" x14ac:dyDescent="0.2">
      <c r="B74" t="s">
        <v>74</v>
      </c>
      <c r="Q74" s="2">
        <v>-722.27449999999999</v>
      </c>
    </row>
    <row r="75" spans="2:17" x14ac:dyDescent="0.2">
      <c r="B75" t="s">
        <v>75</v>
      </c>
      <c r="Q75" s="2">
        <v>674.24599999999998</v>
      </c>
    </row>
    <row r="76" spans="2:17" x14ac:dyDescent="0.2">
      <c r="B76" t="s">
        <v>76</v>
      </c>
      <c r="Q76" s="2">
        <v>0</v>
      </c>
    </row>
    <row r="77" spans="2:17" x14ac:dyDescent="0.2">
      <c r="B77" t="s">
        <v>77</v>
      </c>
      <c r="Q77" s="2">
        <v>-4.0000000000000001E-3</v>
      </c>
    </row>
    <row r="78" spans="2:17" x14ac:dyDescent="0.2">
      <c r="B78" t="s">
        <v>78</v>
      </c>
      <c r="Q78" s="2">
        <v>-33.335000000000001</v>
      </c>
    </row>
    <row r="79" spans="2:17" x14ac:dyDescent="0.2">
      <c r="B79" t="s">
        <v>79</v>
      </c>
      <c r="Q79" s="2">
        <v>-60.645000000000003</v>
      </c>
    </row>
    <row r="80" spans="2:17" x14ac:dyDescent="0.2">
      <c r="B80" t="s">
        <v>80</v>
      </c>
      <c r="Q80" s="2">
        <v>-26.72</v>
      </c>
    </row>
    <row r="81" spans="2:17" x14ac:dyDescent="0.2">
      <c r="B81" t="s">
        <v>81</v>
      </c>
      <c r="Q81" s="2">
        <v>1.8740000000000001</v>
      </c>
    </row>
    <row r="82" spans="2:17" x14ac:dyDescent="0.2">
      <c r="B82" t="s">
        <v>67</v>
      </c>
      <c r="Q82" s="2">
        <v>0</v>
      </c>
    </row>
    <row r="83" spans="2:17" s="5" customFormat="1" ht="15" x14ac:dyDescent="0.25">
      <c r="B83" s="5" t="s">
        <v>73</v>
      </c>
      <c r="Q83" s="6">
        <f>+SUM(Q74:Q82)</f>
        <v>-166.85850000000002</v>
      </c>
    </row>
    <row r="84" spans="2:17" x14ac:dyDescent="0.2">
      <c r="Q84" s="2"/>
    </row>
    <row r="85" spans="2:17" x14ac:dyDescent="0.2">
      <c r="B85" t="s">
        <v>69</v>
      </c>
      <c r="Q85" s="2">
        <v>0</v>
      </c>
    </row>
    <row r="86" spans="2:17" x14ac:dyDescent="0.2">
      <c r="B86" t="s">
        <v>70</v>
      </c>
      <c r="Q86" s="2">
        <v>-8.9999999999999993E-3</v>
      </c>
    </row>
    <row r="87" spans="2:17" x14ac:dyDescent="0.2">
      <c r="B87" t="s">
        <v>71</v>
      </c>
      <c r="Q87" s="2">
        <v>-9.375</v>
      </c>
    </row>
    <row r="88" spans="2:17" x14ac:dyDescent="0.2">
      <c r="B88" t="s">
        <v>72</v>
      </c>
      <c r="Q88" s="2">
        <v>1.8939999999999999</v>
      </c>
    </row>
    <row r="89" spans="2:17" x14ac:dyDescent="0.2">
      <c r="B89" t="s">
        <v>67</v>
      </c>
      <c r="Q89" s="2">
        <v>-3.3000000000000002E-2</v>
      </c>
    </row>
    <row r="90" spans="2:17" s="5" customFormat="1" ht="15" x14ac:dyDescent="0.25">
      <c r="B90" s="5" t="s">
        <v>82</v>
      </c>
      <c r="Q90" s="6">
        <f>+SUM(Q85:Q89)</f>
        <v>-7.5230000000000006</v>
      </c>
    </row>
    <row r="91" spans="2:17" s="5" customFormat="1" ht="15" x14ac:dyDescent="0.25">
      <c r="B91" s="5" t="s">
        <v>83</v>
      </c>
      <c r="Q91" s="6">
        <f>+Q72+Q83+Q90</f>
        <v>210.27249999999998</v>
      </c>
    </row>
  </sheetData>
  <hyperlinks>
    <hyperlink ref="A1" location="Main!A1" display="Main" xr:uid="{5BCE075D-3F11-4323-A0E7-E0749816162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2022-01-12T19:47:20Z</dcterms:created>
  <dcterms:modified xsi:type="dcterms:W3CDTF">2022-01-13T21:46:58Z</dcterms:modified>
</cp:coreProperties>
</file>