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l\"/>
    </mc:Choice>
  </mc:AlternateContent>
  <xr:revisionPtr revIDLastSave="0" documentId="13_ncr:1_{3ADA4AAD-20C9-4EAC-9098-E46AB325B0F3}" xr6:coauthVersionLast="47" xr6:coauthVersionMax="47" xr10:uidLastSave="{00000000-0000-0000-0000-000000000000}"/>
  <bookViews>
    <workbookView xWindow="-120" yWindow="-120" windowWidth="29040" windowHeight="16440" activeTab="1" xr2:uid="{6F391D1B-69E5-4FC3-9150-23FA70A8BD87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8" i="2" l="1"/>
  <c r="L28" i="2"/>
  <c r="S14" i="2"/>
  <c r="J47" i="2"/>
  <c r="I47" i="2"/>
  <c r="H47" i="2"/>
  <c r="G47" i="2"/>
  <c r="J46" i="2"/>
  <c r="I46" i="2"/>
  <c r="H46" i="2"/>
  <c r="G46" i="2"/>
  <c r="G85" i="2" l="1"/>
  <c r="G74" i="2" l="1"/>
  <c r="G68" i="2"/>
  <c r="G41" i="2"/>
  <c r="G25" i="2" s="1"/>
  <c r="G33" i="2"/>
  <c r="G45" i="2"/>
  <c r="G35" i="2"/>
  <c r="I85" i="2"/>
  <c r="I74" i="2"/>
  <c r="I68" i="2"/>
  <c r="I41" i="2"/>
  <c r="I45" i="2" s="1"/>
  <c r="I33" i="2"/>
  <c r="I35" i="2"/>
  <c r="J66" i="2"/>
  <c r="J85" i="2"/>
  <c r="J74" i="2"/>
  <c r="J68" i="2"/>
  <c r="J41" i="2"/>
  <c r="J45" i="2" s="1"/>
  <c r="J33" i="2"/>
  <c r="J35" i="2" s="1"/>
  <c r="H41" i="2"/>
  <c r="H45" i="2" s="1"/>
  <c r="H25" i="2"/>
  <c r="H85" i="2"/>
  <c r="H74" i="2"/>
  <c r="H68" i="2"/>
  <c r="H33" i="2"/>
  <c r="H35" i="2" s="1"/>
  <c r="G22" i="2"/>
  <c r="H22" i="2"/>
  <c r="C8" i="2"/>
  <c r="C5" i="2"/>
  <c r="C7" i="2" s="1"/>
  <c r="C10" i="2" s="1"/>
  <c r="C14" i="2" s="1"/>
  <c r="C15" i="2" s="1"/>
  <c r="G8" i="2"/>
  <c r="H8" i="2"/>
  <c r="G5" i="2"/>
  <c r="G7" i="2" s="1"/>
  <c r="G19" i="2" s="1"/>
  <c r="D8" i="2"/>
  <c r="D5" i="2"/>
  <c r="D7" i="2" s="1"/>
  <c r="I22" i="2"/>
  <c r="H5" i="2"/>
  <c r="H7" i="2" s="1"/>
  <c r="E8" i="2"/>
  <c r="E5" i="2"/>
  <c r="I5" i="2"/>
  <c r="I18" i="2" s="1"/>
  <c r="J5" i="2"/>
  <c r="J18" i="2" s="1"/>
  <c r="I8" i="2"/>
  <c r="J22" i="2"/>
  <c r="F8" i="2"/>
  <c r="F5" i="2"/>
  <c r="F7" i="2" s="1"/>
  <c r="F19" i="2" s="1"/>
  <c r="J8" i="2"/>
  <c r="R22" i="2"/>
  <c r="Q8" i="2"/>
  <c r="Q5" i="2"/>
  <c r="Q18" i="2" s="1"/>
  <c r="S22" i="2"/>
  <c r="R8" i="2"/>
  <c r="R5" i="2"/>
  <c r="R7" i="2" s="1"/>
  <c r="R19" i="2" s="1"/>
  <c r="S8" i="2"/>
  <c r="S5" i="2"/>
  <c r="Q2" i="2"/>
  <c r="R2" i="2" s="1"/>
  <c r="S2" i="2" s="1"/>
  <c r="T2" i="2" s="1"/>
  <c r="U2" i="2" s="1"/>
  <c r="V2" i="2" s="1"/>
  <c r="W2" i="2" s="1"/>
  <c r="X2" i="2" s="1"/>
  <c r="Y2" i="2" s="1"/>
  <c r="Z2" i="2" s="1"/>
  <c r="F10" i="1"/>
  <c r="F9" i="1"/>
  <c r="F7" i="1"/>
  <c r="F6" i="1"/>
  <c r="C20" i="2" l="1"/>
  <c r="Q7" i="2"/>
  <c r="Q19" i="2" s="1"/>
  <c r="G86" i="2"/>
  <c r="E18" i="2"/>
  <c r="E7" i="2"/>
  <c r="E19" i="2" s="1"/>
  <c r="C18" i="2"/>
  <c r="D10" i="2"/>
  <c r="D20" i="2" s="1"/>
  <c r="C19" i="2"/>
  <c r="I86" i="2"/>
  <c r="I25" i="2"/>
  <c r="D19" i="2"/>
  <c r="H86" i="2"/>
  <c r="I7" i="2"/>
  <c r="I10" i="2" s="1"/>
  <c r="I14" i="2" s="1"/>
  <c r="H18" i="2"/>
  <c r="D18" i="2"/>
  <c r="J25" i="2"/>
  <c r="F18" i="2"/>
  <c r="G18" i="2"/>
  <c r="J86" i="2"/>
  <c r="H10" i="2"/>
  <c r="H19" i="2"/>
  <c r="R18" i="2"/>
  <c r="J7" i="2"/>
  <c r="J19" i="2" s="1"/>
  <c r="S7" i="2"/>
  <c r="S19" i="2" s="1"/>
  <c r="G10" i="2"/>
  <c r="F10" i="2"/>
  <c r="R10" i="2"/>
  <c r="S18" i="2"/>
  <c r="E10" i="2" l="1"/>
  <c r="Q10" i="2"/>
  <c r="I15" i="2"/>
  <c r="I49" i="2"/>
  <c r="S10" i="2"/>
  <c r="I19" i="2"/>
  <c r="F14" i="2"/>
  <c r="F15" i="2" s="1"/>
  <c r="F20" i="2"/>
  <c r="D14" i="2"/>
  <c r="D15" i="2" s="1"/>
  <c r="E14" i="2"/>
  <c r="E15" i="2" s="1"/>
  <c r="E20" i="2"/>
  <c r="Q14" i="2"/>
  <c r="Q15" i="2" s="1"/>
  <c r="Q20" i="2"/>
  <c r="J10" i="2"/>
  <c r="G14" i="2"/>
  <c r="G20" i="2"/>
  <c r="I20" i="2"/>
  <c r="H20" i="2"/>
  <c r="H14" i="2"/>
  <c r="R20" i="2"/>
  <c r="R14" i="2"/>
  <c r="R15" i="2" s="1"/>
  <c r="S20" i="2"/>
  <c r="S15" i="2"/>
  <c r="G15" i="2" l="1"/>
  <c r="G49" i="2"/>
  <c r="J20" i="2"/>
  <c r="J14" i="2"/>
  <c r="H15" i="2"/>
  <c r="H49" i="2"/>
  <c r="J15" i="2" l="1"/>
  <c r="J49" i="2"/>
</calcChain>
</file>

<file path=xl/sharedStrings.xml><?xml version="1.0" encoding="utf-8"?>
<sst xmlns="http://schemas.openxmlformats.org/spreadsheetml/2006/main" count="99" uniqueCount="83">
  <si>
    <t>Price</t>
  </si>
  <si>
    <t>Shares</t>
  </si>
  <si>
    <t>MC</t>
  </si>
  <si>
    <t>Cash</t>
  </si>
  <si>
    <t>Debt</t>
  </si>
  <si>
    <t>EV</t>
  </si>
  <si>
    <t>Q421</t>
  </si>
  <si>
    <t>Q121</t>
  </si>
  <si>
    <t>Q221</t>
  </si>
  <si>
    <t>Q321</t>
  </si>
  <si>
    <t>Q122</t>
  </si>
  <si>
    <t>Q222</t>
  </si>
  <si>
    <t>Q322</t>
  </si>
  <si>
    <t>Q422</t>
  </si>
  <si>
    <t>Q120</t>
  </si>
  <si>
    <t>Q220</t>
  </si>
  <si>
    <t>Q320</t>
  </si>
  <si>
    <t>Q420</t>
  </si>
  <si>
    <t>Main</t>
  </si>
  <si>
    <t>Revenue</t>
  </si>
  <si>
    <t>COGS</t>
  </si>
  <si>
    <t>Gross Profit</t>
  </si>
  <si>
    <t>sG&amp;A</t>
  </si>
  <si>
    <t>Operating Income</t>
  </si>
  <si>
    <t>Pretax Income</t>
  </si>
  <si>
    <t>Taxes</t>
  </si>
  <si>
    <t>NI</t>
  </si>
  <si>
    <t>Net Income</t>
  </si>
  <si>
    <t>EPS</t>
  </si>
  <si>
    <t>Interest Expense</t>
  </si>
  <si>
    <t>Extinguishment of Debt</t>
  </si>
  <si>
    <t>Gross Margin %</t>
  </si>
  <si>
    <t>Operating Margin %</t>
  </si>
  <si>
    <t>Tax Rate %</t>
  </si>
  <si>
    <t>Revenue Y/Y</t>
  </si>
  <si>
    <t>Investment</t>
  </si>
  <si>
    <t>A/R</t>
  </si>
  <si>
    <t>Inventory</t>
  </si>
  <si>
    <t>Prepaids</t>
  </si>
  <si>
    <t>OCA</t>
  </si>
  <si>
    <t>PP&amp;E</t>
  </si>
  <si>
    <t>Operating Lease</t>
  </si>
  <si>
    <t>Intangibles</t>
  </si>
  <si>
    <t>OLTA</t>
  </si>
  <si>
    <t>Total Assets</t>
  </si>
  <si>
    <t xml:space="preserve"> </t>
  </si>
  <si>
    <t>A/P</t>
  </si>
  <si>
    <t>Pension</t>
  </si>
  <si>
    <t>A/E</t>
  </si>
  <si>
    <t>LT Operating Lease</t>
  </si>
  <si>
    <t>D/T</t>
  </si>
  <si>
    <t>OLTL</t>
  </si>
  <si>
    <t>Total Liabilties</t>
  </si>
  <si>
    <t>Model NI</t>
  </si>
  <si>
    <t>Reported NI</t>
  </si>
  <si>
    <t>D&amp;A</t>
  </si>
  <si>
    <t>Debt Amortization</t>
  </si>
  <si>
    <t>SBC</t>
  </si>
  <si>
    <t>Impairments</t>
  </si>
  <si>
    <t>Debt Modification</t>
  </si>
  <si>
    <t>Investments</t>
  </si>
  <si>
    <t>NC Operating Lease</t>
  </si>
  <si>
    <t>Other income</t>
  </si>
  <si>
    <t>CFFO</t>
  </si>
  <si>
    <t>Acquisitions</t>
  </si>
  <si>
    <t>Equity Investees</t>
  </si>
  <si>
    <t>Sale of assets</t>
  </si>
  <si>
    <t>Capex</t>
  </si>
  <si>
    <t>CFFI</t>
  </si>
  <si>
    <t>LT Debt Borrowings</t>
  </si>
  <si>
    <t>LT Debt Repayments</t>
  </si>
  <si>
    <t>Refinancing Costs</t>
  </si>
  <si>
    <t>Finance Lease</t>
  </si>
  <si>
    <t>Employee Stocks</t>
  </si>
  <si>
    <t>Equity</t>
  </si>
  <si>
    <t>Contingent Consideration</t>
  </si>
  <si>
    <t>Offering Costs</t>
  </si>
  <si>
    <t>CFFF</t>
  </si>
  <si>
    <t>CF</t>
  </si>
  <si>
    <t>Net Cash</t>
  </si>
  <si>
    <t>SB Awards Taxes</t>
  </si>
  <si>
    <t>S/E</t>
  </si>
  <si>
    <t>L + S/E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</si>
</sst>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3" fontId="1" fillId="0" borderId="0" xfId="0" applyNumberFormat="1" applyFont="1"/>
    <xf numFmtId="0" fontId="2" fillId="0" borderId="0" xfId="1" applyFont="1"/>
    <xf numFmtId="0" fontId="0" fillId="0" borderId="0" xfId="0" applyFont="1"/>
    <xf numFmtId="3" fontId="0" fillId="0" borderId="0" xfId="0" applyNumberFormat="1" applyFont="1"/>
    <xf numFmtId="4" fontId="0" fillId="0" borderId="0" xfId="0" applyNumberFormat="1" applyFont="1"/>
    <xf numFmtId="9" fontId="0" fillId="0" borderId="0" xfId="0" applyNumberFormat="1" applyFont="1"/>
    <xf numFmtId="10" fontId="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CE692-3D0E-4C06-A8A9-35ED53D2C7D1}">
  <dimension ref="E5:G10"/>
  <sheetViews>
    <sheetView topLeftCell="D1" workbookViewId="0">
      <selection activeCell="I22" sqref="I22"/>
    </sheetView>
  </sheetViews>
  <sheetFormatPr defaultRowHeight="14.25" x14ac:dyDescent="0.2"/>
  <cols>
    <col min="7" max="7" width="9" style="2"/>
  </cols>
  <sheetData>
    <row r="5" spans="5:7" x14ac:dyDescent="0.2">
      <c r="E5" t="s">
        <v>0</v>
      </c>
      <c r="F5">
        <v>20.11</v>
      </c>
    </row>
    <row r="6" spans="5:7" x14ac:dyDescent="0.2">
      <c r="E6" t="s">
        <v>1</v>
      </c>
      <c r="F6" s="1">
        <f>227.44457+37.790781+37.790781</f>
        <v>303.02613199999996</v>
      </c>
      <c r="G6" s="2" t="s">
        <v>6</v>
      </c>
    </row>
    <row r="7" spans="5:7" x14ac:dyDescent="0.2">
      <c r="E7" t="s">
        <v>2</v>
      </c>
      <c r="F7" s="1">
        <f>+F6*F5</f>
        <v>6093.8555145199989</v>
      </c>
    </row>
    <row r="8" spans="5:7" x14ac:dyDescent="0.2">
      <c r="E8" t="s">
        <v>3</v>
      </c>
      <c r="F8" s="1">
        <v>211.602</v>
      </c>
      <c r="G8" s="2" t="s">
        <v>6</v>
      </c>
    </row>
    <row r="9" spans="5:7" x14ac:dyDescent="0.2">
      <c r="E9" t="s">
        <v>4</v>
      </c>
      <c r="F9" s="1">
        <f>21.764+1640.39</f>
        <v>1662.154</v>
      </c>
      <c r="G9" s="2" t="s">
        <v>6</v>
      </c>
    </row>
    <row r="10" spans="5:7" x14ac:dyDescent="0.2">
      <c r="E10" t="s">
        <v>5</v>
      </c>
      <c r="F10" s="1">
        <f>+F7-F8+F9</f>
        <v>7544.4075145199986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CCF80-39DC-49D7-B9C3-697F91CF937A}">
  <dimension ref="A1:Z88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26" sqref="J25:J26"/>
    </sheetView>
  </sheetViews>
  <sheetFormatPr defaultRowHeight="14.25" x14ac:dyDescent="0.2"/>
  <cols>
    <col min="1" max="1" width="9" style="6"/>
    <col min="2" max="2" width="15.5" style="6" bestFit="1" customWidth="1"/>
    <col min="3" max="7" width="9" style="6"/>
    <col min="8" max="8" width="9.5" style="6" bestFit="1" customWidth="1"/>
    <col min="9" max="16384" width="9" style="6"/>
  </cols>
  <sheetData>
    <row r="1" spans="1:26" x14ac:dyDescent="0.2">
      <c r="A1" s="5" t="s">
        <v>18</v>
      </c>
    </row>
    <row r="2" spans="1:26" x14ac:dyDescent="0.2">
      <c r="C2" s="6" t="s">
        <v>14</v>
      </c>
      <c r="D2" s="6" t="s">
        <v>15</v>
      </c>
      <c r="E2" s="6" t="s">
        <v>16</v>
      </c>
      <c r="F2" s="6" t="s">
        <v>17</v>
      </c>
      <c r="G2" s="6" t="s">
        <v>7</v>
      </c>
      <c r="H2" s="6" t="s">
        <v>8</v>
      </c>
      <c r="I2" s="6" t="s">
        <v>9</v>
      </c>
      <c r="J2" s="6" t="s">
        <v>6</v>
      </c>
      <c r="K2" s="6" t="s">
        <v>10</v>
      </c>
      <c r="L2" s="6" t="s">
        <v>11</v>
      </c>
      <c r="M2" s="6" t="s">
        <v>12</v>
      </c>
      <c r="N2" s="6" t="s">
        <v>13</v>
      </c>
      <c r="P2" s="6">
        <v>2018</v>
      </c>
      <c r="Q2" s="6">
        <f>+P2+1</f>
        <v>2019</v>
      </c>
      <c r="R2" s="6">
        <f t="shared" ref="R2:Z2" si="0">+Q2+1</f>
        <v>2020</v>
      </c>
      <c r="S2" s="6">
        <f t="shared" si="0"/>
        <v>2021</v>
      </c>
      <c r="T2" s="6">
        <f t="shared" si="0"/>
        <v>2022</v>
      </c>
      <c r="U2" s="6">
        <f t="shared" si="0"/>
        <v>2023</v>
      </c>
      <c r="V2" s="6">
        <f t="shared" si="0"/>
        <v>2024</v>
      </c>
      <c r="W2" s="6">
        <f t="shared" si="0"/>
        <v>2025</v>
      </c>
      <c r="X2" s="6">
        <f t="shared" si="0"/>
        <v>2026</v>
      </c>
      <c r="Y2" s="6">
        <f t="shared" si="0"/>
        <v>2027</v>
      </c>
      <c r="Z2" s="6">
        <f t="shared" si="0"/>
        <v>2028</v>
      </c>
    </row>
    <row r="3" spans="1:26" s="4" customFormat="1" ht="15" x14ac:dyDescent="0.25">
      <c r="B3" s="4" t="s">
        <v>19</v>
      </c>
      <c r="C3" s="4">
        <v>1113.521</v>
      </c>
      <c r="D3" s="4">
        <v>1208.971</v>
      </c>
      <c r="E3" s="4">
        <v>1259.9970000000001</v>
      </c>
      <c r="F3" s="4">
        <v>1337.713</v>
      </c>
      <c r="G3" s="4">
        <v>1414.9939999999999</v>
      </c>
      <c r="H3" s="4">
        <v>1434.5340000000001</v>
      </c>
      <c r="I3" s="4">
        <v>1443.2639999999999</v>
      </c>
      <c r="J3" s="4">
        <v>1514.357</v>
      </c>
      <c r="Q3" s="4">
        <v>4434.5140000000001</v>
      </c>
      <c r="R3" s="4">
        <v>4920.2020000000002</v>
      </c>
      <c r="S3" s="4">
        <v>5807.1490000000003</v>
      </c>
    </row>
    <row r="4" spans="1:26" s="7" customFormat="1" x14ac:dyDescent="0.2">
      <c r="B4" s="7" t="s">
        <v>20</v>
      </c>
      <c r="C4" s="7">
        <v>647.23900000000003</v>
      </c>
      <c r="D4" s="7">
        <v>679.21799999999996</v>
      </c>
      <c r="E4" s="7">
        <v>718.55899999999997</v>
      </c>
      <c r="F4" s="7">
        <v>768.44799999999998</v>
      </c>
      <c r="G4" s="7">
        <v>818.00900000000001</v>
      </c>
      <c r="H4" s="7">
        <v>835.12400000000002</v>
      </c>
      <c r="I4" s="7">
        <v>848.55499999999995</v>
      </c>
      <c r="J4" s="7">
        <v>878.851</v>
      </c>
      <c r="Q4" s="7">
        <v>2527.9949999999999</v>
      </c>
      <c r="R4" s="7">
        <v>2813.4639999999999</v>
      </c>
      <c r="S4" s="7">
        <v>3380.5390000000002</v>
      </c>
    </row>
    <row r="5" spans="1:26" x14ac:dyDescent="0.2">
      <c r="B5" s="6" t="s">
        <v>21</v>
      </c>
      <c r="C5" s="7">
        <f t="shared" ref="C5:J5" si="1">+C3-C4</f>
        <v>466.28199999999993</v>
      </c>
      <c r="D5" s="7">
        <f t="shared" si="1"/>
        <v>529.75300000000004</v>
      </c>
      <c r="E5" s="7">
        <f t="shared" si="1"/>
        <v>541.4380000000001</v>
      </c>
      <c r="F5" s="7">
        <f t="shared" si="1"/>
        <v>569.26499999999999</v>
      </c>
      <c r="G5" s="7">
        <f t="shared" si="1"/>
        <v>596.9849999999999</v>
      </c>
      <c r="H5" s="7">
        <f t="shared" si="1"/>
        <v>599.41000000000008</v>
      </c>
      <c r="I5" s="7">
        <f t="shared" si="1"/>
        <v>594.70899999999995</v>
      </c>
      <c r="J5" s="7">
        <f t="shared" si="1"/>
        <v>635.50599999999997</v>
      </c>
      <c r="Q5" s="7">
        <f>+Q3-Q4</f>
        <v>1906.5190000000002</v>
      </c>
      <c r="R5" s="7">
        <f>+R3-R4</f>
        <v>2106.7380000000003</v>
      </c>
      <c r="S5" s="7">
        <f>+S3-S4</f>
        <v>2426.61</v>
      </c>
    </row>
    <row r="6" spans="1:26" x14ac:dyDescent="0.2">
      <c r="B6" s="6" t="s">
        <v>22</v>
      </c>
      <c r="C6" s="7">
        <v>466.28199999999998</v>
      </c>
      <c r="D6" s="7">
        <v>464.70600000000002</v>
      </c>
      <c r="E6" s="7">
        <v>495.40100000000001</v>
      </c>
      <c r="F6" s="7">
        <v>502.29</v>
      </c>
      <c r="G6" s="7">
        <v>549.98500000000001</v>
      </c>
      <c r="H6" s="7">
        <v>525.94200000000001</v>
      </c>
      <c r="I6" s="7">
        <v>532.76</v>
      </c>
      <c r="J6" s="7">
        <v>552.601</v>
      </c>
      <c r="Q6" s="7">
        <v>1776.9190000000001</v>
      </c>
      <c r="R6" s="7">
        <v>1912.3140000000001</v>
      </c>
      <c r="S6" s="7">
        <v>2160.5390000000002</v>
      </c>
    </row>
    <row r="7" spans="1:26" x14ac:dyDescent="0.2">
      <c r="B7" s="6" t="s">
        <v>23</v>
      </c>
      <c r="C7" s="7">
        <f t="shared" ref="C7:H7" si="2">+C5-C6</f>
        <v>0</v>
      </c>
      <c r="D7" s="7">
        <f t="shared" si="2"/>
        <v>65.047000000000025</v>
      </c>
      <c r="E7" s="7">
        <f t="shared" si="2"/>
        <v>46.037000000000091</v>
      </c>
      <c r="F7" s="7">
        <f t="shared" si="2"/>
        <v>66.974999999999966</v>
      </c>
      <c r="G7" s="7">
        <f t="shared" si="2"/>
        <v>46.999999999999886</v>
      </c>
      <c r="H7" s="7">
        <f t="shared" si="2"/>
        <v>73.468000000000075</v>
      </c>
      <c r="I7" s="7">
        <f t="shared" ref="I7" si="3">+I5-I6</f>
        <v>61.948999999999955</v>
      </c>
      <c r="J7" s="7">
        <f>+J5-J6</f>
        <v>82.904999999999973</v>
      </c>
      <c r="Q7" s="7">
        <f>+Q5-Q6</f>
        <v>129.60000000000014</v>
      </c>
      <c r="R7" s="7">
        <f>+R5-R6</f>
        <v>194.42400000000021</v>
      </c>
      <c r="S7" s="7">
        <f>+S5-S6</f>
        <v>266.07099999999991</v>
      </c>
    </row>
    <row r="8" spans="1:26" x14ac:dyDescent="0.2">
      <c r="B8" s="6" t="s">
        <v>29</v>
      </c>
      <c r="C8" s="7">
        <f>0.184+60.808</f>
        <v>60.991999999999997</v>
      </c>
      <c r="D8" s="7">
        <f>0.099+54.493</f>
        <v>54.591999999999999</v>
      </c>
      <c r="E8" s="7">
        <f>0.049+53.795</f>
        <v>53.844000000000001</v>
      </c>
      <c r="F8" s="7">
        <f>+-0.321+49.987</f>
        <v>49.666000000000004</v>
      </c>
      <c r="G8" s="7">
        <f>0.021+20.529</f>
        <v>20.55</v>
      </c>
      <c r="H8" s="7">
        <f>0.013+19.206+45.162</f>
        <v>64.381</v>
      </c>
      <c r="I8" s="7">
        <f>+-0.018+18.769+19.773</f>
        <v>38.524000000000001</v>
      </c>
      <c r="J8" s="7">
        <f>+-0.009+18.893+30.437</f>
        <v>49.320999999999998</v>
      </c>
      <c r="Q8" s="7">
        <f>+-0.335+253.018</f>
        <v>252.68299999999999</v>
      </c>
      <c r="R8" s="7">
        <f>653+219.083</f>
        <v>872.08299999999997</v>
      </c>
      <c r="S8" s="7">
        <f>0.062+77.397</f>
        <v>77.459000000000003</v>
      </c>
    </row>
    <row r="9" spans="1:26" x14ac:dyDescent="0.2">
      <c r="B9" s="6" t="s">
        <v>30</v>
      </c>
      <c r="C9" s="7"/>
      <c r="D9" s="7"/>
      <c r="E9" s="7"/>
      <c r="F9" s="7">
        <v>17.548999999999999</v>
      </c>
      <c r="G9" s="7">
        <v>20.838000000000001</v>
      </c>
      <c r="H9" s="7"/>
      <c r="I9" s="7"/>
      <c r="J9" s="7"/>
      <c r="Q9" s="7"/>
      <c r="R9" s="7">
        <v>17.548999999999999</v>
      </c>
      <c r="S9" s="7">
        <v>20.838000000000001</v>
      </c>
    </row>
    <row r="10" spans="1:26" x14ac:dyDescent="0.2">
      <c r="B10" s="6" t="s">
        <v>24</v>
      </c>
      <c r="C10" s="7">
        <f t="shared" ref="C10:J10" si="4">+C7-C8-C9</f>
        <v>-60.991999999999997</v>
      </c>
      <c r="D10" s="7">
        <f t="shared" si="4"/>
        <v>10.455000000000027</v>
      </c>
      <c r="E10" s="7">
        <f t="shared" si="4"/>
        <v>-7.8069999999999098</v>
      </c>
      <c r="F10" s="7">
        <f t="shared" si="4"/>
        <v>-0.24000000000003752</v>
      </c>
      <c r="G10" s="7">
        <f t="shared" si="4"/>
        <v>5.6119999999998846</v>
      </c>
      <c r="H10" s="7">
        <f t="shared" si="4"/>
        <v>9.0870000000000744</v>
      </c>
      <c r="I10" s="7">
        <f t="shared" si="4"/>
        <v>23.424999999999955</v>
      </c>
      <c r="J10" s="7">
        <f t="shared" si="4"/>
        <v>33.583999999999975</v>
      </c>
      <c r="Q10" s="7">
        <f>+Q7-Q8-Q9</f>
        <v>-123.08299999999986</v>
      </c>
      <c r="R10" s="7">
        <f>+R7-R8-R9</f>
        <v>-695.20799999999974</v>
      </c>
      <c r="S10" s="7">
        <f>+S7-S8-S9</f>
        <v>167.77399999999992</v>
      </c>
    </row>
    <row r="11" spans="1:26" x14ac:dyDescent="0.2">
      <c r="B11" s="6" t="s">
        <v>25</v>
      </c>
      <c r="C11" s="7">
        <v>-10.555</v>
      </c>
      <c r="D11" s="7">
        <v>4.9580000000000002</v>
      </c>
      <c r="E11" s="7">
        <v>-7.94</v>
      </c>
      <c r="F11" s="7">
        <v>10.199999999999999</v>
      </c>
      <c r="G11" s="7">
        <v>2.6789999999999998</v>
      </c>
      <c r="H11" s="7">
        <v>27.010999999999999</v>
      </c>
      <c r="I11" s="7">
        <v>14.095000000000001</v>
      </c>
      <c r="J11" s="7">
        <v>9.6890000000000001</v>
      </c>
      <c r="Q11" s="7">
        <v>-35.658000000000001</v>
      </c>
      <c r="R11" s="7">
        <v>-41.555</v>
      </c>
      <c r="S11" s="7">
        <v>53.472999999999999</v>
      </c>
    </row>
    <row r="12" spans="1:26" x14ac:dyDescent="0.2">
      <c r="B12" s="6" t="s">
        <v>35</v>
      </c>
      <c r="C12" s="7">
        <v>-0.33200000000000002</v>
      </c>
      <c r="D12" s="7">
        <v>0.745</v>
      </c>
      <c r="E12" s="7">
        <v>1.875</v>
      </c>
      <c r="F12" s="7">
        <v>-3.53</v>
      </c>
      <c r="G12" s="7">
        <v>-2.4249999999999998</v>
      </c>
      <c r="H12" s="7">
        <v>2.4289999999999998</v>
      </c>
      <c r="I12" s="7">
        <v>2.637</v>
      </c>
      <c r="J12" s="7">
        <v>-3.3929999999999998</v>
      </c>
      <c r="Q12" s="7"/>
      <c r="R12" s="7"/>
      <c r="S12" s="7"/>
    </row>
    <row r="13" spans="1:26" x14ac:dyDescent="0.2">
      <c r="B13" s="6" t="s">
        <v>26</v>
      </c>
      <c r="C13" s="7">
        <v>2.2040000000000002</v>
      </c>
      <c r="D13" s="7">
        <v>1.0009999999999999</v>
      </c>
      <c r="E13" s="7">
        <v>1.2969999999999999</v>
      </c>
      <c r="F13" s="7">
        <v>0.751</v>
      </c>
      <c r="G13" s="7">
        <v>1.411</v>
      </c>
      <c r="H13" s="7">
        <v>0.25600000000000001</v>
      </c>
      <c r="I13" s="7">
        <v>1.2390000000000001</v>
      </c>
      <c r="J13" s="7">
        <v>1.706</v>
      </c>
      <c r="Q13" s="7">
        <v>8.1110000000000007</v>
      </c>
      <c r="R13" s="7">
        <v>5.2530000000000001</v>
      </c>
      <c r="S13" s="7">
        <v>4.6120000000000001</v>
      </c>
    </row>
    <row r="14" spans="1:26" s="3" customFormat="1" ht="15" x14ac:dyDescent="0.25">
      <c r="B14" s="3" t="s">
        <v>27</v>
      </c>
      <c r="C14" s="4">
        <f t="shared" ref="C14:J14" si="5">+C10-C11-C13+C12</f>
        <v>-52.972999999999999</v>
      </c>
      <c r="D14" s="4">
        <f>+D10-D11-D13+D12</f>
        <v>5.2410000000000272</v>
      </c>
      <c r="E14" s="4">
        <f>+E10-E11-E13+E12</f>
        <v>0.71100000000009067</v>
      </c>
      <c r="F14" s="4">
        <f>+F10-F11-F13+F12</f>
        <v>-14.721000000000036</v>
      </c>
      <c r="G14" s="4">
        <f t="shared" si="5"/>
        <v>-0.90300000000011504</v>
      </c>
      <c r="H14" s="4">
        <f t="shared" si="5"/>
        <v>-15.750999999999925</v>
      </c>
      <c r="I14" s="4">
        <f t="shared" si="5"/>
        <v>10.727999999999954</v>
      </c>
      <c r="J14" s="4">
        <f t="shared" si="5"/>
        <v>18.795999999999975</v>
      </c>
      <c r="Q14" s="4">
        <f>+Q10-Q11-Q13</f>
        <v>-95.535999999999859</v>
      </c>
      <c r="R14" s="4">
        <f>+R10-R11-R13</f>
        <v>-658.90599999999984</v>
      </c>
      <c r="S14" s="4">
        <f>+S10-S11-S13</f>
        <v>109.68899999999992</v>
      </c>
    </row>
    <row r="15" spans="1:26" s="8" customFormat="1" x14ac:dyDescent="0.2">
      <c r="B15" s="8" t="s">
        <v>28</v>
      </c>
      <c r="C15" s="8">
        <f t="shared" ref="C15:J15" si="6">+C14/C16</f>
        <v>-0.25344114058799611</v>
      </c>
      <c r="D15" s="8">
        <f t="shared" si="6"/>
        <v>2.5074755400330252E-2</v>
      </c>
      <c r="E15" s="8">
        <f t="shared" si="6"/>
        <v>2.6797627034323979E-3</v>
      </c>
      <c r="F15" s="8">
        <f t="shared" si="6"/>
        <v>-6.8251679517078154E-2</v>
      </c>
      <c r="G15" s="8">
        <f t="shared" si="6"/>
        <v>-3.407187165130156E-3</v>
      </c>
      <c r="H15" s="8">
        <f t="shared" si="6"/>
        <v>-5.9389104016710562E-2</v>
      </c>
      <c r="I15" s="8">
        <f t="shared" si="6"/>
        <v>4.0433887879632875E-2</v>
      </c>
      <c r="J15" s="8">
        <f t="shared" si="6"/>
        <v>7.0718814079048758E-2</v>
      </c>
      <c r="Q15" s="8">
        <f>+Q14/Q16</f>
        <v>-0.45725663250898546</v>
      </c>
      <c r="R15" s="8">
        <f>+R14/R16</f>
        <v>-3.1274758760792274</v>
      </c>
      <c r="S15" s="8">
        <f>+S14/S16</f>
        <v>0.4133934830291926</v>
      </c>
    </row>
    <row r="16" spans="1:26" x14ac:dyDescent="0.2">
      <c r="B16" s="6" t="s">
        <v>1</v>
      </c>
      <c r="C16" s="7">
        <v>209.01499999999999</v>
      </c>
      <c r="D16" s="7">
        <v>209.01499999999999</v>
      </c>
      <c r="E16" s="7">
        <v>265.322</v>
      </c>
      <c r="F16" s="7">
        <v>215.68700000000001</v>
      </c>
      <c r="G16" s="7">
        <v>265.02800000000002</v>
      </c>
      <c r="H16" s="7">
        <v>265.21699999999998</v>
      </c>
      <c r="I16" s="7">
        <v>265.322</v>
      </c>
      <c r="J16" s="7">
        <v>265.78500000000003</v>
      </c>
      <c r="Q16" s="7">
        <v>208.93299999999999</v>
      </c>
      <c r="R16" s="7">
        <v>210.68299999999999</v>
      </c>
      <c r="S16" s="7">
        <v>265.33800000000002</v>
      </c>
    </row>
    <row r="18" spans="2:19" x14ac:dyDescent="0.2">
      <c r="B18" s="6" t="s">
        <v>31</v>
      </c>
      <c r="C18" s="9">
        <f t="shared" ref="C18:D18" si="7">+C5/C3</f>
        <v>0.41874558270566964</v>
      </c>
      <c r="D18" s="9">
        <f t="shared" si="7"/>
        <v>0.43818503504219708</v>
      </c>
      <c r="E18" s="9">
        <f t="shared" ref="E18:J18" si="8">+E5/E3</f>
        <v>0.42971372154060689</v>
      </c>
      <c r="F18" s="9">
        <f t="shared" si="8"/>
        <v>0.42555092161024077</v>
      </c>
      <c r="G18" s="9">
        <f t="shared" si="8"/>
        <v>0.42189931547412918</v>
      </c>
      <c r="H18" s="9">
        <f t="shared" si="8"/>
        <v>0.41784300685797621</v>
      </c>
      <c r="I18" s="9">
        <f t="shared" si="8"/>
        <v>0.41205836215688885</v>
      </c>
      <c r="J18" s="9">
        <f t="shared" si="8"/>
        <v>0.41965401817405013</v>
      </c>
      <c r="Q18" s="9">
        <f>+Q5/Q3</f>
        <v>0.4299273832487619</v>
      </c>
      <c r="R18" s="9">
        <f>+R5/R3</f>
        <v>0.42818120069054078</v>
      </c>
      <c r="S18" s="9">
        <f>+S5/S3</f>
        <v>0.41786597864115421</v>
      </c>
    </row>
    <row r="19" spans="2:19" x14ac:dyDescent="0.2">
      <c r="B19" s="6" t="s">
        <v>32</v>
      </c>
      <c r="C19" s="9">
        <f t="shared" ref="C19:D19" si="9">+C7/C3</f>
        <v>0</v>
      </c>
      <c r="D19" s="9">
        <f t="shared" si="9"/>
        <v>5.3803606538122113E-2</v>
      </c>
      <c r="E19" s="9">
        <f t="shared" ref="E19:J19" si="10">+E7/E3</f>
        <v>3.653738858108399E-2</v>
      </c>
      <c r="F19" s="9">
        <f t="shared" si="10"/>
        <v>5.006679310136028E-2</v>
      </c>
      <c r="G19" s="9">
        <f t="shared" si="10"/>
        <v>3.3215688547089166E-2</v>
      </c>
      <c r="H19" s="9">
        <f t="shared" si="10"/>
        <v>5.1213843659334714E-2</v>
      </c>
      <c r="I19" s="9">
        <f t="shared" si="10"/>
        <v>4.2922847102124045E-2</v>
      </c>
      <c r="J19" s="9">
        <f t="shared" si="10"/>
        <v>5.4746007711523749E-2</v>
      </c>
      <c r="Q19" s="9">
        <f>+Q7/Q3</f>
        <v>2.9225299548045206E-2</v>
      </c>
      <c r="R19" s="9">
        <f>+R7/R3</f>
        <v>3.9515450788402628E-2</v>
      </c>
      <c r="S19" s="9">
        <f>+S7/S3</f>
        <v>4.5817835912252275E-2</v>
      </c>
    </row>
    <row r="20" spans="2:19" x14ac:dyDescent="0.2">
      <c r="B20" s="6" t="s">
        <v>33</v>
      </c>
      <c r="C20" s="9">
        <f t="shared" ref="C20:D20" si="11">+C11/C10</f>
        <v>0.17305548268625393</v>
      </c>
      <c r="D20" s="9">
        <f t="shared" si="11"/>
        <v>0.47422285987565638</v>
      </c>
      <c r="E20" s="9">
        <f t="shared" ref="E20:J20" si="12">+E11/E10</f>
        <v>1.0170359933393227</v>
      </c>
      <c r="F20" s="9">
        <f>+F11/F10</f>
        <v>-42.499999999993356</v>
      </c>
      <c r="G20" s="9">
        <f t="shared" si="12"/>
        <v>0.47736992159658853</v>
      </c>
      <c r="H20" s="9">
        <f t="shared" si="12"/>
        <v>2.9724881699130381</v>
      </c>
      <c r="I20" s="9">
        <f t="shared" si="12"/>
        <v>0.60170757737460101</v>
      </c>
      <c r="J20" s="9">
        <f t="shared" si="12"/>
        <v>0.28850047641734183</v>
      </c>
      <c r="Q20" s="9">
        <f>+Q11/Q10</f>
        <v>0.28970694571955546</v>
      </c>
      <c r="R20" s="9">
        <f>+R11/R10</f>
        <v>5.9773477865617215E-2</v>
      </c>
      <c r="S20" s="9">
        <f>+S11/S10</f>
        <v>0.31872042151942509</v>
      </c>
    </row>
    <row r="22" spans="2:19" x14ac:dyDescent="0.2">
      <c r="B22" s="6" t="s">
        <v>34</v>
      </c>
      <c r="F22" s="9"/>
      <c r="G22" s="9">
        <f>+G3/C3-1</f>
        <v>0.27073849527759242</v>
      </c>
      <c r="H22" s="9">
        <f>+H3/D3-1</f>
        <v>0.18657436778880565</v>
      </c>
      <c r="I22" s="9">
        <f>+I3/E3-1</f>
        <v>0.14545034631034826</v>
      </c>
      <c r="J22" s="9">
        <f>+J3/F3-1</f>
        <v>0.13204925122204836</v>
      </c>
      <c r="R22" s="9">
        <f>+R3/Q3-1</f>
        <v>0.10952451610255376</v>
      </c>
      <c r="S22" s="9">
        <f>+S3/R3-1</f>
        <v>0.18026637930719103</v>
      </c>
    </row>
    <row r="25" spans="2:19" s="3" customFormat="1" ht="15" x14ac:dyDescent="0.25">
      <c r="B25" s="3" t="s">
        <v>79</v>
      </c>
      <c r="G25" s="4">
        <f>+G26-G41</f>
        <v>-1495.7089999999998</v>
      </c>
      <c r="H25" s="4">
        <f>+H26-H41</f>
        <v>-1463.2939999999999</v>
      </c>
      <c r="I25" s="4">
        <f>+I26-I41</f>
        <v>-1442.2420000000002</v>
      </c>
      <c r="J25" s="4">
        <f>+J26-J41</f>
        <v>-1450.5519999999999</v>
      </c>
    </row>
    <row r="26" spans="2:19" x14ac:dyDescent="0.2">
      <c r="B26" s="6" t="s">
        <v>3</v>
      </c>
      <c r="F26" s="6" t="s">
        <v>45</v>
      </c>
      <c r="G26" s="7">
        <v>174.03399999999999</v>
      </c>
      <c r="H26" s="7">
        <v>203.404</v>
      </c>
      <c r="I26" s="7">
        <v>221.48400000000001</v>
      </c>
      <c r="J26" s="7">
        <v>211.602</v>
      </c>
    </row>
    <row r="27" spans="2:19" x14ac:dyDescent="0.2">
      <c r="B27" s="6" t="s">
        <v>36</v>
      </c>
      <c r="G27" s="7">
        <v>38.079000000000001</v>
      </c>
      <c r="H27" s="7">
        <v>39.889000000000003</v>
      </c>
      <c r="I27" s="7">
        <v>45.487000000000002</v>
      </c>
      <c r="J27" s="7">
        <v>55.618000000000002</v>
      </c>
    </row>
    <row r="28" spans="2:19" x14ac:dyDescent="0.2">
      <c r="B28" s="6" t="s">
        <v>37</v>
      </c>
      <c r="G28" s="7">
        <v>574.68299999999999</v>
      </c>
      <c r="H28" s="7">
        <v>628.49099999999999</v>
      </c>
      <c r="I28" s="7">
        <v>644.38900000000001</v>
      </c>
      <c r="J28" s="7">
        <v>675.11099999999999</v>
      </c>
      <c r="L28" s="7">
        <f>+AVERAGE(G28:J28)</f>
        <v>630.66849999999999</v>
      </c>
      <c r="M28" s="8">
        <f>+J4/L28</f>
        <v>1.3935229046638606</v>
      </c>
    </row>
    <row r="29" spans="2:19" x14ac:dyDescent="0.2">
      <c r="B29" s="6" t="s">
        <v>38</v>
      </c>
      <c r="G29" s="7">
        <v>46.723999999999997</v>
      </c>
      <c r="H29" s="7">
        <v>41.99</v>
      </c>
      <c r="I29" s="7">
        <v>37.762</v>
      </c>
      <c r="J29" s="7">
        <v>42.354999999999997</v>
      </c>
    </row>
    <row r="30" spans="2:19" x14ac:dyDescent="0.2">
      <c r="B30" s="6" t="s">
        <v>39</v>
      </c>
      <c r="G30" s="7">
        <v>42.354999999999997</v>
      </c>
      <c r="H30" s="7">
        <v>30.381</v>
      </c>
      <c r="I30" s="7">
        <v>40.761000000000003</v>
      </c>
      <c r="J30" s="7">
        <v>86.090999999999994</v>
      </c>
    </row>
    <row r="31" spans="2:19" x14ac:dyDescent="0.2">
      <c r="B31" s="6" t="s">
        <v>40</v>
      </c>
      <c r="G31" s="7">
        <v>639.42200000000003</v>
      </c>
      <c r="H31" s="7">
        <v>654.39400000000001</v>
      </c>
      <c r="I31" s="7">
        <v>682.42</v>
      </c>
      <c r="J31" s="7">
        <v>726.92200000000003</v>
      </c>
    </row>
    <row r="32" spans="2:19" x14ac:dyDescent="0.2">
      <c r="B32" s="6" t="s">
        <v>41</v>
      </c>
      <c r="G32" s="7">
        <v>1330.816</v>
      </c>
      <c r="H32" s="7">
        <v>1314.5329999999999</v>
      </c>
      <c r="I32" s="7">
        <v>1369.231</v>
      </c>
      <c r="J32" s="7">
        <v>1338.4649999999999</v>
      </c>
    </row>
    <row r="33" spans="2:10" x14ac:dyDescent="0.2">
      <c r="B33" s="6" t="s">
        <v>42</v>
      </c>
      <c r="G33" s="7">
        <f>2179.31+1025+0.629</f>
        <v>3204.9389999999999</v>
      </c>
      <c r="H33" s="7">
        <f>1025+2182.465+0.542</f>
        <v>3208.0070000000001</v>
      </c>
      <c r="I33" s="7">
        <f>2183.202+1025+0.457</f>
        <v>3208.6590000000001</v>
      </c>
      <c r="J33" s="7">
        <f>2183.991+1025</f>
        <v>3208.991</v>
      </c>
    </row>
    <row r="34" spans="2:10" x14ac:dyDescent="0.2">
      <c r="B34" s="6" t="s">
        <v>43</v>
      </c>
      <c r="G34" s="7">
        <v>142.34700000000001</v>
      </c>
      <c r="H34" s="7">
        <v>194.09200000000001</v>
      </c>
      <c r="I34" s="7">
        <v>218.36199999999999</v>
      </c>
      <c r="J34" s="7">
        <v>152.786</v>
      </c>
    </row>
    <row r="35" spans="2:10" x14ac:dyDescent="0.2">
      <c r="B35" s="6" t="s">
        <v>44</v>
      </c>
      <c r="G35" s="7">
        <f>+SUM(G26:G34)</f>
        <v>6193.3989999999994</v>
      </c>
      <c r="H35" s="7">
        <f>+SUM(H26:H34)</f>
        <v>6315.1809999999996</v>
      </c>
      <c r="I35" s="7">
        <f>+SUM(I26:I34)</f>
        <v>6468.5549999999994</v>
      </c>
      <c r="J35" s="7">
        <f>+SUM(J26:J34)</f>
        <v>6497.9409999999998</v>
      </c>
    </row>
    <row r="36" spans="2:10" x14ac:dyDescent="0.2">
      <c r="G36" s="7"/>
      <c r="H36" s="7"/>
      <c r="I36" s="7"/>
      <c r="J36" s="7"/>
    </row>
    <row r="37" spans="2:10" x14ac:dyDescent="0.2">
      <c r="B37" s="6" t="s">
        <v>46</v>
      </c>
      <c r="G37" s="7">
        <v>352.40100000000001</v>
      </c>
      <c r="H37" s="7">
        <v>406.685</v>
      </c>
      <c r="I37" s="7">
        <v>380.17399999999998</v>
      </c>
      <c r="J37" s="7">
        <v>403.976</v>
      </c>
    </row>
    <row r="38" spans="2:10" x14ac:dyDescent="0.2">
      <c r="B38" s="6" t="s">
        <v>47</v>
      </c>
      <c r="G38" s="7">
        <v>127</v>
      </c>
      <c r="H38" s="7">
        <v>123.721</v>
      </c>
      <c r="I38" s="7">
        <v>159.70500000000001</v>
      </c>
      <c r="J38" s="7">
        <v>150.63</v>
      </c>
    </row>
    <row r="39" spans="2:10" x14ac:dyDescent="0.2">
      <c r="B39" s="6" t="s">
        <v>48</v>
      </c>
      <c r="G39" s="7">
        <v>218.92599999999999</v>
      </c>
      <c r="H39" s="7">
        <v>210.517</v>
      </c>
      <c r="I39" s="7">
        <v>214.52500000000001</v>
      </c>
      <c r="J39" s="7">
        <v>210.87200000000001</v>
      </c>
    </row>
    <row r="40" spans="2:10" x14ac:dyDescent="0.2">
      <c r="B40" s="6" t="s">
        <v>41</v>
      </c>
      <c r="G40" s="7">
        <v>276.61900000000003</v>
      </c>
      <c r="H40" s="7">
        <v>248.631</v>
      </c>
      <c r="I40" s="7">
        <v>256.83100000000002</v>
      </c>
      <c r="J40" s="7">
        <v>265.89699999999999</v>
      </c>
    </row>
    <row r="41" spans="2:10" x14ac:dyDescent="0.2">
      <c r="B41" s="6" t="s">
        <v>4</v>
      </c>
      <c r="G41" s="7">
        <f>20.234+1649.509</f>
        <v>1669.7429999999999</v>
      </c>
      <c r="H41" s="7">
        <f>20.235+1646.463</f>
        <v>1666.6979999999999</v>
      </c>
      <c r="I41" s="7">
        <f>20.303+1643.423</f>
        <v>1663.7260000000001</v>
      </c>
      <c r="J41" s="7">
        <f>21.764+1640.39</f>
        <v>1662.154</v>
      </c>
    </row>
    <row r="42" spans="2:10" x14ac:dyDescent="0.2">
      <c r="B42" s="6" t="s">
        <v>49</v>
      </c>
      <c r="G42" s="7">
        <v>1056.059</v>
      </c>
      <c r="H42" s="7">
        <v>1070.0630000000001</v>
      </c>
      <c r="I42" s="7">
        <v>1128.201</v>
      </c>
      <c r="J42" s="7">
        <v>1096.133</v>
      </c>
    </row>
    <row r="43" spans="2:10" x14ac:dyDescent="0.2">
      <c r="B43" s="6" t="s">
        <v>50</v>
      </c>
      <c r="G43" s="7">
        <v>282.35000000000002</v>
      </c>
      <c r="H43" s="7">
        <v>293.61099999999999</v>
      </c>
      <c r="I43" s="7">
        <v>309.072</v>
      </c>
      <c r="J43" s="7">
        <v>318.35500000000002</v>
      </c>
    </row>
    <row r="44" spans="2:10" x14ac:dyDescent="0.2">
      <c r="B44" s="6" t="s">
        <v>51</v>
      </c>
      <c r="G44" s="7">
        <v>138.06899999999999</v>
      </c>
      <c r="H44" s="7">
        <v>135.87299999999999</v>
      </c>
      <c r="I44" s="7">
        <v>136.399</v>
      </c>
      <c r="J44" s="7">
        <v>134.10499999999999</v>
      </c>
    </row>
    <row r="45" spans="2:10" x14ac:dyDescent="0.2">
      <c r="B45" s="6" t="s">
        <v>52</v>
      </c>
      <c r="G45" s="7">
        <f>+SUM(G37:G44)</f>
        <v>4121.1669999999995</v>
      </c>
      <c r="H45" s="7">
        <f>+SUM(H37:H44)</f>
        <v>4155.799</v>
      </c>
      <c r="I45" s="7">
        <f>+SUM(I37:I44)</f>
        <v>4248.6330000000007</v>
      </c>
      <c r="J45" s="7">
        <f>+SUM(J37:J44)</f>
        <v>4242.1219999999994</v>
      </c>
    </row>
    <row r="46" spans="2:10" x14ac:dyDescent="0.2">
      <c r="B46" s="6" t="s">
        <v>81</v>
      </c>
      <c r="G46" s="7">
        <f>+G35-G45</f>
        <v>2072.232</v>
      </c>
      <c r="H46" s="7">
        <f t="shared" ref="H46:J46" si="13">+H35-H45</f>
        <v>2159.3819999999996</v>
      </c>
      <c r="I46" s="7">
        <f t="shared" si="13"/>
        <v>2219.9219999999987</v>
      </c>
      <c r="J46" s="7">
        <f t="shared" si="13"/>
        <v>2255.8190000000004</v>
      </c>
    </row>
    <row r="47" spans="2:10" x14ac:dyDescent="0.2">
      <c r="B47" s="6" t="s">
        <v>82</v>
      </c>
      <c r="G47" s="7">
        <f>+SUM(G45:G46)</f>
        <v>6193.3989999999994</v>
      </c>
      <c r="H47" s="7">
        <f t="shared" ref="H47:J47" si="14">+SUM(H45:H46)</f>
        <v>6315.1809999999996</v>
      </c>
      <c r="I47" s="7">
        <f t="shared" si="14"/>
        <v>6468.5549999999994</v>
      </c>
      <c r="J47" s="7">
        <f t="shared" si="14"/>
        <v>6497.9409999999998</v>
      </c>
    </row>
    <row r="48" spans="2:10" x14ac:dyDescent="0.2">
      <c r="H48" s="7"/>
    </row>
    <row r="49" spans="2:10" x14ac:dyDescent="0.2">
      <c r="B49" s="6" t="s">
        <v>53</v>
      </c>
      <c r="G49" s="7">
        <f>+G14</f>
        <v>-0.90300000000011504</v>
      </c>
      <c r="H49" s="7">
        <f>+H14</f>
        <v>-15.750999999999925</v>
      </c>
      <c r="I49" s="7">
        <f>+I14</f>
        <v>10.727999999999954</v>
      </c>
      <c r="J49" s="7">
        <f>+J14</f>
        <v>18.795999999999975</v>
      </c>
    </row>
    <row r="50" spans="2:10" x14ac:dyDescent="0.2">
      <c r="B50" s="6" t="s">
        <v>54</v>
      </c>
      <c r="G50" s="7">
        <v>6.149</v>
      </c>
      <c r="H50" s="7">
        <v>81.004000000000005</v>
      </c>
      <c r="I50" s="7">
        <v>132.517</v>
      </c>
      <c r="J50" s="7">
        <v>159.80500000000001</v>
      </c>
    </row>
    <row r="51" spans="2:10" x14ac:dyDescent="0.2">
      <c r="B51" s="6" t="s">
        <v>55</v>
      </c>
      <c r="G51" s="7">
        <v>41.606999999999999</v>
      </c>
      <c r="H51" s="7">
        <v>82.844999999999999</v>
      </c>
      <c r="I51" s="7">
        <v>125.637</v>
      </c>
      <c r="J51" s="7">
        <v>172.43100000000001</v>
      </c>
    </row>
    <row r="52" spans="2:10" x14ac:dyDescent="0.2">
      <c r="B52" s="6" t="s">
        <v>56</v>
      </c>
      <c r="G52" s="7">
        <v>2.165</v>
      </c>
      <c r="H52" s="7">
        <v>3.3690000000000002</v>
      </c>
      <c r="I52" s="7">
        <v>4.5789999999999997</v>
      </c>
      <c r="J52" s="7">
        <v>5.7960000000000003</v>
      </c>
    </row>
    <row r="53" spans="2:10" x14ac:dyDescent="0.2">
      <c r="B53" s="6" t="s">
        <v>50</v>
      </c>
      <c r="G53" s="7">
        <v>1.708</v>
      </c>
      <c r="H53" s="7">
        <v>12.691000000000001</v>
      </c>
      <c r="I53" s="7">
        <v>28.523</v>
      </c>
      <c r="J53" s="7">
        <v>37.741</v>
      </c>
    </row>
    <row r="54" spans="2:10" x14ac:dyDescent="0.2">
      <c r="B54" s="6" t="s">
        <v>57</v>
      </c>
      <c r="G54" s="7">
        <v>11.603999999999999</v>
      </c>
      <c r="H54" s="7">
        <v>23.11</v>
      </c>
      <c r="I54" s="7">
        <v>36.491</v>
      </c>
      <c r="J54" s="7">
        <v>49.265000000000001</v>
      </c>
    </row>
    <row r="55" spans="2:10" x14ac:dyDescent="0.2">
      <c r="B55" s="6" t="s">
        <v>58</v>
      </c>
      <c r="G55" s="7">
        <v>0.94699999999999995</v>
      </c>
      <c r="H55" s="7">
        <v>2.69</v>
      </c>
      <c r="I55" s="7">
        <v>5.9180000000000001</v>
      </c>
      <c r="J55" s="7">
        <v>10.917999999999999</v>
      </c>
    </row>
    <row r="56" spans="2:10" x14ac:dyDescent="0.2">
      <c r="B56" s="6" t="s">
        <v>59</v>
      </c>
      <c r="G56" s="7">
        <v>20.838000000000001</v>
      </c>
      <c r="H56" s="7">
        <v>20.838000000000001</v>
      </c>
      <c r="I56" s="7">
        <v>20.838000000000001</v>
      </c>
      <c r="J56" s="7">
        <v>20.838000000000001</v>
      </c>
    </row>
    <row r="57" spans="2:10" x14ac:dyDescent="0.2">
      <c r="B57" s="6" t="s">
        <v>60</v>
      </c>
      <c r="G57" s="7">
        <v>-2.4249999999999998</v>
      </c>
      <c r="H57" s="7">
        <v>-4.8540000000000001</v>
      </c>
      <c r="I57" s="7">
        <v>-7.49</v>
      </c>
      <c r="J57" s="7">
        <v>-10.882999999999999</v>
      </c>
    </row>
    <row r="58" spans="2:10" x14ac:dyDescent="0.2">
      <c r="B58" s="6" t="s">
        <v>61</v>
      </c>
      <c r="G58" s="7">
        <v>105.188</v>
      </c>
      <c r="H58" s="7">
        <v>210.49</v>
      </c>
      <c r="I58" s="7">
        <v>315.93</v>
      </c>
      <c r="J58" s="7">
        <v>422.46499999999997</v>
      </c>
    </row>
    <row r="59" spans="2:10" x14ac:dyDescent="0.2">
      <c r="B59" s="6" t="s">
        <v>62</v>
      </c>
      <c r="G59" s="7"/>
      <c r="H59" s="7">
        <v>-45.161999999999999</v>
      </c>
      <c r="I59" s="7">
        <v>-64.933999999999997</v>
      </c>
      <c r="J59" s="7">
        <v>-34.497</v>
      </c>
    </row>
    <row r="60" spans="2:10" x14ac:dyDescent="0.2">
      <c r="B60" s="6" t="s">
        <v>36</v>
      </c>
      <c r="G60" s="7">
        <v>3.7480000000000002</v>
      </c>
      <c r="H60" s="7">
        <v>1.9370000000000001</v>
      </c>
      <c r="I60" s="7">
        <v>-3.6520000000000001</v>
      </c>
      <c r="J60" s="7">
        <v>-13.791</v>
      </c>
    </row>
    <row r="61" spans="2:10" x14ac:dyDescent="0.2">
      <c r="B61" s="6" t="s">
        <v>37</v>
      </c>
      <c r="G61" s="7">
        <v>-36.008000000000003</v>
      </c>
      <c r="H61" s="7">
        <v>-89.784000000000006</v>
      </c>
      <c r="I61" s="7">
        <v>-105.682</v>
      </c>
      <c r="J61" s="7">
        <v>-136.404</v>
      </c>
    </row>
    <row r="62" spans="2:10" x14ac:dyDescent="0.2">
      <c r="B62" s="6" t="s">
        <v>38</v>
      </c>
      <c r="G62" s="7">
        <v>-9.14</v>
      </c>
      <c r="H62" s="7">
        <v>3.294</v>
      </c>
      <c r="I62" s="7">
        <v>-8.0530000000000008</v>
      </c>
      <c r="J62" s="7">
        <v>-17.664000000000001</v>
      </c>
    </row>
    <row r="63" spans="2:10" x14ac:dyDescent="0.2">
      <c r="B63" s="6" t="s">
        <v>46</v>
      </c>
      <c r="G63" s="7">
        <v>20.119</v>
      </c>
      <c r="H63" s="7">
        <v>74.465999999999994</v>
      </c>
      <c r="I63" s="7">
        <v>47.972999999999999</v>
      </c>
      <c r="J63" s="7">
        <v>71.775000000000006</v>
      </c>
    </row>
    <row r="64" spans="2:10" x14ac:dyDescent="0.2">
      <c r="B64" s="6" t="s">
        <v>47</v>
      </c>
      <c r="G64" s="7">
        <v>-2.4830000000000001</v>
      </c>
      <c r="H64" s="7">
        <v>-6.0170000000000003</v>
      </c>
      <c r="I64" s="7">
        <v>27.672999999999998</v>
      </c>
      <c r="J64" s="7">
        <v>10.679</v>
      </c>
    </row>
    <row r="65" spans="2:10" x14ac:dyDescent="0.2">
      <c r="B65" s="6" t="s">
        <v>48</v>
      </c>
      <c r="G65" s="7">
        <v>66.12</v>
      </c>
      <c r="H65" s="7">
        <v>51.145000000000003</v>
      </c>
      <c r="I65" s="7">
        <v>45.436999999999998</v>
      </c>
      <c r="J65" s="7">
        <v>42.899000000000001</v>
      </c>
    </row>
    <row r="66" spans="2:10" x14ac:dyDescent="0.2">
      <c r="B66" s="6" t="s">
        <v>41</v>
      </c>
      <c r="G66" s="7">
        <v>-116.994</v>
      </c>
      <c r="H66" s="7">
        <v>-220.655</v>
      </c>
      <c r="I66" s="7">
        <v>-314.62</v>
      </c>
      <c r="J66" s="7">
        <f>+-418.21</f>
        <v>-418.21</v>
      </c>
    </row>
    <row r="67" spans="2:10" x14ac:dyDescent="0.2">
      <c r="B67" s="6" t="s">
        <v>51</v>
      </c>
      <c r="G67" s="7">
        <v>1.859</v>
      </c>
      <c r="H67" s="7">
        <v>0.997</v>
      </c>
      <c r="I67" s="7">
        <v>1.359</v>
      </c>
      <c r="J67" s="7">
        <v>-14.948</v>
      </c>
    </row>
    <row r="68" spans="2:10" s="3" customFormat="1" ht="15" x14ac:dyDescent="0.25">
      <c r="B68" s="3" t="s">
        <v>63</v>
      </c>
      <c r="G68" s="4">
        <f>+SUM(G50:G67)</f>
        <v>115.00199999999997</v>
      </c>
      <c r="H68" s="4">
        <f>+SUM(H50:H67)</f>
        <v>202.40400000000002</v>
      </c>
      <c r="I68" s="4">
        <f>+SUM(I50:I67)</f>
        <v>288.4439999999999</v>
      </c>
      <c r="J68" s="4">
        <f>+SUM(J50:J67)</f>
        <v>358.21499999999997</v>
      </c>
    </row>
    <row r="70" spans="2:10" x14ac:dyDescent="0.2">
      <c r="B70" s="6" t="s">
        <v>67</v>
      </c>
      <c r="G70" s="7">
        <v>-47.350999999999999</v>
      </c>
      <c r="H70" s="7">
        <v>-99.882999999999996</v>
      </c>
      <c r="I70" s="7">
        <v>-164.33</v>
      </c>
      <c r="J70" s="7">
        <v>-239.11</v>
      </c>
    </row>
    <row r="71" spans="2:10" x14ac:dyDescent="0.2">
      <c r="B71" s="6" t="s">
        <v>64</v>
      </c>
      <c r="G71" s="7"/>
      <c r="H71" s="7">
        <v>-2.8069999999999999</v>
      </c>
      <c r="I71" s="7">
        <v>-3.5449999999999999</v>
      </c>
      <c r="J71" s="7">
        <v>-4.3339999999999996</v>
      </c>
    </row>
    <row r="72" spans="2:10" x14ac:dyDescent="0.2">
      <c r="B72" s="6" t="s">
        <v>65</v>
      </c>
      <c r="I72" s="7"/>
      <c r="J72" s="7">
        <v>6.1349999999999998</v>
      </c>
    </row>
    <row r="73" spans="2:10" x14ac:dyDescent="0.2">
      <c r="B73" s="6" t="s">
        <v>66</v>
      </c>
      <c r="H73" s="6">
        <v>0.105</v>
      </c>
      <c r="I73" s="6">
        <v>0.105</v>
      </c>
      <c r="J73" s="6">
        <v>0.22600000000000001</v>
      </c>
    </row>
    <row r="74" spans="2:10" s="3" customFormat="1" ht="15" x14ac:dyDescent="0.25">
      <c r="B74" s="3" t="s">
        <v>68</v>
      </c>
      <c r="G74" s="4">
        <f>+SUM(G70:G73)</f>
        <v>-47.350999999999999</v>
      </c>
      <c r="H74" s="4">
        <f>+SUM(H70:H73)</f>
        <v>-102.58499999999999</v>
      </c>
      <c r="I74" s="4">
        <f>+SUM(I70:I73)</f>
        <v>-167.77</v>
      </c>
      <c r="J74" s="4">
        <f>+SUM(J70:J73)</f>
        <v>-237.08300000000003</v>
      </c>
    </row>
    <row r="76" spans="2:10" x14ac:dyDescent="0.2">
      <c r="B76" s="6" t="s">
        <v>69</v>
      </c>
      <c r="G76" s="6">
        <v>1700</v>
      </c>
      <c r="H76" s="6">
        <v>1700</v>
      </c>
      <c r="I76" s="6">
        <v>1700</v>
      </c>
      <c r="J76" s="6">
        <v>1700</v>
      </c>
    </row>
    <row r="77" spans="2:10" x14ac:dyDescent="0.2">
      <c r="B77" s="6" t="s">
        <v>70</v>
      </c>
      <c r="G77" s="6">
        <v>-1678.1110000000001</v>
      </c>
      <c r="H77" s="6">
        <v>-1682.3610000000001</v>
      </c>
      <c r="I77" s="6">
        <v>-1686.6110000000001</v>
      </c>
      <c r="J77" s="6">
        <v>-1690.8610000000001</v>
      </c>
    </row>
    <row r="78" spans="2:10" x14ac:dyDescent="0.2">
      <c r="B78" s="6" t="s">
        <v>71</v>
      </c>
      <c r="G78" s="6">
        <v>-24.664999999999999</v>
      </c>
      <c r="H78" s="6">
        <v>-24.664999999999999</v>
      </c>
      <c r="I78" s="6">
        <v>-24.664999999999999</v>
      </c>
      <c r="J78" s="6">
        <v>-24.664999999999999</v>
      </c>
    </row>
    <row r="79" spans="2:10" x14ac:dyDescent="0.2">
      <c r="B79" s="6" t="s">
        <v>72</v>
      </c>
      <c r="G79" s="6">
        <v>-0.59299999999999997</v>
      </c>
      <c r="H79" s="6">
        <v>-2.044</v>
      </c>
      <c r="I79" s="6">
        <v>-2.65</v>
      </c>
      <c r="J79" s="6">
        <v>-3.5640000000000001</v>
      </c>
    </row>
    <row r="80" spans="2:10" x14ac:dyDescent="0.2">
      <c r="B80" s="6" t="s">
        <v>73</v>
      </c>
      <c r="H80" s="6">
        <v>1.7210000000000001</v>
      </c>
      <c r="I80" s="6">
        <v>2.92</v>
      </c>
      <c r="J80" s="6">
        <v>4.1849999999999996</v>
      </c>
    </row>
    <row r="81" spans="2:11" x14ac:dyDescent="0.2">
      <c r="B81" s="6" t="s">
        <v>80</v>
      </c>
      <c r="I81" s="6">
        <v>-1.2999999999999999E-2</v>
      </c>
      <c r="J81" s="6">
        <v>-3.3000000000000002E-2</v>
      </c>
    </row>
    <row r="82" spans="2:11" x14ac:dyDescent="0.2">
      <c r="B82" s="6" t="s">
        <v>74</v>
      </c>
    </row>
    <row r="83" spans="2:11" x14ac:dyDescent="0.2">
      <c r="B83" s="6" t="s">
        <v>75</v>
      </c>
    </row>
    <row r="84" spans="2:11" x14ac:dyDescent="0.2">
      <c r="B84" s="6" t="s">
        <v>76</v>
      </c>
      <c r="G84" s="6">
        <v>-3.8439999999999999</v>
      </c>
      <c r="H84" s="6">
        <v>-3.8439999999999999</v>
      </c>
      <c r="I84" s="6">
        <v>-3.8439999999999999</v>
      </c>
      <c r="J84" s="6">
        <v>-3.8439999999999999</v>
      </c>
    </row>
    <row r="85" spans="2:11" s="3" customFormat="1" ht="15" x14ac:dyDescent="0.25">
      <c r="B85" s="3" t="s">
        <v>77</v>
      </c>
      <c r="G85" s="3">
        <f>+SUM(G76:G84)</f>
        <v>-7.2130000000001022</v>
      </c>
      <c r="H85" s="3">
        <f>+SUM(H76:H84)</f>
        <v>-11.193000000000103</v>
      </c>
      <c r="I85" s="3">
        <f>+SUM(I76:I84)</f>
        <v>-14.863000000000103</v>
      </c>
      <c r="J85" s="3">
        <f>+SUM(J76:J84)</f>
        <v>-18.782000000000103</v>
      </c>
    </row>
    <row r="86" spans="2:11" s="3" customFormat="1" ht="15" x14ac:dyDescent="0.25">
      <c r="B86" s="3" t="s">
        <v>78</v>
      </c>
      <c r="G86" s="4">
        <f>+G85+G74+G68</f>
        <v>60.437999999999867</v>
      </c>
      <c r="H86" s="4">
        <f>+H85+H74+H68</f>
        <v>88.625999999999934</v>
      </c>
      <c r="I86" s="4">
        <f>+I85+I74+I68</f>
        <v>105.81099999999978</v>
      </c>
      <c r="J86" s="4">
        <f>+J85+J74+J68</f>
        <v>102.34999999999985</v>
      </c>
    </row>
    <row r="88" spans="2:11" x14ac:dyDescent="0.2">
      <c r="G88" s="10"/>
      <c r="H88" s="10"/>
      <c r="I88" s="10"/>
      <c r="J88" s="10"/>
      <c r="K88" s="10"/>
    </row>
  </sheetData>
  <hyperlinks>
    <hyperlink ref="A1" location="Main!A1" display="Main" xr:uid="{E8904D4D-9868-4FEC-849D-14017D95E37F}"/>
  </hyperlink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Case</dc:creator>
  <cp:lastModifiedBy>Josh Case</cp:lastModifiedBy>
  <dcterms:created xsi:type="dcterms:W3CDTF">2022-04-06T02:49:35Z</dcterms:created>
  <dcterms:modified xsi:type="dcterms:W3CDTF">2022-04-28T22:58:01Z</dcterms:modified>
</cp:coreProperties>
</file>