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l\"/>
    </mc:Choice>
  </mc:AlternateContent>
  <xr:revisionPtr revIDLastSave="0" documentId="13_ncr:1_{99ABA32E-9965-4355-96A5-A941EF9C226E}" xr6:coauthVersionLast="47" xr6:coauthVersionMax="47" xr10:uidLastSave="{00000000-0000-0000-0000-000000000000}"/>
  <bookViews>
    <workbookView xWindow="-120" yWindow="-120" windowWidth="29040" windowHeight="15840" activeTab="1" xr2:uid="{37C58B66-EF5A-44DC-BA0C-1D2AB644A812}"/>
  </bookViews>
  <sheets>
    <sheet name="Main" sheetId="1" r:id="rId1"/>
    <sheet name="Model" sheetId="2" r:id="rId2"/>
    <sheet name="Sheet1" sheetId="4" r:id="rId3"/>
    <sheet name="Statistic Analysis Whatevs" sheetId="3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7" i="2" l="1"/>
  <c r="P37" i="2"/>
  <c r="K37" i="2"/>
  <c r="J37" i="2"/>
  <c r="I37" i="2"/>
  <c r="H37" i="2"/>
  <c r="D27" i="4"/>
  <c r="C36" i="4"/>
  <c r="C23" i="4"/>
  <c r="C7" i="4" a="1"/>
  <c r="C7" i="4" s="1"/>
  <c r="K38" i="2"/>
  <c r="K45" i="2" s="1"/>
  <c r="J18" i="4"/>
  <c r="H33" i="4"/>
  <c r="G33" i="4"/>
  <c r="H31" i="4"/>
  <c r="G30" i="4"/>
  <c r="H30" i="4"/>
  <c r="G29" i="4"/>
  <c r="H29" i="4" s="1"/>
  <c r="G28" i="4"/>
  <c r="H28" i="4" s="1"/>
  <c r="G27" i="4"/>
  <c r="H27" i="4" s="1"/>
  <c r="G26" i="4"/>
  <c r="H26" i="4" s="1"/>
  <c r="G25" i="4"/>
  <c r="H25" i="4" s="1"/>
  <c r="G24" i="4"/>
  <c r="H24" i="4" s="1"/>
  <c r="G23" i="4"/>
  <c r="H23" i="4" s="1"/>
  <c r="H22" i="4"/>
  <c r="G22" i="4"/>
  <c r="C38" i="4"/>
  <c r="D32" i="4"/>
  <c r="C35" i="4"/>
  <c r="C33" i="4"/>
  <c r="B48" i="4"/>
  <c r="B49" i="4" s="1"/>
  <c r="B50" i="4" s="1"/>
  <c r="B51" i="4" s="1"/>
  <c r="B52" i="4" s="1"/>
  <c r="B53" i="4" s="1"/>
  <c r="B54" i="4" s="1"/>
  <c r="B55" i="4" s="1"/>
  <c r="B56" i="4" s="1"/>
  <c r="D7" i="4" a="1"/>
  <c r="D7" i="4" s="1"/>
  <c r="K4" i="2"/>
  <c r="K34" i="2" s="1"/>
  <c r="K23" i="2"/>
  <c r="K29" i="2"/>
  <c r="L3" i="2"/>
  <c r="K3" i="2"/>
  <c r="K54" i="2"/>
  <c r="K43" i="2"/>
  <c r="K31" i="2"/>
  <c r="K33" i="2"/>
  <c r="K30" i="2"/>
  <c r="K28" i="2"/>
  <c r="K26" i="2"/>
  <c r="K25" i="2"/>
  <c r="K24" i="2"/>
  <c r="K22" i="2"/>
  <c r="K21" i="2"/>
  <c r="K8" i="2"/>
  <c r="K12" i="2"/>
  <c r="K13" i="2" s="1"/>
  <c r="K15" i="2" s="1"/>
  <c r="K17" i="2" s="1"/>
  <c r="K18" i="2" s="1"/>
  <c r="L6" i="2"/>
  <c r="J22" i="3"/>
  <c r="K22" i="3" s="1"/>
  <c r="I22" i="3"/>
  <c r="F22" i="3"/>
  <c r="E22" i="3"/>
  <c r="G22" i="3"/>
  <c r="U30" i="2"/>
  <c r="T30" i="2"/>
  <c r="T29" i="2"/>
  <c r="U29" i="2"/>
  <c r="W19" i="2"/>
  <c r="V19" i="2"/>
  <c r="H28" i="2"/>
  <c r="F23" i="2"/>
  <c r="G31" i="2"/>
  <c r="J31" i="2"/>
  <c r="I31" i="2"/>
  <c r="H31" i="2"/>
  <c r="J30" i="2"/>
  <c r="I30" i="2"/>
  <c r="H30" i="2"/>
  <c r="G30" i="2"/>
  <c r="I29" i="2"/>
  <c r="H29" i="2"/>
  <c r="G29" i="2"/>
  <c r="J29" i="2"/>
  <c r="H4" i="2"/>
  <c r="H34" i="2" s="1"/>
  <c r="M3" i="2"/>
  <c r="N3" i="2" s="1"/>
  <c r="O3" i="2" s="1"/>
  <c r="P3" i="2" s="1"/>
  <c r="P33" i="2" s="1"/>
  <c r="D29" i="3"/>
  <c r="D28" i="3"/>
  <c r="I33" i="2"/>
  <c r="H33" i="2"/>
  <c r="G33" i="2"/>
  <c r="F33" i="2"/>
  <c r="E33" i="2"/>
  <c r="D33" i="2"/>
  <c r="J33" i="2"/>
  <c r="G10" i="3"/>
  <c r="D6" i="3"/>
  <c r="D5" i="3"/>
  <c r="D7" i="3" s="1"/>
  <c r="F5" i="3" s="1"/>
  <c r="F10" i="3"/>
  <c r="E10" i="3" s="1"/>
  <c r="I10" i="3"/>
  <c r="J10" i="3"/>
  <c r="K10" i="3" s="1"/>
  <c r="D17" i="3"/>
  <c r="D19" i="3" s="1"/>
  <c r="C4" i="2"/>
  <c r="D4" i="2"/>
  <c r="E4" i="2"/>
  <c r="F4" i="2"/>
  <c r="G4" i="2"/>
  <c r="G34" i="2" s="1"/>
  <c r="I4" i="2"/>
  <c r="J4" i="2"/>
  <c r="J34" i="2" s="1"/>
  <c r="T43" i="2"/>
  <c r="T38" i="2"/>
  <c r="T54" i="2"/>
  <c r="U54" i="2"/>
  <c r="U43" i="2"/>
  <c r="U38" i="2"/>
  <c r="T28" i="2"/>
  <c r="U28" i="2"/>
  <c r="S12" i="2"/>
  <c r="S8" i="2"/>
  <c r="S21" i="2" s="1"/>
  <c r="T12" i="2"/>
  <c r="T8" i="2"/>
  <c r="T21" i="2" s="1"/>
  <c r="U12" i="2"/>
  <c r="U8" i="2"/>
  <c r="L6" i="1"/>
  <c r="C12" i="2"/>
  <c r="C8" i="2"/>
  <c r="C24" i="2" s="1"/>
  <c r="G28" i="2"/>
  <c r="G12" i="2"/>
  <c r="G8" i="2"/>
  <c r="H54" i="2"/>
  <c r="H43" i="2"/>
  <c r="H38" i="2"/>
  <c r="D12" i="2"/>
  <c r="D8" i="2"/>
  <c r="D21" i="2" s="1"/>
  <c r="H12" i="2"/>
  <c r="H8" i="2"/>
  <c r="H21" i="2" s="1"/>
  <c r="I54" i="2"/>
  <c r="I43" i="2"/>
  <c r="I38" i="2"/>
  <c r="E12" i="2"/>
  <c r="E8" i="2"/>
  <c r="E25" i="2" s="1"/>
  <c r="I28" i="2"/>
  <c r="I12" i="2"/>
  <c r="I8" i="2"/>
  <c r="J86" i="2"/>
  <c r="J79" i="2"/>
  <c r="J70" i="2"/>
  <c r="J54" i="2"/>
  <c r="J43" i="2"/>
  <c r="J38" i="2"/>
  <c r="J28" i="2"/>
  <c r="J12" i="2"/>
  <c r="F12" i="2"/>
  <c r="F8" i="2"/>
  <c r="F21" i="2" s="1"/>
  <c r="J8" i="2"/>
  <c r="U2" i="2"/>
  <c r="V2" i="2" s="1"/>
  <c r="W2" i="2" s="1"/>
  <c r="X2" i="2" s="1"/>
  <c r="Y2" i="2" s="1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AO2" i="2" s="1"/>
  <c r="L10" i="1"/>
  <c r="L8" i="1"/>
  <c r="L7" i="1"/>
  <c r="D34" i="2" l="1"/>
  <c r="E34" i="2"/>
  <c r="C28" i="4"/>
  <c r="D19" i="4"/>
  <c r="C19" i="4"/>
  <c r="D20" i="4"/>
  <c r="D21" i="4" s="1"/>
  <c r="C20" i="4"/>
  <c r="C21" i="4" s="1"/>
  <c r="C26" i="4"/>
  <c r="C42" i="4" s="1"/>
  <c r="C18" i="4"/>
  <c r="C25" i="2"/>
  <c r="I34" i="2"/>
  <c r="S23" i="2"/>
  <c r="M33" i="2"/>
  <c r="D25" i="2"/>
  <c r="F25" i="2"/>
  <c r="L33" i="2"/>
  <c r="U31" i="2"/>
  <c r="D23" i="2"/>
  <c r="T23" i="2"/>
  <c r="N33" i="2"/>
  <c r="O33" i="2"/>
  <c r="J25" i="2"/>
  <c r="J24" i="2"/>
  <c r="U21" i="2"/>
  <c r="U24" i="2"/>
  <c r="U23" i="2"/>
  <c r="T24" i="2"/>
  <c r="I21" i="2"/>
  <c r="I24" i="2"/>
  <c r="I25" i="2"/>
  <c r="T31" i="2"/>
  <c r="H25" i="2"/>
  <c r="U25" i="2"/>
  <c r="D24" i="2"/>
  <c r="I23" i="2"/>
  <c r="E21" i="2"/>
  <c r="E23" i="2"/>
  <c r="E24" i="2"/>
  <c r="H23" i="2"/>
  <c r="J23" i="2"/>
  <c r="G21" i="2"/>
  <c r="G25" i="2"/>
  <c r="L8" i="2"/>
  <c r="L10" i="2" s="1"/>
  <c r="V6" i="2"/>
  <c r="V28" i="2" s="1"/>
  <c r="G23" i="2"/>
  <c r="M6" i="2"/>
  <c r="T25" i="2"/>
  <c r="C21" i="2"/>
  <c r="C23" i="2"/>
  <c r="F34" i="2"/>
  <c r="G24" i="2"/>
  <c r="H24" i="2"/>
  <c r="L14" i="2"/>
  <c r="V14" i="2" s="1"/>
  <c r="F24" i="2"/>
  <c r="S24" i="2"/>
  <c r="S25" i="2"/>
  <c r="U45" i="2"/>
  <c r="L4" i="2"/>
  <c r="L34" i="2" s="1"/>
  <c r="L28" i="2"/>
  <c r="D30" i="3"/>
  <c r="J17" i="3"/>
  <c r="H17" i="3"/>
  <c r="F17" i="3"/>
  <c r="G17" i="3"/>
  <c r="I17" i="3"/>
  <c r="H45" i="2"/>
  <c r="M5" i="3"/>
  <c r="I5" i="3"/>
  <c r="J5" i="3"/>
  <c r="K5" i="3"/>
  <c r="G5" i="3"/>
  <c r="H5" i="3"/>
  <c r="L5" i="3"/>
  <c r="M17" i="3"/>
  <c r="L17" i="3"/>
  <c r="K17" i="3"/>
  <c r="J45" i="2"/>
  <c r="T45" i="2"/>
  <c r="F13" i="2"/>
  <c r="F15" i="2" s="1"/>
  <c r="F26" i="2" s="1"/>
  <c r="J87" i="2"/>
  <c r="I45" i="2"/>
  <c r="S13" i="2"/>
  <c r="T13" i="2"/>
  <c r="U13" i="2"/>
  <c r="C13" i="2"/>
  <c r="G13" i="2"/>
  <c r="D13" i="2"/>
  <c r="H13" i="2"/>
  <c r="E13" i="2"/>
  <c r="I13" i="2"/>
  <c r="J13" i="2"/>
  <c r="J22" i="2" s="1"/>
  <c r="J21" i="2"/>
  <c r="C27" i="4" l="1"/>
  <c r="C43" i="4"/>
  <c r="L9" i="2"/>
  <c r="L23" i="2" s="1"/>
  <c r="L21" i="2"/>
  <c r="L11" i="2"/>
  <c r="L31" i="2" s="1"/>
  <c r="L7" i="2"/>
  <c r="V7" i="2" s="1"/>
  <c r="V8" i="2"/>
  <c r="V21" i="2" s="1"/>
  <c r="M28" i="2"/>
  <c r="N6" i="2"/>
  <c r="O6" i="2" s="1"/>
  <c r="P6" i="2" s="1"/>
  <c r="M4" i="2"/>
  <c r="M34" i="2" s="1"/>
  <c r="M8" i="2"/>
  <c r="M10" i="2" s="1"/>
  <c r="K28" i="3"/>
  <c r="I28" i="3"/>
  <c r="H28" i="3"/>
  <c r="L28" i="3"/>
  <c r="J28" i="3"/>
  <c r="G28" i="3"/>
  <c r="F28" i="3"/>
  <c r="D32" i="3" s="1"/>
  <c r="D33" i="3" s="1"/>
  <c r="D8" i="3"/>
  <c r="D9" i="3" s="1"/>
  <c r="D20" i="3"/>
  <c r="D21" i="3" s="1"/>
  <c r="F22" i="2"/>
  <c r="F17" i="2"/>
  <c r="F18" i="2" s="1"/>
  <c r="U15" i="2"/>
  <c r="U22" i="2"/>
  <c r="T15" i="2"/>
  <c r="T22" i="2"/>
  <c r="S15" i="2"/>
  <c r="S22" i="2"/>
  <c r="E15" i="2"/>
  <c r="E22" i="2"/>
  <c r="H15" i="2"/>
  <c r="H22" i="2"/>
  <c r="D15" i="2"/>
  <c r="D22" i="2"/>
  <c r="G15" i="2"/>
  <c r="G22" i="2"/>
  <c r="C15" i="2"/>
  <c r="C22" i="2"/>
  <c r="J15" i="2"/>
  <c r="I15" i="2"/>
  <c r="I22" i="2"/>
  <c r="C55" i="4" l="1"/>
  <c r="C54" i="4"/>
  <c r="C53" i="4"/>
  <c r="F10" i="4"/>
  <c r="F9" i="4"/>
  <c r="F16" i="4"/>
  <c r="F8" i="4"/>
  <c r="F13" i="4"/>
  <c r="F15" i="4"/>
  <c r="F14" i="4"/>
  <c r="F12" i="4"/>
  <c r="F11" i="4"/>
  <c r="C49" i="4"/>
  <c r="C47" i="4"/>
  <c r="C50" i="4"/>
  <c r="C48" i="4"/>
  <c r="C51" i="4"/>
  <c r="C56" i="4"/>
  <c r="C52" i="4"/>
  <c r="V11" i="2"/>
  <c r="L25" i="2"/>
  <c r="W6" i="2"/>
  <c r="L24" i="2"/>
  <c r="L30" i="2"/>
  <c r="V10" i="2"/>
  <c r="M11" i="2"/>
  <c r="M25" i="2" s="1"/>
  <c r="L12" i="2"/>
  <c r="V9" i="2"/>
  <c r="V23" i="2" s="1"/>
  <c r="L29" i="2"/>
  <c r="M7" i="2"/>
  <c r="M9" i="2"/>
  <c r="M21" i="2"/>
  <c r="N4" i="2"/>
  <c r="N34" i="2" s="1"/>
  <c r="N8" i="2"/>
  <c r="N28" i="2"/>
  <c r="G33" i="3"/>
  <c r="F33" i="3" s="1"/>
  <c r="E33" i="3" s="1"/>
  <c r="I33" i="3"/>
  <c r="J33" i="3" s="1"/>
  <c r="K33" i="3" s="1"/>
  <c r="S17" i="2"/>
  <c r="S18" i="2" s="1"/>
  <c r="S26" i="2"/>
  <c r="T17" i="2"/>
  <c r="T18" i="2" s="1"/>
  <c r="T26" i="2"/>
  <c r="U17" i="2"/>
  <c r="U18" i="2" s="1"/>
  <c r="U26" i="2"/>
  <c r="G17" i="2"/>
  <c r="G18" i="2" s="1"/>
  <c r="G26" i="2"/>
  <c r="I17" i="2"/>
  <c r="I18" i="2" s="1"/>
  <c r="I26" i="2"/>
  <c r="D17" i="2"/>
  <c r="D18" i="2" s="1"/>
  <c r="D26" i="2"/>
  <c r="J17" i="2"/>
  <c r="J26" i="2"/>
  <c r="H17" i="2"/>
  <c r="H18" i="2" s="1"/>
  <c r="H26" i="2"/>
  <c r="C17" i="2"/>
  <c r="C18" i="2" s="1"/>
  <c r="C26" i="2"/>
  <c r="E17" i="2"/>
  <c r="E18" i="2" s="1"/>
  <c r="E26" i="2"/>
  <c r="C40" i="4" l="1"/>
  <c r="C39" i="4"/>
  <c r="M29" i="2"/>
  <c r="V29" i="2"/>
  <c r="V24" i="2"/>
  <c r="X6" i="2"/>
  <c r="W28" i="2"/>
  <c r="L13" i="2"/>
  <c r="V12" i="2"/>
  <c r="V31" i="2" s="1"/>
  <c r="V25" i="2"/>
  <c r="V30" i="2"/>
  <c r="M31" i="2"/>
  <c r="N9" i="2"/>
  <c r="N23" i="2" s="1"/>
  <c r="N10" i="2"/>
  <c r="N30" i="2" s="1"/>
  <c r="N11" i="2"/>
  <c r="N31" i="2" s="1"/>
  <c r="M24" i="2"/>
  <c r="M30" i="2"/>
  <c r="N7" i="2"/>
  <c r="N21" i="2"/>
  <c r="M12" i="2"/>
  <c r="M23" i="2"/>
  <c r="O8" i="2"/>
  <c r="O4" i="2"/>
  <c r="O34" i="2" s="1"/>
  <c r="O28" i="2"/>
  <c r="J18" i="2"/>
  <c r="J56" i="2"/>
  <c r="N25" i="2" l="1"/>
  <c r="X8" i="2"/>
  <c r="X21" i="2" s="1"/>
  <c r="Y6" i="2"/>
  <c r="X28" i="2"/>
  <c r="X7" i="2"/>
  <c r="M13" i="2"/>
  <c r="M22" i="2" s="1"/>
  <c r="N24" i="2"/>
  <c r="L15" i="2"/>
  <c r="L22" i="2"/>
  <c r="V13" i="2"/>
  <c r="V22" i="2" s="1"/>
  <c r="O10" i="2"/>
  <c r="O30" i="2" s="1"/>
  <c r="O11" i="2"/>
  <c r="O31" i="2" s="1"/>
  <c r="O9" i="2"/>
  <c r="N29" i="2"/>
  <c r="N12" i="2"/>
  <c r="N13" i="2" s="1"/>
  <c r="O7" i="2"/>
  <c r="O21" i="2"/>
  <c r="P4" i="2"/>
  <c r="P34" i="2" s="1"/>
  <c r="P8" i="2"/>
  <c r="W8" i="2" s="1"/>
  <c r="W21" i="2" s="1"/>
  <c r="P28" i="2"/>
  <c r="Z6" i="2" l="1"/>
  <c r="Y8" i="2"/>
  <c r="Y21" i="2" s="1"/>
  <c r="Y28" i="2"/>
  <c r="Y7" i="2"/>
  <c r="L16" i="2"/>
  <c r="L17" i="2" s="1"/>
  <c r="V15" i="2"/>
  <c r="O23" i="2"/>
  <c r="O25" i="2"/>
  <c r="P11" i="2"/>
  <c r="W11" i="2" s="1"/>
  <c r="P10" i="2"/>
  <c r="P9" i="2"/>
  <c r="P29" i="2" s="1"/>
  <c r="P31" i="2"/>
  <c r="O24" i="2"/>
  <c r="N22" i="2"/>
  <c r="O29" i="2"/>
  <c r="O12" i="2"/>
  <c r="P7" i="2"/>
  <c r="W7" i="2" s="1"/>
  <c r="P25" i="2"/>
  <c r="P21" i="2"/>
  <c r="P23" i="2" l="1"/>
  <c r="W25" i="2"/>
  <c r="W30" i="2"/>
  <c r="X11" i="2"/>
  <c r="AA6" i="2"/>
  <c r="Z28" i="2"/>
  <c r="Z8" i="2"/>
  <c r="M14" i="2"/>
  <c r="M15" i="2" s="1"/>
  <c r="M16" i="2" s="1"/>
  <c r="L18" i="2"/>
  <c r="V17" i="2"/>
  <c r="V18" i="2" s="1"/>
  <c r="P12" i="2"/>
  <c r="P13" i="2" s="1"/>
  <c r="P22" i="2" s="1"/>
  <c r="O13" i="2"/>
  <c r="W13" i="2" s="1"/>
  <c r="W22" i="2" s="1"/>
  <c r="W12" i="2"/>
  <c r="W31" i="2" s="1"/>
  <c r="W9" i="2"/>
  <c r="L26" i="2"/>
  <c r="V16" i="2"/>
  <c r="V26" i="2" s="1"/>
  <c r="P30" i="2"/>
  <c r="W10" i="2"/>
  <c r="P24" i="2"/>
  <c r="M26" i="2" l="1"/>
  <c r="M37" i="2"/>
  <c r="Z21" i="2"/>
  <c r="Z7" i="2"/>
  <c r="M17" i="2"/>
  <c r="X25" i="2"/>
  <c r="X30" i="2"/>
  <c r="Y11" i="2"/>
  <c r="W23" i="2"/>
  <c r="X9" i="2"/>
  <c r="AB6" i="2"/>
  <c r="AA28" i="2"/>
  <c r="AA8" i="2"/>
  <c r="O22" i="2"/>
  <c r="X10" i="2"/>
  <c r="W24" i="2"/>
  <c r="W29" i="2"/>
  <c r="N14" i="2"/>
  <c r="M18" i="2" l="1"/>
  <c r="Y10" i="2"/>
  <c r="X24" i="2"/>
  <c r="X29" i="2"/>
  <c r="AA21" i="2"/>
  <c r="Z11" i="2"/>
  <c r="Y30" i="2"/>
  <c r="Y25" i="2"/>
  <c r="AA7" i="2"/>
  <c r="AC6" i="2"/>
  <c r="AB28" i="2"/>
  <c r="AB8" i="2"/>
  <c r="AB21" i="2" s="1"/>
  <c r="X12" i="2"/>
  <c r="X23" i="2"/>
  <c r="Y9" i="2"/>
  <c r="N15" i="2"/>
  <c r="Y12" i="2" l="1"/>
  <c r="Y23" i="2"/>
  <c r="Z9" i="2"/>
  <c r="X13" i="2"/>
  <c r="X31" i="2"/>
  <c r="AB7" i="2"/>
  <c r="AD6" i="2"/>
  <c r="AC28" i="2"/>
  <c r="AC8" i="2"/>
  <c r="AC21" i="2" s="1"/>
  <c r="AC7" i="2"/>
  <c r="AA11" i="2"/>
  <c r="Z25" i="2"/>
  <c r="Z30" i="2"/>
  <c r="Z10" i="2"/>
  <c r="Y24" i="2"/>
  <c r="Y29" i="2"/>
  <c r="N16" i="2"/>
  <c r="N37" i="2" s="1"/>
  <c r="N17" i="2"/>
  <c r="X22" i="2" l="1"/>
  <c r="AB11" i="2"/>
  <c r="AA30" i="2"/>
  <c r="AA25" i="2"/>
  <c r="AA9" i="2"/>
  <c r="Z23" i="2"/>
  <c r="Z12" i="2"/>
  <c r="AE6" i="2"/>
  <c r="AD8" i="2"/>
  <c r="AD21" i="2" s="1"/>
  <c r="AD28" i="2"/>
  <c r="Z24" i="2"/>
  <c r="Z29" i="2"/>
  <c r="AA10" i="2"/>
  <c r="Y13" i="2"/>
  <c r="Y31" i="2"/>
  <c r="N18" i="2"/>
  <c r="N26" i="2"/>
  <c r="AD7" i="2" l="1"/>
  <c r="AC11" i="2"/>
  <c r="AB25" i="2"/>
  <c r="AB30" i="2"/>
  <c r="Y22" i="2"/>
  <c r="AA29" i="2"/>
  <c r="AB10" i="2"/>
  <c r="AA24" i="2"/>
  <c r="Z31" i="2"/>
  <c r="Z13" i="2"/>
  <c r="Z22" i="2" s="1"/>
  <c r="AB9" i="2"/>
  <c r="AA23" i="2"/>
  <c r="AA12" i="2"/>
  <c r="AF6" i="2"/>
  <c r="AE7" i="2"/>
  <c r="AE28" i="2"/>
  <c r="AE8" i="2"/>
  <c r="AE21" i="2" s="1"/>
  <c r="O14" i="2"/>
  <c r="AG6" i="2" l="1"/>
  <c r="AF8" i="2"/>
  <c r="AF21" i="2" s="1"/>
  <c r="AF28" i="2"/>
  <c r="AF7" i="2"/>
  <c r="AC10" i="2"/>
  <c r="AB24" i="2"/>
  <c r="AB29" i="2"/>
  <c r="AA31" i="2"/>
  <c r="AA13" i="2"/>
  <c r="AC9" i="2"/>
  <c r="AB23" i="2"/>
  <c r="AB12" i="2"/>
  <c r="AD11" i="2"/>
  <c r="AC25" i="2"/>
  <c r="AC30" i="2"/>
  <c r="O15" i="2"/>
  <c r="AC29" i="2" l="1"/>
  <c r="AC24" i="2"/>
  <c r="AD10" i="2"/>
  <c r="AD9" i="2"/>
  <c r="AC12" i="2"/>
  <c r="AC23" i="2"/>
  <c r="AE11" i="2"/>
  <c r="AD25" i="2"/>
  <c r="AD30" i="2"/>
  <c r="AB13" i="2"/>
  <c r="AB31" i="2"/>
  <c r="AA22" i="2"/>
  <c r="AH6" i="2"/>
  <c r="AG8" i="2"/>
  <c r="AG21" i="2" s="1"/>
  <c r="AG28" i="2"/>
  <c r="O16" i="2"/>
  <c r="O37" i="2" s="1"/>
  <c r="AI6" i="2" l="1"/>
  <c r="AH28" i="2"/>
  <c r="AH8" i="2"/>
  <c r="AH7" i="2"/>
  <c r="AC13" i="2"/>
  <c r="AC31" i="2"/>
  <c r="AE9" i="2"/>
  <c r="AD12" i="2"/>
  <c r="AD23" i="2"/>
  <c r="AE10" i="2"/>
  <c r="AD24" i="2"/>
  <c r="AD29" i="2"/>
  <c r="AB22" i="2"/>
  <c r="AF11" i="2"/>
  <c r="AE25" i="2"/>
  <c r="AE30" i="2"/>
  <c r="AG7" i="2"/>
  <c r="O26" i="2"/>
  <c r="O17" i="2"/>
  <c r="AF9" i="2" l="1"/>
  <c r="AE12" i="2"/>
  <c r="AE23" i="2"/>
  <c r="AH21" i="2"/>
  <c r="AF10" i="2"/>
  <c r="AE24" i="2"/>
  <c r="AE29" i="2"/>
  <c r="AD13" i="2"/>
  <c r="AD31" i="2"/>
  <c r="AG11" i="2"/>
  <c r="AF25" i="2"/>
  <c r="AF30" i="2"/>
  <c r="AC22" i="2"/>
  <c r="AJ6" i="2"/>
  <c r="AI28" i="2"/>
  <c r="AI7" i="2"/>
  <c r="AI8" i="2"/>
  <c r="O18" i="2"/>
  <c r="AI21" i="2" l="1"/>
  <c r="AH11" i="2"/>
  <c r="AG30" i="2"/>
  <c r="AG25" i="2"/>
  <c r="AK6" i="2"/>
  <c r="AJ28" i="2"/>
  <c r="AJ8" i="2"/>
  <c r="AJ21" i="2" s="1"/>
  <c r="AE13" i="2"/>
  <c r="AE31" i="2"/>
  <c r="AG10" i="2"/>
  <c r="AF24" i="2"/>
  <c r="AF29" i="2"/>
  <c r="AD22" i="2"/>
  <c r="AG9" i="2"/>
  <c r="AF12" i="2"/>
  <c r="AF23" i="2"/>
  <c r="P14" i="2"/>
  <c r="AJ7" i="2" l="1"/>
  <c r="AL6" i="2"/>
  <c r="AK28" i="2"/>
  <c r="AK8" i="2"/>
  <c r="AK21" i="2" s="1"/>
  <c r="AI11" i="2"/>
  <c r="AH30" i="2"/>
  <c r="AH25" i="2"/>
  <c r="AE22" i="2"/>
  <c r="AH10" i="2"/>
  <c r="AG24" i="2"/>
  <c r="AG29" i="2"/>
  <c r="AF13" i="2"/>
  <c r="AF31" i="2"/>
  <c r="AH9" i="2"/>
  <c r="AG12" i="2"/>
  <c r="AG23" i="2"/>
  <c r="P15" i="2"/>
  <c r="W14" i="2"/>
  <c r="X14" i="2" s="1"/>
  <c r="Y14" i="2" l="1"/>
  <c r="X15" i="2"/>
  <c r="AK7" i="2"/>
  <c r="AI9" i="2"/>
  <c r="AH23" i="2"/>
  <c r="AH12" i="2"/>
  <c r="AF22" i="2"/>
  <c r="AI10" i="2"/>
  <c r="AH24" i="2"/>
  <c r="AH29" i="2"/>
  <c r="AG13" i="2"/>
  <c r="AG31" i="2"/>
  <c r="AJ11" i="2"/>
  <c r="AI30" i="2"/>
  <c r="AI25" i="2"/>
  <c r="AM6" i="2"/>
  <c r="AL8" i="2"/>
  <c r="AL21" i="2" s="1"/>
  <c r="AL28" i="2"/>
  <c r="P16" i="2"/>
  <c r="P17" i="2"/>
  <c r="W15" i="2"/>
  <c r="AK11" i="2" l="1"/>
  <c r="AJ25" i="2"/>
  <c r="AJ30" i="2"/>
  <c r="AJ9" i="2"/>
  <c r="AI23" i="2"/>
  <c r="AI12" i="2"/>
  <c r="X16" i="2"/>
  <c r="X26" i="2" s="1"/>
  <c r="X17" i="2"/>
  <c r="X18" i="2" s="1"/>
  <c r="AH31" i="2"/>
  <c r="AH13" i="2"/>
  <c r="AG22" i="2"/>
  <c r="AL7" i="2"/>
  <c r="AN6" i="2"/>
  <c r="AM28" i="2"/>
  <c r="AM8" i="2"/>
  <c r="AM21" i="2" s="1"/>
  <c r="AJ10" i="2"/>
  <c r="AI29" i="2"/>
  <c r="AI24" i="2"/>
  <c r="Z14" i="2"/>
  <c r="Y15" i="2"/>
  <c r="P18" i="2"/>
  <c r="W17" i="2"/>
  <c r="P26" i="2"/>
  <c r="W16" i="2"/>
  <c r="W26" i="2" s="1"/>
  <c r="AM7" i="2" l="1"/>
  <c r="AO6" i="2"/>
  <c r="AN8" i="2"/>
  <c r="AN21" i="2" s="1"/>
  <c r="AN28" i="2"/>
  <c r="AN7" i="2"/>
  <c r="AK9" i="2"/>
  <c r="AJ23" i="2"/>
  <c r="AJ12" i="2"/>
  <c r="AI31" i="2"/>
  <c r="AI13" i="2"/>
  <c r="AK10" i="2"/>
  <c r="AJ29" i="2"/>
  <c r="AJ24" i="2"/>
  <c r="AH22" i="2"/>
  <c r="Y16" i="2"/>
  <c r="Y26" i="2" s="1"/>
  <c r="Z15" i="2"/>
  <c r="AA14" i="2"/>
  <c r="AL11" i="2"/>
  <c r="AK25" i="2"/>
  <c r="AK30" i="2"/>
  <c r="W18" i="2"/>
  <c r="Y17" i="2" l="1"/>
  <c r="Y18" i="2" s="1"/>
  <c r="AM11" i="2"/>
  <c r="AL25" i="2"/>
  <c r="AL30" i="2"/>
  <c r="AB14" i="2"/>
  <c r="AA15" i="2"/>
  <c r="AL10" i="2"/>
  <c r="AK29" i="2"/>
  <c r="AK24" i="2"/>
  <c r="AJ13" i="2"/>
  <c r="AJ31" i="2"/>
  <c r="AL9" i="2"/>
  <c r="AK12" i="2"/>
  <c r="AK23" i="2"/>
  <c r="Z16" i="2"/>
  <c r="Z26" i="2" s="1"/>
  <c r="Z17" i="2"/>
  <c r="AI22" i="2"/>
  <c r="AO8" i="2"/>
  <c r="AO21" i="2" s="1"/>
  <c r="AO28" i="2"/>
  <c r="AO7" i="2"/>
  <c r="AM10" i="2" l="1"/>
  <c r="AL24" i="2"/>
  <c r="AL29" i="2"/>
  <c r="AC14" i="2"/>
  <c r="AB15" i="2"/>
  <c r="AM9" i="2"/>
  <c r="AL12" i="2"/>
  <c r="AL23" i="2"/>
  <c r="Z18" i="2"/>
  <c r="AA16" i="2"/>
  <c r="AA26" i="2" s="1"/>
  <c r="AA17" i="2"/>
  <c r="AA18" i="2" s="1"/>
  <c r="AK13" i="2"/>
  <c r="AK31" i="2"/>
  <c r="AJ22" i="2"/>
  <c r="AN11" i="2"/>
  <c r="AM25" i="2"/>
  <c r="AM30" i="2"/>
  <c r="AL13" i="2" l="1"/>
  <c r="AL31" i="2"/>
  <c r="AK22" i="2"/>
  <c r="AD14" i="2"/>
  <c r="AC15" i="2"/>
  <c r="AN9" i="2"/>
  <c r="AM12" i="2"/>
  <c r="AM23" i="2"/>
  <c r="AB16" i="2"/>
  <c r="AB26" i="2" s="1"/>
  <c r="AB17" i="2"/>
  <c r="AO11" i="2"/>
  <c r="AN25" i="2"/>
  <c r="AN30" i="2"/>
  <c r="AN10" i="2"/>
  <c r="AM24" i="2"/>
  <c r="AM29" i="2"/>
  <c r="AO9" i="2" l="1"/>
  <c r="AN12" i="2"/>
  <c r="AN23" i="2"/>
  <c r="AC16" i="2"/>
  <c r="AC26" i="2" s="1"/>
  <c r="AC17" i="2"/>
  <c r="AC18" i="2" s="1"/>
  <c r="AE14" i="2"/>
  <c r="AD15" i="2"/>
  <c r="AM13" i="2"/>
  <c r="AM31" i="2"/>
  <c r="AO10" i="2"/>
  <c r="AN24" i="2"/>
  <c r="AN29" i="2"/>
  <c r="AO30" i="2"/>
  <c r="AO25" i="2"/>
  <c r="AB18" i="2"/>
  <c r="AL22" i="2"/>
  <c r="AD16" i="2" l="1"/>
  <c r="AD26" i="2" s="1"/>
  <c r="AD17" i="2"/>
  <c r="AF14" i="2"/>
  <c r="AE15" i="2"/>
  <c r="AM22" i="2"/>
  <c r="AO24" i="2"/>
  <c r="AO29" i="2"/>
  <c r="AN13" i="2"/>
  <c r="AN31" i="2"/>
  <c r="AO12" i="2"/>
  <c r="AO23" i="2"/>
  <c r="AE16" i="2" l="1"/>
  <c r="AE26" i="2" s="1"/>
  <c r="AE17" i="2"/>
  <c r="AE18" i="2" s="1"/>
  <c r="AO13" i="2"/>
  <c r="AO22" i="2" s="1"/>
  <c r="AO31" i="2"/>
  <c r="AG14" i="2"/>
  <c r="AF15" i="2"/>
  <c r="AD18" i="2"/>
  <c r="AN22" i="2"/>
  <c r="AH14" i="2" l="1"/>
  <c r="AG15" i="2"/>
  <c r="AF16" i="2"/>
  <c r="AF26" i="2" s="1"/>
  <c r="AF17" i="2"/>
  <c r="AF18" i="2" l="1"/>
  <c r="AG16" i="2"/>
  <c r="AG26" i="2" s="1"/>
  <c r="AI14" i="2"/>
  <c r="AH15" i="2"/>
  <c r="AH16" i="2" l="1"/>
  <c r="AH26" i="2" s="1"/>
  <c r="AH17" i="2"/>
  <c r="AH18" i="2" s="1"/>
  <c r="AJ14" i="2"/>
  <c r="AI15" i="2"/>
  <c r="AG17" i="2"/>
  <c r="AG18" i="2" l="1"/>
  <c r="AI16" i="2"/>
  <c r="AI26" i="2" s="1"/>
  <c r="AK14" i="2"/>
  <c r="AJ15" i="2"/>
  <c r="AJ16" i="2" l="1"/>
  <c r="AJ26" i="2" s="1"/>
  <c r="AJ17" i="2"/>
  <c r="AJ18" i="2" s="1"/>
  <c r="AL14" i="2"/>
  <c r="AK15" i="2"/>
  <c r="AI17" i="2"/>
  <c r="AI18" i="2" s="1"/>
  <c r="AK16" i="2" l="1"/>
  <c r="AK26" i="2" s="1"/>
  <c r="AM14" i="2"/>
  <c r="AL15" i="2"/>
  <c r="AK17" i="2" l="1"/>
  <c r="AK18" i="2" s="1"/>
  <c r="AL16" i="2"/>
  <c r="AL26" i="2" s="1"/>
  <c r="AL17" i="2"/>
  <c r="AL18" i="2" s="1"/>
  <c r="AN14" i="2"/>
  <c r="AM15" i="2"/>
  <c r="AM16" i="2" l="1"/>
  <c r="AM26" i="2" s="1"/>
  <c r="AO14" i="2"/>
  <c r="AO15" i="2" s="1"/>
  <c r="AN15" i="2"/>
  <c r="AM17" i="2" l="1"/>
  <c r="AM18" i="2" s="1"/>
  <c r="AN16" i="2"/>
  <c r="AN26" i="2" s="1"/>
  <c r="AO16" i="2"/>
  <c r="AO26" i="2" s="1"/>
  <c r="AO17" i="2"/>
  <c r="AN17" i="2" l="1"/>
  <c r="AN18" i="2" s="1"/>
  <c r="AO18" i="2"/>
  <c r="AP17" i="2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BJ17" i="2" s="1"/>
  <c r="BK17" i="2" s="1"/>
  <c r="BL17" i="2" s="1"/>
  <c r="BM17" i="2" s="1"/>
  <c r="BN17" i="2" s="1"/>
  <c r="BO17" i="2" s="1"/>
  <c r="BP17" i="2" s="1"/>
  <c r="BQ17" i="2" s="1"/>
  <c r="BR17" i="2" s="1"/>
  <c r="BS17" i="2" s="1"/>
  <c r="BT17" i="2" s="1"/>
  <c r="BU17" i="2" s="1"/>
  <c r="BV17" i="2" s="1"/>
  <c r="BW17" i="2" s="1"/>
  <c r="BX17" i="2" s="1"/>
  <c r="BY17" i="2" s="1"/>
  <c r="BZ17" i="2" s="1"/>
  <c r="CA17" i="2" s="1"/>
  <c r="CB17" i="2" s="1"/>
  <c r="CC17" i="2" s="1"/>
  <c r="CD17" i="2" s="1"/>
  <c r="CE17" i="2" s="1"/>
  <c r="CF17" i="2" s="1"/>
  <c r="CG17" i="2" s="1"/>
  <c r="CH17" i="2" s="1"/>
  <c r="CI17" i="2" s="1"/>
  <c r="CJ17" i="2" s="1"/>
  <c r="CK17" i="2" s="1"/>
  <c r="CL17" i="2" s="1"/>
  <c r="CM17" i="2" s="1"/>
  <c r="CN17" i="2" s="1"/>
  <c r="CO17" i="2" s="1"/>
  <c r="CP17" i="2" s="1"/>
  <c r="CQ17" i="2" s="1"/>
  <c r="CR17" i="2" s="1"/>
  <c r="CS17" i="2" s="1"/>
  <c r="CT17" i="2" s="1"/>
  <c r="CU17" i="2" s="1"/>
  <c r="CV17" i="2" s="1"/>
  <c r="CW17" i="2" s="1"/>
  <c r="CX17" i="2" s="1"/>
  <c r="CY17" i="2" s="1"/>
  <c r="CZ17" i="2" s="1"/>
  <c r="DA17" i="2" s="1"/>
  <c r="R39" i="2" s="1"/>
  <c r="R40" i="2" s="1"/>
  <c r="R41" i="2" s="1"/>
  <c r="R4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<sst xmlns="http://schemas.openxmlformats.org/spreadsheetml/2006/main" count="165" uniqueCount="138">
  <si>
    <t>Price</t>
  </si>
  <si>
    <t>Shares</t>
  </si>
  <si>
    <t>EV</t>
  </si>
  <si>
    <t>Cash</t>
  </si>
  <si>
    <t>Debt</t>
  </si>
  <si>
    <t>Q321</t>
  </si>
  <si>
    <t>Q419</t>
  </si>
  <si>
    <t>Q120</t>
  </si>
  <si>
    <t>Q220</t>
  </si>
  <si>
    <t>Q320</t>
  </si>
  <si>
    <t>Q420</t>
  </si>
  <si>
    <t>Q121</t>
  </si>
  <si>
    <t>Q221</t>
  </si>
  <si>
    <t>Q421</t>
  </si>
  <si>
    <t>Q122</t>
  </si>
  <si>
    <t>Q222</t>
  </si>
  <si>
    <t>Q322</t>
  </si>
  <si>
    <t>Q422</t>
  </si>
  <si>
    <t>Revenue</t>
  </si>
  <si>
    <t>COGS</t>
  </si>
  <si>
    <t>Gross Profit</t>
  </si>
  <si>
    <t>Gross Margin %</t>
  </si>
  <si>
    <t>Main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</si>
  <si>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</si>
  <si>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</si>
  <si>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</si>
  <si>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</si>
  <si>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</si>
  <si>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</si>
  <si>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</si>
  <si>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</si>
  <si>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</si>
  <si>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</si>
  <si>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Operating Margin %</t>
  </si>
  <si>
    <t>Tax Rate %</t>
  </si>
  <si>
    <t>Revenue Y/Y</t>
  </si>
  <si>
    <t>A/R</t>
  </si>
  <si>
    <t>Prepaids</t>
  </si>
  <si>
    <t>PP&amp;E</t>
  </si>
  <si>
    <t>Operating Lease</t>
  </si>
  <si>
    <t>Intangibles</t>
  </si>
  <si>
    <t>OA</t>
  </si>
  <si>
    <t>Total Assets</t>
  </si>
  <si>
    <t>A/P</t>
  </si>
  <si>
    <t>Notes</t>
  </si>
  <si>
    <t>A/E</t>
  </si>
  <si>
    <t>D/R</t>
  </si>
  <si>
    <t>NC Operating Lease</t>
  </si>
  <si>
    <t>OL</t>
  </si>
  <si>
    <t>Total Liabilities</t>
  </si>
  <si>
    <t>Model NI</t>
  </si>
  <si>
    <t>Reported NI</t>
  </si>
  <si>
    <t>D/A</t>
  </si>
  <si>
    <t>SBC</t>
  </si>
  <si>
    <t>D/T</t>
  </si>
  <si>
    <t>Other</t>
  </si>
  <si>
    <t>CFFO</t>
  </si>
  <si>
    <t>CapEx</t>
  </si>
  <si>
    <t>Marketable Investment</t>
  </si>
  <si>
    <t>Sale of Marketable Investments</t>
  </si>
  <si>
    <t>Maturity of Marketable Investment</t>
  </si>
  <si>
    <t>Equity Investment</t>
  </si>
  <si>
    <t>Acquistions</t>
  </si>
  <si>
    <t>CFFI</t>
  </si>
  <si>
    <t>Taxes of Shares</t>
  </si>
  <si>
    <t>Repurchase of Common Stock</t>
  </si>
  <si>
    <t>Lease Payments</t>
  </si>
  <si>
    <t>Overdraft</t>
  </si>
  <si>
    <t>Other Investments</t>
  </si>
  <si>
    <t>CFFF</t>
  </si>
  <si>
    <t>CF</t>
  </si>
  <si>
    <t>DAUs</t>
  </si>
  <si>
    <t>DAU sum</t>
  </si>
  <si>
    <t>DAU count</t>
  </si>
  <si>
    <t>DAU mean</t>
  </si>
  <si>
    <t>covariance</t>
  </si>
  <si>
    <t>DAU Standard Dev</t>
  </si>
  <si>
    <t>scaled</t>
  </si>
  <si>
    <t>neg 2 dev</t>
  </si>
  <si>
    <t>neg 1 dev</t>
  </si>
  <si>
    <t>exact</t>
  </si>
  <si>
    <t>pos 1 dev</t>
  </si>
  <si>
    <t>pos 2 dev</t>
  </si>
  <si>
    <t>Facebook DAU Q/Q</t>
  </si>
  <si>
    <t>sum</t>
  </si>
  <si>
    <t>count</t>
  </si>
  <si>
    <t>mean</t>
  </si>
  <si>
    <t>standard dev</t>
  </si>
  <si>
    <t>postitve DAU Q/Q</t>
  </si>
  <si>
    <t>odds</t>
  </si>
  <si>
    <t>21 to 4 chance</t>
  </si>
  <si>
    <t>ARPU</t>
  </si>
  <si>
    <t>R&amp;D Margins</t>
  </si>
  <si>
    <t>S&amp;M Margins</t>
  </si>
  <si>
    <t>G&amp;A Margins</t>
  </si>
  <si>
    <t>R&amp;D Y/Y</t>
  </si>
  <si>
    <t>S&amp;M Y/Y</t>
  </si>
  <si>
    <t>G&amp;A Y/Y</t>
  </si>
  <si>
    <t>ROIC</t>
  </si>
  <si>
    <t>Maturity</t>
  </si>
  <si>
    <t>Discount</t>
  </si>
  <si>
    <t>NPV</t>
  </si>
  <si>
    <t>net Cash</t>
  </si>
  <si>
    <t>$</t>
  </si>
  <si>
    <t>cur $</t>
  </si>
  <si>
    <t>yield</t>
  </si>
  <si>
    <t>ARPU sum</t>
  </si>
  <si>
    <t>ARPU count</t>
  </si>
  <si>
    <t>ARPU mean</t>
  </si>
  <si>
    <t>ARPU Standard Dev</t>
  </si>
  <si>
    <t>Facebook ARPU Q/Q</t>
  </si>
  <si>
    <t>negative DAU Q/Q</t>
  </si>
  <si>
    <t xml:space="preserve">p(a | b) </t>
  </si>
  <si>
    <t>Actual</t>
  </si>
  <si>
    <t>average</t>
  </si>
  <si>
    <t>n</t>
  </si>
  <si>
    <t>varience</t>
  </si>
  <si>
    <t>stnd dev</t>
  </si>
  <si>
    <t>covarience</t>
  </si>
  <si>
    <t>correlation</t>
  </si>
  <si>
    <t>SSR</t>
  </si>
  <si>
    <t>SSE</t>
  </si>
  <si>
    <t>SST</t>
  </si>
  <si>
    <t>slope</t>
  </si>
  <si>
    <t>intercept</t>
  </si>
  <si>
    <t>X</t>
  </si>
  <si>
    <t>Y</t>
  </si>
  <si>
    <t>F(X)</t>
  </si>
  <si>
    <t>^Yi</t>
  </si>
  <si>
    <t>F Stat</t>
  </si>
  <si>
    <t>F Value</t>
  </si>
  <si>
    <t>Se</t>
  </si>
  <si>
    <t>Forecast</t>
  </si>
  <si>
    <t>T Value</t>
  </si>
  <si>
    <t>Upper Interval</t>
  </si>
  <si>
    <t>Lower Interval</t>
  </si>
  <si>
    <t>Sf</t>
  </si>
  <si>
    <t>Net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</si>
</sst>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.0000000000%"/>
    <numFmt numFmtId="165" formatCode="#,##0.00000000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9" fontId="0" fillId="0" borderId="0" xfId="0" applyNumberFormat="1"/>
    <xf numFmtId="0" fontId="2" fillId="0" borderId="0" xfId="1"/>
    <xf numFmtId="4" fontId="0" fillId="0" borderId="0" xfId="0" applyNumberFormat="1"/>
    <xf numFmtId="0" fontId="1" fillId="0" borderId="0" xfId="0" applyFont="1"/>
    <xf numFmtId="3" fontId="1" fillId="0" borderId="0" xfId="0" applyNumberFormat="1" applyFont="1"/>
    <xf numFmtId="10" fontId="0" fillId="0" borderId="0" xfId="0" applyNumberFormat="1"/>
    <xf numFmtId="164" fontId="0" fillId="0" borderId="0" xfId="0" applyNumberFormat="1"/>
    <xf numFmtId="10" fontId="1" fillId="0" borderId="0" xfId="0" applyNumberFormat="1" applyFont="1"/>
    <xf numFmtId="8" fontId="0" fillId="0" borderId="0" xfId="0" applyNumberFormat="1"/>
    <xf numFmtId="165" fontId="0" fillId="0" borderId="0" xfId="0" applyNumberFormat="1"/>
    <xf numFmtId="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</a:t>
            </a:r>
            <a:r>
              <a:rPr lang="en-US" baseline="0"/>
              <a:t> Margins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Model!$C$23:$P$23</c:f>
              <c:numCache>
                <c:formatCode>0%</c:formatCode>
                <c:ptCount val="14"/>
                <c:pt idx="0">
                  <c:v>0.22040932347924957</c:v>
                </c:pt>
                <c:pt idx="1">
                  <c:v>0.28120184899845918</c:v>
                </c:pt>
                <c:pt idx="2">
                  <c:v>0.30030959752321984</c:v>
                </c:pt>
                <c:pt idx="3">
                  <c:v>0.27570039360963183</c:v>
                </c:pt>
                <c:pt idx="4">
                  <c:v>0.22780159216166565</c:v>
                </c:pt>
                <c:pt idx="5">
                  <c:v>0.24700570342205322</c:v>
                </c:pt>
                <c:pt idx="6">
                  <c:v>0.25745417687304673</c:v>
                </c:pt>
                <c:pt idx="7">
                  <c:v>0.27178450019363998</c:v>
                </c:pt>
                <c:pt idx="8">
                  <c:v>0.25787797826007391</c:v>
                </c:pt>
                <c:pt idx="9">
                  <c:v>0.3</c:v>
                </c:pt>
                <c:pt idx="10">
                  <c:v>0.33400000000000002</c:v>
                </c:pt>
                <c:pt idx="11">
                  <c:v>0.36</c:v>
                </c:pt>
                <c:pt idx="12">
                  <c:v>0.3145</c:v>
                </c:pt>
                <c:pt idx="13">
                  <c:v>0.32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53-48B8-844D-339FA2E0E254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Model!$C$24:$P$24</c:f>
              <c:numCache>
                <c:formatCode>0%</c:formatCode>
                <c:ptCount val="14"/>
                <c:pt idx="0">
                  <c:v>0.17202956225127913</c:v>
                </c:pt>
                <c:pt idx="1">
                  <c:v>0.19519540551898024</c:v>
                </c:pt>
                <c:pt idx="2">
                  <c:v>0.1911428186835375</c:v>
                </c:pt>
                <c:pt idx="3">
                  <c:v>0.15530215327622135</c:v>
                </c:pt>
                <c:pt idx="4">
                  <c:v>0.14346951272854519</c:v>
                </c:pt>
                <c:pt idx="5">
                  <c:v>0.1351235741444867</c:v>
                </c:pt>
                <c:pt idx="6">
                  <c:v>0.1376383140467945</c:v>
                </c:pt>
                <c:pt idx="7">
                  <c:v>0.15293257024828952</c:v>
                </c:pt>
                <c:pt idx="8">
                  <c:v>0.16056069977674486</c:v>
                </c:pt>
                <c:pt idx="9">
                  <c:v>0.17</c:v>
                </c:pt>
                <c:pt idx="10">
                  <c:v>0.17</c:v>
                </c:pt>
                <c:pt idx="11">
                  <c:v>0.187</c:v>
                </c:pt>
                <c:pt idx="12">
                  <c:v>0.2</c:v>
                </c:pt>
                <c:pt idx="13">
                  <c:v>0.184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53-48B8-844D-339FA2E0E254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Model!$C$25:$P$25</c:f>
              <c:numCache>
                <c:formatCode>0%</c:formatCode>
                <c:ptCount val="14"/>
                <c:pt idx="0">
                  <c:v>0.10397953382603752</c:v>
                </c:pt>
                <c:pt idx="1">
                  <c:v>0.11086986972965401</c:v>
                </c:pt>
                <c:pt idx="2">
                  <c:v>0.10721496836720959</c:v>
                </c:pt>
                <c:pt idx="3">
                  <c:v>0.10361194721000232</c:v>
                </c:pt>
                <c:pt idx="4">
                  <c:v>6.9941387455165774E-2</c:v>
                </c:pt>
                <c:pt idx="5">
                  <c:v>7.7091254752851709E-2</c:v>
                </c:pt>
                <c:pt idx="6">
                  <c:v>8.2608328406115386E-2</c:v>
                </c:pt>
                <c:pt idx="7">
                  <c:v>0.12676965446017471</c:v>
                </c:pt>
                <c:pt idx="8">
                  <c:v>0.1209603630640852</c:v>
                </c:pt>
                <c:pt idx="9">
                  <c:v>0.1</c:v>
                </c:pt>
                <c:pt idx="10">
                  <c:v>0.08</c:v>
                </c:pt>
                <c:pt idx="11">
                  <c:v>0.08</c:v>
                </c:pt>
                <c:pt idx="12">
                  <c:v>7.8399999999999997E-2</c:v>
                </c:pt>
                <c:pt idx="13">
                  <c:v>0.1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53-48B8-844D-339FA2E0E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56111055"/>
        <c:axId val="1756111887"/>
      </c:lineChart>
      <c:catAx>
        <c:axId val="1756111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11887"/>
        <c:crosses val="autoZero"/>
        <c:auto val="1"/>
        <c:lblAlgn val="ctr"/>
        <c:lblOffset val="100"/>
        <c:noMultiLvlLbl val="0"/>
      </c:catAx>
      <c:valAx>
        <c:axId val="1756111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11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Model!$S$9:$AO$9</c:f>
              <c:numCache>
                <c:formatCode>#,##0</c:formatCode>
                <c:ptCount val="23"/>
                <c:pt idx="0">
                  <c:v>10273</c:v>
                </c:pt>
                <c:pt idx="1">
                  <c:v>13600</c:v>
                </c:pt>
                <c:pt idx="2">
                  <c:v>18447</c:v>
                </c:pt>
                <c:pt idx="3">
                  <c:v>33238.294720000005</c:v>
                </c:pt>
                <c:pt idx="4">
                  <c:v>38181.224063526941</c:v>
                </c:pt>
                <c:pt idx="5">
                  <c:v>38715.761200416317</c:v>
                </c:pt>
                <c:pt idx="6">
                  <c:v>39257.781857222144</c:v>
                </c:pt>
                <c:pt idx="7">
                  <c:v>39807.390803223258</c:v>
                </c:pt>
                <c:pt idx="8">
                  <c:v>40364.694274468384</c:v>
                </c:pt>
                <c:pt idx="9">
                  <c:v>40929.799994310939</c:v>
                </c:pt>
                <c:pt idx="10">
                  <c:v>41502.817194231291</c:v>
                </c:pt>
                <c:pt idx="11">
                  <c:v>42083.856634950527</c:v>
                </c:pt>
                <c:pt idx="12">
                  <c:v>42673.030627839835</c:v>
                </c:pt>
                <c:pt idx="13">
                  <c:v>43270.453056629594</c:v>
                </c:pt>
                <c:pt idx="14">
                  <c:v>43876.239399422411</c:v>
                </c:pt>
                <c:pt idx="15">
                  <c:v>44490.506751014327</c:v>
                </c:pt>
                <c:pt idx="16">
                  <c:v>45113.373845528527</c:v>
                </c:pt>
                <c:pt idx="17">
                  <c:v>45744.96107936593</c:v>
                </c:pt>
                <c:pt idx="18">
                  <c:v>46385.390534477054</c:v>
                </c:pt>
                <c:pt idx="19">
                  <c:v>47034.786001959736</c:v>
                </c:pt>
                <c:pt idx="20">
                  <c:v>47693.273005987176</c:v>
                </c:pt>
                <c:pt idx="21">
                  <c:v>48360.978828070998</c:v>
                </c:pt>
                <c:pt idx="22">
                  <c:v>49038.032531663994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EC-45F1-9FCD-CF8DD13D896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Model!$S$10:$AO$10</c:f>
              <c:numCache>
                <c:formatCode>#,##0</c:formatCode>
                <c:ptCount val="23"/>
                <c:pt idx="0">
                  <c:v>7846</c:v>
                </c:pt>
                <c:pt idx="1">
                  <c:v>9876</c:v>
                </c:pt>
                <c:pt idx="2">
                  <c:v>11591</c:v>
                </c:pt>
                <c:pt idx="3">
                  <c:v>18906.867008000001</c:v>
                </c:pt>
                <c:pt idx="4">
                  <c:v>21393.792027941858</c:v>
                </c:pt>
                <c:pt idx="5">
                  <c:v>21607.729948221277</c:v>
                </c:pt>
                <c:pt idx="6">
                  <c:v>21823.807247703491</c:v>
                </c:pt>
                <c:pt idx="7">
                  <c:v>22042.045320180525</c:v>
                </c:pt>
                <c:pt idx="8">
                  <c:v>21821.62486697872</c:v>
                </c:pt>
                <c:pt idx="9">
                  <c:v>21603.408618308931</c:v>
                </c:pt>
                <c:pt idx="10">
                  <c:v>21387.374532125843</c:v>
                </c:pt>
                <c:pt idx="11">
                  <c:v>21601.248277447103</c:v>
                </c:pt>
                <c:pt idx="12">
                  <c:v>21817.260760221576</c:v>
                </c:pt>
                <c:pt idx="13">
                  <c:v>22035.433367823793</c:v>
                </c:pt>
                <c:pt idx="14">
                  <c:v>22255.787701502031</c:v>
                </c:pt>
                <c:pt idx="15">
                  <c:v>22478.345578517052</c:v>
                </c:pt>
                <c:pt idx="16">
                  <c:v>22703.129034302223</c:v>
                </c:pt>
                <c:pt idx="17">
                  <c:v>22930.160324645247</c:v>
                </c:pt>
                <c:pt idx="18">
                  <c:v>23159.461927891698</c:v>
                </c:pt>
                <c:pt idx="19">
                  <c:v>23391.056547170614</c:v>
                </c:pt>
                <c:pt idx="20">
                  <c:v>23624.96711264232</c:v>
                </c:pt>
                <c:pt idx="21">
                  <c:v>23861.216783768745</c:v>
                </c:pt>
                <c:pt idx="22">
                  <c:v>24099.828951606432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7EC-45F1-9FCD-CF8DD13D896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Model!$S$11:$AO$11</c:f>
              <c:numCache>
                <c:formatCode>#,##0</c:formatCode>
                <c:ptCount val="23"/>
                <c:pt idx="0">
                  <c:v>3451</c:v>
                </c:pt>
                <c:pt idx="1">
                  <c:v>10465</c:v>
                </c:pt>
                <c:pt idx="2">
                  <c:v>6564</c:v>
                </c:pt>
                <c:pt idx="3">
                  <c:v>12690.098240000001</c:v>
                </c:pt>
                <c:pt idx="4">
                  <c:v>9821.7674475532476</c:v>
                </c:pt>
                <c:pt idx="5">
                  <c:v>9723.5497730777151</c:v>
                </c:pt>
                <c:pt idx="6">
                  <c:v>9626.3142753469383</c:v>
                </c:pt>
                <c:pt idx="7">
                  <c:v>9530.0511325934694</c:v>
                </c:pt>
                <c:pt idx="8">
                  <c:v>9623.4456336928852</c:v>
                </c:pt>
                <c:pt idx="9">
                  <c:v>9717.7554009030755</c:v>
                </c:pt>
                <c:pt idx="10">
                  <c:v>9812.9894038319253</c:v>
                </c:pt>
                <c:pt idx="11">
                  <c:v>9909.1566999894785</c:v>
                </c:pt>
                <c:pt idx="12">
                  <c:v>10006.266435649375</c:v>
                </c:pt>
                <c:pt idx="13">
                  <c:v>10104.327846718739</c:v>
                </c:pt>
                <c:pt idx="14">
                  <c:v>10203.350259616584</c:v>
                </c:pt>
                <c:pt idx="15">
                  <c:v>10303.343092160827</c:v>
                </c:pt>
                <c:pt idx="16">
                  <c:v>10404.315854464003</c:v>
                </c:pt>
                <c:pt idx="17">
                  <c:v>10506.27814983775</c:v>
                </c:pt>
                <c:pt idx="18">
                  <c:v>10609.23967570616</c:v>
                </c:pt>
                <c:pt idx="19">
                  <c:v>10713.21022452808</c:v>
                </c:pt>
                <c:pt idx="20">
                  <c:v>10818.199684728455</c:v>
                </c:pt>
                <c:pt idx="21">
                  <c:v>10924.218041638795</c:v>
                </c:pt>
                <c:pt idx="22">
                  <c:v>11031.275378446855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C-45F1-9FCD-CF8DD13D8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4392895"/>
        <c:axId val="304380831"/>
      </c:lineChart>
      <c:catAx>
        <c:axId val="304392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80831"/>
        <c:crosses val="autoZero"/>
        <c:auto val="1"/>
        <c:lblAlgn val="ctr"/>
        <c:lblOffset val="100"/>
        <c:noMultiLvlLbl val="0"/>
      </c:catAx>
      <c:valAx>
        <c:axId val="304380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4392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APRU regressed on S&amp;m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forward val="500"/>
            <c:backward val="500"/>
            <c:dispRSqr val="1"/>
            <c:dispEq val="1"/>
            <c:trendlineLbl>
              <c:layout>
                <c:manualLayout>
                  <c:x val="-0.37147812773403327"/>
                  <c:y val="-8.837962962962962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Sheet1!$D$8:$D$16</c:f>
              <c:numCache>
                <c:formatCode>#,##0</c:formatCode>
                <c:ptCount val="9"/>
                <c:pt idx="0">
                  <c:v>3026</c:v>
                </c:pt>
                <c:pt idx="1">
                  <c:v>2787</c:v>
                </c:pt>
                <c:pt idx="2">
                  <c:v>2840</c:v>
                </c:pt>
                <c:pt idx="3">
                  <c:v>2683</c:v>
                </c:pt>
                <c:pt idx="4">
                  <c:v>3280</c:v>
                </c:pt>
                <c:pt idx="5">
                  <c:v>2843</c:v>
                </c:pt>
                <c:pt idx="6">
                  <c:v>3259</c:v>
                </c:pt>
                <c:pt idx="7">
                  <c:v>3554</c:v>
                </c:pt>
                <c:pt idx="8">
                  <c:v>4387</c:v>
                </c:pt>
              </c:numCache>
            </c:numRef>
          </c:xVal>
          <c:yVal>
            <c:numRef>
              <c:f>Sheet1!$C$8:$C$16</c:f>
              <c:numCache>
                <c:formatCode>#,##0.00</c:formatCode>
                <c:ptCount val="9"/>
                <c:pt idx="0">
                  <c:v>12.7</c:v>
                </c:pt>
                <c:pt idx="1">
                  <c:v>10.252601156069364</c:v>
                </c:pt>
                <c:pt idx="2">
                  <c:v>10.439664804469274</c:v>
                </c:pt>
                <c:pt idx="3">
                  <c:v>11.796703296703297</c:v>
                </c:pt>
                <c:pt idx="4">
                  <c:v>15.256521739130434</c:v>
                </c:pt>
                <c:pt idx="5">
                  <c:v>13.920744680851064</c:v>
                </c:pt>
                <c:pt idx="6">
                  <c:v>15.223560209424084</c:v>
                </c:pt>
                <c:pt idx="7">
                  <c:v>15.031088082901555</c:v>
                </c:pt>
                <c:pt idx="8">
                  <c:v>16.615346656797435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8-4FA7-A6F6-79CC8B509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0178160"/>
        <c:axId val="780176080"/>
      </c:scatterChart>
      <c:valAx>
        <c:axId val="780178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76080"/>
        <c:crosses val="autoZero"/>
        <c:crossBetween val="midCat"/>
      </c:valAx>
      <c:valAx>
        <c:axId val="78017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178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19050</xdr:colOff>
      <xdr:row>0</xdr:row>
      <xdr:rowOff>38100</xdr:rowOff>
    </xdr:from>
    <xdr:to>
      <xdr:col>11</xdr:col>
      <xdr:colOff>19050</xdr:colOff>
      <xdr:row>54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9C3A535-9059-4EC5-85A2-F663E0003A86}"/>
            </a:ext>
          </a:extLst>
        </xdr:cNvPr>
        <xdr:cNvCxnSpPr/>
      </xdr:nvCxnSpPr>
      <xdr:spPr>
        <a:xfrm>
          <a:off x="9267825" y="38100"/>
          <a:ext cx="0" cy="7667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0</xdr:row>
      <xdr:rowOff>28575</xdr:rowOff>
    </xdr:from>
    <xdr:to>
      <xdr:col>21</xdr:col>
      <xdr:colOff>38100</xdr:colOff>
      <xdr:row>55</xdr:row>
      <xdr:rowOff>123825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85365EEE-1DCB-4C2D-B571-8FB93FDBE41F}"/>
            </a:ext>
          </a:extLst>
        </xdr:cNvPr>
        <xdr:cNvCxnSpPr/>
      </xdr:nvCxnSpPr>
      <xdr:spPr>
        <a:xfrm>
          <a:off x="16144875" y="28575"/>
          <a:ext cx="0" cy="78962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32</xdr:row>
      <xdr:rowOff>80962</xdr:rowOff>
    </xdr:from>
    <xdr:to>
      <xdr:col>28</xdr:col>
      <xdr:colOff>600075</xdr:colOff>
      <xdr:row>48</xdr:row>
      <xdr:rowOff>109537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9D1E34-73F7-4A96-9FD1-4761914600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30</xdr:col>
      <xdr:colOff>466725</xdr:colOff>
      <xdr:row>32</xdr:row>
      <xdr:rowOff>71437</xdr:rowOff>
    </xdr:from>
    <xdr:to>
      <xdr:col>37</xdr:col>
      <xdr:colOff>238125</xdr:colOff>
      <xdr:row>48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9B47D5A-4B15-4885-86A7-532E894662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537882</xdr:colOff>
      <xdr:row>16</xdr:row>
      <xdr:rowOff>51547</xdr:rowOff>
    </xdr:from>
    <xdr:to>
      <xdr:col>8</xdr:col>
      <xdr:colOff>235324</xdr:colOff>
      <xdr:row>31</xdr:row>
      <xdr:rowOff>94129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AF32476-FFDA-490E-8179-E10C918EB7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C6D0-8755-4A19-8A37-1E70F8A5342A}">
  <dimension ref="K5:M10"/>
  <sheetViews>
    <sheetView workbookViewId="0">
      <selection activeCell="L5" sqref="L5"/>
    </sheetView>
  </sheetViews>
  <sheetFormatPr defaultRowHeight="14.25" x14ac:dyDescent="0.2"/>
  <cols>
    <col min="13" max="13" width="9" style="2"/>
  </cols>
  <sheetData>
    <row r="5" spans="11:13" x14ac:dyDescent="0.2">
      <c r="K5" t="s">
        <v>0</v>
      </c>
      <c r="L5">
        <v>318.97000000000003</v>
      </c>
    </row>
    <row r="6" spans="11:13" x14ac:dyDescent="0.2">
      <c r="K6" t="s">
        <v>1</v>
      </c>
      <c r="L6" s="1">
        <f>2366.277+415.481</f>
        <v>2781.7579999999998</v>
      </c>
      <c r="M6" s="2" t="s">
        <v>5</v>
      </c>
    </row>
    <row r="7" spans="11:13" x14ac:dyDescent="0.2">
      <c r="K7" t="s">
        <v>2</v>
      </c>
      <c r="L7" s="1">
        <f>+L5*L6</f>
        <v>887297.34926000005</v>
      </c>
    </row>
    <row r="8" spans="11:13" x14ac:dyDescent="0.2">
      <c r="K8" t="s">
        <v>3</v>
      </c>
      <c r="L8" s="1">
        <f>14496+43579+6758</f>
        <v>64833</v>
      </c>
      <c r="M8" s="2" t="s">
        <v>5</v>
      </c>
    </row>
    <row r="9" spans="11:13" x14ac:dyDescent="0.2">
      <c r="K9" t="s">
        <v>4</v>
      </c>
      <c r="L9" s="1">
        <v>0</v>
      </c>
      <c r="M9" s="2" t="s">
        <v>5</v>
      </c>
    </row>
    <row r="10" spans="11:13" x14ac:dyDescent="0.2">
      <c r="K10" t="s">
        <v>2</v>
      </c>
      <c r="L10" s="1">
        <f>+L7-L8+L9</f>
        <v>822464.34926000005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8205-0D10-43C4-984B-61F70209BBD9}">
  <dimension ref="A1:DA87"/>
  <sheetViews>
    <sheetView tabSelected="1" zoomScaleNormal="100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G15" sqref="G15"/>
    </sheetView>
  </sheetViews>
  <sheetFormatPr defaultRowHeight="14.25" x14ac:dyDescent="0.2"/>
  <cols>
    <col min="1" max="1" width="4.625" bestFit="1" customWidth="1"/>
    <col min="2" max="2" width="17.75" bestFit="1" customWidth="1"/>
    <col min="18" max="18" width="12.375" customWidth="1"/>
  </cols>
  <sheetData>
    <row r="1" spans="1:41" ht="15" x14ac:dyDescent="0.25">
      <c r="A1" s="4" t="s">
        <v>22</v>
      </c>
      <c r="K1" s="6" t="s">
        <v>113</v>
      </c>
    </row>
    <row r="2" spans="1:41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5</v>
      </c>
      <c r="K2" t="s">
        <v>13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S2">
        <v>2018</v>
      </c>
      <c r="T2">
        <v>2019</v>
      </c>
      <c r="U2">
        <f>+T2+1</f>
        <v>2020</v>
      </c>
      <c r="V2">
        <f t="shared" ref="V2:AO2" si="0">+U2+1</f>
        <v>2021</v>
      </c>
      <c r="W2">
        <f t="shared" si="0"/>
        <v>2022</v>
      </c>
      <c r="X2">
        <f t="shared" si="0"/>
        <v>2023</v>
      </c>
      <c r="Y2">
        <f t="shared" si="0"/>
        <v>2024</v>
      </c>
      <c r="Z2">
        <f t="shared" si="0"/>
        <v>2025</v>
      </c>
      <c r="AA2">
        <f t="shared" si="0"/>
        <v>2026</v>
      </c>
      <c r="AB2">
        <f t="shared" si="0"/>
        <v>2027</v>
      </c>
      <c r="AC2">
        <f t="shared" si="0"/>
        <v>2028</v>
      </c>
      <c r="AD2">
        <f t="shared" si="0"/>
        <v>2029</v>
      </c>
      <c r="AE2">
        <f t="shared" si="0"/>
        <v>2030</v>
      </c>
      <c r="AF2">
        <f t="shared" si="0"/>
        <v>2031</v>
      </c>
      <c r="AG2">
        <f t="shared" si="0"/>
        <v>2032</v>
      </c>
      <c r="AH2">
        <f t="shared" si="0"/>
        <v>2033</v>
      </c>
      <c r="AI2">
        <f t="shared" si="0"/>
        <v>2034</v>
      </c>
      <c r="AJ2">
        <f t="shared" si="0"/>
        <v>2035</v>
      </c>
      <c r="AK2">
        <f t="shared" si="0"/>
        <v>2036</v>
      </c>
      <c r="AL2">
        <f t="shared" si="0"/>
        <v>2037</v>
      </c>
      <c r="AM2">
        <f t="shared" si="0"/>
        <v>2038</v>
      </c>
      <c r="AN2">
        <f t="shared" si="0"/>
        <v>2039</v>
      </c>
      <c r="AO2">
        <f t="shared" si="0"/>
        <v>2040</v>
      </c>
    </row>
    <row r="3" spans="1:41" x14ac:dyDescent="0.2">
      <c r="B3" t="s">
        <v>71</v>
      </c>
      <c r="C3" s="1">
        <v>1660</v>
      </c>
      <c r="D3" s="1">
        <v>1730</v>
      </c>
      <c r="E3" s="1">
        <v>1790</v>
      </c>
      <c r="F3" s="1">
        <v>1820</v>
      </c>
      <c r="G3" s="1">
        <v>1840</v>
      </c>
      <c r="H3" s="1">
        <v>1880</v>
      </c>
      <c r="I3" s="1">
        <v>1910</v>
      </c>
      <c r="J3" s="1">
        <v>1930</v>
      </c>
      <c r="K3" s="1">
        <f>+J3*1.05</f>
        <v>2026.5</v>
      </c>
      <c r="L3" s="1">
        <f>+J3*1.01</f>
        <v>1949.3</v>
      </c>
      <c r="M3" s="1">
        <f>+L3*1.01</f>
        <v>1968.7929999999999</v>
      </c>
      <c r="N3" s="1">
        <f t="shared" ref="N3:P3" si="1">+M3*1.01</f>
        <v>1988.4809299999999</v>
      </c>
      <c r="O3" s="1">
        <f t="shared" si="1"/>
        <v>2008.3657392999999</v>
      </c>
      <c r="P3" s="1">
        <f t="shared" si="1"/>
        <v>2028.4493966929999</v>
      </c>
    </row>
    <row r="4" spans="1:41" s="5" customFormat="1" x14ac:dyDescent="0.2">
      <c r="B4" s="5" t="s">
        <v>91</v>
      </c>
      <c r="C4" s="5">
        <f t="shared" ref="C4:M4" si="2">+C6/C3</f>
        <v>12.7</v>
      </c>
      <c r="D4" s="5">
        <f t="shared" si="2"/>
        <v>10.252601156069364</v>
      </c>
      <c r="E4" s="5">
        <f t="shared" si="2"/>
        <v>10.439664804469274</v>
      </c>
      <c r="F4" s="5">
        <f t="shared" si="2"/>
        <v>11.796703296703297</v>
      </c>
      <c r="G4" s="5">
        <f t="shared" si="2"/>
        <v>15.256521739130434</v>
      </c>
      <c r="H4" s="5">
        <f t="shared" si="2"/>
        <v>13.920744680851064</v>
      </c>
      <c r="I4" s="5">
        <f t="shared" si="2"/>
        <v>15.223560209424084</v>
      </c>
      <c r="J4" s="5">
        <f t="shared" si="2"/>
        <v>15.031088082901555</v>
      </c>
      <c r="K4" s="5">
        <f>+K6/K3</f>
        <v>16.615346656797435</v>
      </c>
      <c r="L4" s="5">
        <f t="shared" si="2"/>
        <v>18.346959421330737</v>
      </c>
      <c r="M4" s="5">
        <f t="shared" si="2"/>
        <v>15.98546959482282</v>
      </c>
      <c r="N4" s="5">
        <f t="shared" ref="N4:P4" si="3">+N6/N3</f>
        <v>17.72646133287283</v>
      </c>
      <c r="O4" s="5">
        <f t="shared" si="3"/>
        <v>18.14768417642625</v>
      </c>
      <c r="P4" s="5">
        <f t="shared" si="3"/>
        <v>20.12416463128455</v>
      </c>
    </row>
    <row r="6" spans="1:41" s="6" customFormat="1" ht="15" x14ac:dyDescent="0.25">
      <c r="B6" s="6" t="s">
        <v>18</v>
      </c>
      <c r="C6" s="7">
        <v>21082</v>
      </c>
      <c r="D6" s="7">
        <v>17737</v>
      </c>
      <c r="E6" s="7">
        <v>18687</v>
      </c>
      <c r="F6" s="7">
        <v>21470</v>
      </c>
      <c r="G6" s="7">
        <v>28072</v>
      </c>
      <c r="H6" s="7">
        <v>26171</v>
      </c>
      <c r="I6" s="7">
        <v>29077</v>
      </c>
      <c r="J6" s="7">
        <v>29010</v>
      </c>
      <c r="K6" s="7">
        <v>33671</v>
      </c>
      <c r="L6" s="7">
        <f>+G6*1.274</f>
        <v>35763.728000000003</v>
      </c>
      <c r="M6" s="7">
        <f>+L6*0.88</f>
        <v>31472.080640000004</v>
      </c>
      <c r="N6" s="7">
        <f>+M6*1.12</f>
        <v>35248.730316800007</v>
      </c>
      <c r="O6" s="7">
        <f>+N6*1.034</f>
        <v>36447.187147571211</v>
      </c>
      <c r="P6" s="7">
        <f>+O6*1.12</f>
        <v>40820.849605279756</v>
      </c>
      <c r="S6" s="7">
        <v>55838</v>
      </c>
      <c r="T6" s="7">
        <v>70697</v>
      </c>
      <c r="U6" s="7">
        <v>85965</v>
      </c>
      <c r="V6" s="7">
        <f>+SUM(H6:L6)</f>
        <v>153692.728</v>
      </c>
      <c r="W6" s="7">
        <f>+SUM(M6:P6)</f>
        <v>143988.84770965099</v>
      </c>
      <c r="X6" s="1">
        <f>+W6*1.02</f>
        <v>146868.62466384401</v>
      </c>
      <c r="Y6" s="1">
        <f t="shared" ref="Y6:AO6" si="4">+X6*1.02</f>
        <v>149805.9971571209</v>
      </c>
      <c r="Z6" s="1">
        <f t="shared" si="4"/>
        <v>152802.11710026333</v>
      </c>
      <c r="AA6" s="1">
        <f t="shared" si="4"/>
        <v>155858.1594422686</v>
      </c>
      <c r="AB6" s="1">
        <f t="shared" si="4"/>
        <v>158975.32263111399</v>
      </c>
      <c r="AC6" s="1">
        <f t="shared" si="4"/>
        <v>162154.82908373626</v>
      </c>
      <c r="AD6" s="1">
        <f t="shared" si="4"/>
        <v>165397.92566541099</v>
      </c>
      <c r="AE6" s="1">
        <f t="shared" si="4"/>
        <v>168705.88417871922</v>
      </c>
      <c r="AF6" s="1">
        <f t="shared" si="4"/>
        <v>172080.0018622936</v>
      </c>
      <c r="AG6" s="1">
        <f t="shared" si="4"/>
        <v>175521.60189953947</v>
      </c>
      <c r="AH6" s="1">
        <f t="shared" si="4"/>
        <v>179032.03393753027</v>
      </c>
      <c r="AI6" s="1">
        <f t="shared" si="4"/>
        <v>182612.67461628088</v>
      </c>
      <c r="AJ6" s="1">
        <f t="shared" si="4"/>
        <v>186264.92810860652</v>
      </c>
      <c r="AK6" s="1">
        <f t="shared" si="4"/>
        <v>189990.22667077865</v>
      </c>
      <c r="AL6" s="1">
        <f t="shared" si="4"/>
        <v>193790.03120419424</v>
      </c>
      <c r="AM6" s="1">
        <f t="shared" si="4"/>
        <v>197665.83182827814</v>
      </c>
      <c r="AN6" s="1">
        <f t="shared" si="4"/>
        <v>201619.14846484372</v>
      </c>
      <c r="AO6" s="1">
        <f t="shared" si="4"/>
        <v>205651.5314341406</v>
      </c>
    </row>
    <row r="7" spans="1:41" x14ac:dyDescent="0.2">
      <c r="B7" t="s">
        <v>19</v>
      </c>
      <c r="C7" s="1">
        <v>3492</v>
      </c>
      <c r="D7" s="1">
        <v>3459</v>
      </c>
      <c r="E7" s="1">
        <v>3829</v>
      </c>
      <c r="F7" s="1">
        <v>4194</v>
      </c>
      <c r="G7" s="1">
        <v>5210</v>
      </c>
      <c r="H7" s="1">
        <v>5131</v>
      </c>
      <c r="I7" s="1">
        <v>5399</v>
      </c>
      <c r="J7" s="1">
        <v>5771</v>
      </c>
      <c r="K7" s="1">
        <v>6348</v>
      </c>
      <c r="L7" s="1">
        <f>+L6-L8</f>
        <v>7152.7455999999984</v>
      </c>
      <c r="M7" s="1">
        <f t="shared" ref="M7:P7" si="5">+M6-M8</f>
        <v>6294.4161280000008</v>
      </c>
      <c r="N7" s="1">
        <f t="shared" si="5"/>
        <v>7049.7460633599985</v>
      </c>
      <c r="O7" s="1">
        <f t="shared" si="5"/>
        <v>7289.4374295142406</v>
      </c>
      <c r="P7" s="1">
        <f t="shared" si="5"/>
        <v>8164.1699210559491</v>
      </c>
      <c r="S7" s="1">
        <v>9355</v>
      </c>
      <c r="T7" s="1">
        <v>12770</v>
      </c>
      <c r="U7" s="1">
        <v>16692</v>
      </c>
      <c r="V7" s="1">
        <f t="shared" ref="V7:V17" si="6">+SUM(H7:L7)</f>
        <v>29801.745599999998</v>
      </c>
      <c r="W7" s="1">
        <f t="shared" ref="W7:W17" si="7">+SUM(M7:P7)</f>
        <v>28797.769541930189</v>
      </c>
      <c r="X7" s="1">
        <f>+X6-X8</f>
        <v>29373.72493276879</v>
      </c>
      <c r="Y7" s="1">
        <f t="shared" ref="Y7:AO7" si="8">+Y6-Y8</f>
        <v>29961.199431424175</v>
      </c>
      <c r="Z7" s="1">
        <f t="shared" si="8"/>
        <v>30560.423420052655</v>
      </c>
      <c r="AA7" s="1">
        <f t="shared" si="8"/>
        <v>31171.631888453718</v>
      </c>
      <c r="AB7" s="1">
        <f t="shared" si="8"/>
        <v>31795.064526222792</v>
      </c>
      <c r="AC7" s="1">
        <f t="shared" si="8"/>
        <v>32430.965816747252</v>
      </c>
      <c r="AD7" s="1">
        <f t="shared" si="8"/>
        <v>33079.585133082204</v>
      </c>
      <c r="AE7" s="1">
        <f t="shared" si="8"/>
        <v>33741.176835743827</v>
      </c>
      <c r="AF7" s="1">
        <f t="shared" si="8"/>
        <v>34416.000372458715</v>
      </c>
      <c r="AG7" s="1">
        <f t="shared" si="8"/>
        <v>35104.320379907876</v>
      </c>
      <c r="AH7" s="1">
        <f t="shared" si="8"/>
        <v>35806.406787506043</v>
      </c>
      <c r="AI7" s="1">
        <f t="shared" si="8"/>
        <v>36522.534923256171</v>
      </c>
      <c r="AJ7" s="1">
        <f t="shared" si="8"/>
        <v>37252.985621721309</v>
      </c>
      <c r="AK7" s="1">
        <f t="shared" si="8"/>
        <v>37998.04533415573</v>
      </c>
      <c r="AL7" s="1">
        <f t="shared" si="8"/>
        <v>38758.006240838848</v>
      </c>
      <c r="AM7" s="1">
        <f t="shared" si="8"/>
        <v>39533.166365655605</v>
      </c>
      <c r="AN7" s="1">
        <f t="shared" si="8"/>
        <v>40323.82969296872</v>
      </c>
      <c r="AO7" s="1">
        <f t="shared" si="8"/>
        <v>41130.306286828098</v>
      </c>
    </row>
    <row r="8" spans="1:41" x14ac:dyDescent="0.2">
      <c r="B8" t="s">
        <v>20</v>
      </c>
      <c r="C8" s="1">
        <f t="shared" ref="C8:J8" si="9">+C6-C7</f>
        <v>17590</v>
      </c>
      <c r="D8" s="1">
        <f t="shared" si="9"/>
        <v>14278</v>
      </c>
      <c r="E8" s="1">
        <f t="shared" si="9"/>
        <v>14858</v>
      </c>
      <c r="F8" s="1">
        <f t="shared" si="9"/>
        <v>17276</v>
      </c>
      <c r="G8" s="1">
        <f t="shared" si="9"/>
        <v>22862</v>
      </c>
      <c r="H8" s="1">
        <f t="shared" si="9"/>
        <v>21040</v>
      </c>
      <c r="I8" s="1">
        <f t="shared" si="9"/>
        <v>23678</v>
      </c>
      <c r="J8" s="1">
        <f t="shared" si="9"/>
        <v>23239</v>
      </c>
      <c r="K8" s="1">
        <f>+K6-K7</f>
        <v>27323</v>
      </c>
      <c r="L8" s="1">
        <f>+L6*0.8</f>
        <v>28610.982400000004</v>
      </c>
      <c r="M8" s="1">
        <f t="shared" ref="M8:P8" si="10">+M6*0.8</f>
        <v>25177.664512000003</v>
      </c>
      <c r="N8" s="1">
        <f t="shared" si="10"/>
        <v>28198.984253440009</v>
      </c>
      <c r="O8" s="1">
        <f t="shared" si="10"/>
        <v>29157.74971805697</v>
      </c>
      <c r="P8" s="1">
        <f t="shared" si="10"/>
        <v>32656.679684223807</v>
      </c>
      <c r="S8" s="1">
        <f t="shared" ref="S8:U8" si="11">+S6-S7</f>
        <v>46483</v>
      </c>
      <c r="T8" s="1">
        <f t="shared" si="11"/>
        <v>57927</v>
      </c>
      <c r="U8" s="1">
        <f t="shared" si="11"/>
        <v>69273</v>
      </c>
      <c r="V8" s="1">
        <f t="shared" si="6"/>
        <v>123890.98240000001</v>
      </c>
      <c r="W8" s="1">
        <f t="shared" si="7"/>
        <v>115191.07816772079</v>
      </c>
      <c r="X8" s="1">
        <f>+X6*0.8</f>
        <v>117494.89973107522</v>
      </c>
      <c r="Y8" s="1">
        <f t="shared" ref="Y8:AO8" si="12">+Y6*0.8</f>
        <v>119844.79772569673</v>
      </c>
      <c r="Z8" s="1">
        <f t="shared" si="12"/>
        <v>122241.69368021068</v>
      </c>
      <c r="AA8" s="1">
        <f t="shared" si="12"/>
        <v>124686.52755381489</v>
      </c>
      <c r="AB8" s="1">
        <f t="shared" si="12"/>
        <v>127180.2581048912</v>
      </c>
      <c r="AC8" s="1">
        <f t="shared" si="12"/>
        <v>129723.86326698901</v>
      </c>
      <c r="AD8" s="1">
        <f t="shared" si="12"/>
        <v>132318.34053232879</v>
      </c>
      <c r="AE8" s="1">
        <f t="shared" si="12"/>
        <v>134964.70734297539</v>
      </c>
      <c r="AF8" s="1">
        <f t="shared" si="12"/>
        <v>137664.00148983489</v>
      </c>
      <c r="AG8" s="1">
        <f t="shared" si="12"/>
        <v>140417.28151963159</v>
      </c>
      <c r="AH8" s="1">
        <f t="shared" si="12"/>
        <v>143225.62715002423</v>
      </c>
      <c r="AI8" s="1">
        <f t="shared" si="12"/>
        <v>146090.13969302471</v>
      </c>
      <c r="AJ8" s="1">
        <f t="shared" si="12"/>
        <v>149011.94248688521</v>
      </c>
      <c r="AK8" s="1">
        <f t="shared" si="12"/>
        <v>151992.18133662292</v>
      </c>
      <c r="AL8" s="1">
        <f t="shared" si="12"/>
        <v>155032.02496335539</v>
      </c>
      <c r="AM8" s="1">
        <f t="shared" si="12"/>
        <v>158132.66546262254</v>
      </c>
      <c r="AN8" s="1">
        <f t="shared" si="12"/>
        <v>161295.318771875</v>
      </c>
      <c r="AO8" s="1">
        <f t="shared" si="12"/>
        <v>164521.22514731251</v>
      </c>
    </row>
    <row r="9" spans="1:41" x14ac:dyDescent="0.2">
      <c r="B9" t="s">
        <v>23</v>
      </c>
      <c r="C9" s="1">
        <v>3877</v>
      </c>
      <c r="D9" s="1">
        <v>4015</v>
      </c>
      <c r="E9" s="1">
        <v>4462</v>
      </c>
      <c r="F9" s="1">
        <v>4763</v>
      </c>
      <c r="G9" s="1">
        <v>5208</v>
      </c>
      <c r="H9" s="1">
        <v>5197</v>
      </c>
      <c r="I9" s="1">
        <v>6096</v>
      </c>
      <c r="J9" s="1">
        <v>6316</v>
      </c>
      <c r="K9" s="1">
        <v>7046</v>
      </c>
      <c r="L9" s="1">
        <f>+L8*0.3</f>
        <v>8583.2947200000017</v>
      </c>
      <c r="M9" s="1">
        <f>+M8*0.334</f>
        <v>8409.3399470080021</v>
      </c>
      <c r="N9" s="1">
        <f>+N8*0.36</f>
        <v>10151.634331238403</v>
      </c>
      <c r="O9" s="1">
        <f>+O8*0.3145</f>
        <v>9170.1122863289165</v>
      </c>
      <c r="P9" s="1">
        <f>+P8*0.32</f>
        <v>10450.137498951619</v>
      </c>
      <c r="S9" s="1">
        <v>10273</v>
      </c>
      <c r="T9" s="1">
        <v>13600</v>
      </c>
      <c r="U9" s="1">
        <v>18447</v>
      </c>
      <c r="V9" s="1">
        <f t="shared" si="6"/>
        <v>33238.294720000005</v>
      </c>
      <c r="W9" s="1">
        <f t="shared" si="7"/>
        <v>38181.224063526941</v>
      </c>
      <c r="X9" s="1">
        <f>+W9*1.014</f>
        <v>38715.761200416317</v>
      </c>
      <c r="Y9" s="1">
        <f t="shared" ref="Y9:AO9" si="13">+X9*1.014</f>
        <v>39257.781857222144</v>
      </c>
      <c r="Z9" s="1">
        <f t="shared" si="13"/>
        <v>39807.390803223258</v>
      </c>
      <c r="AA9" s="1">
        <f t="shared" si="13"/>
        <v>40364.694274468384</v>
      </c>
      <c r="AB9" s="1">
        <f t="shared" si="13"/>
        <v>40929.799994310939</v>
      </c>
      <c r="AC9" s="1">
        <f t="shared" si="13"/>
        <v>41502.817194231291</v>
      </c>
      <c r="AD9" s="1">
        <f t="shared" si="13"/>
        <v>42083.856634950527</v>
      </c>
      <c r="AE9" s="1">
        <f t="shared" si="13"/>
        <v>42673.030627839835</v>
      </c>
      <c r="AF9" s="1">
        <f t="shared" si="13"/>
        <v>43270.453056629594</v>
      </c>
      <c r="AG9" s="1">
        <f t="shared" si="13"/>
        <v>43876.239399422411</v>
      </c>
      <c r="AH9" s="1">
        <f t="shared" si="13"/>
        <v>44490.506751014327</v>
      </c>
      <c r="AI9" s="1">
        <f t="shared" si="13"/>
        <v>45113.373845528527</v>
      </c>
      <c r="AJ9" s="1">
        <f t="shared" si="13"/>
        <v>45744.96107936593</v>
      </c>
      <c r="AK9" s="1">
        <f t="shared" si="13"/>
        <v>46385.390534477054</v>
      </c>
      <c r="AL9" s="1">
        <f t="shared" si="13"/>
        <v>47034.786001959736</v>
      </c>
      <c r="AM9" s="1">
        <f t="shared" si="13"/>
        <v>47693.273005987176</v>
      </c>
      <c r="AN9" s="1">
        <f t="shared" si="13"/>
        <v>48360.978828070998</v>
      </c>
      <c r="AO9" s="1">
        <f t="shared" si="13"/>
        <v>49038.032531663994</v>
      </c>
    </row>
    <row r="10" spans="1:41" x14ac:dyDescent="0.2">
      <c r="B10" t="s">
        <v>24</v>
      </c>
      <c r="C10" s="1">
        <v>3026</v>
      </c>
      <c r="D10" s="1">
        <v>2787</v>
      </c>
      <c r="E10" s="1">
        <v>2840</v>
      </c>
      <c r="F10" s="1">
        <v>2683</v>
      </c>
      <c r="G10" s="1">
        <v>3280</v>
      </c>
      <c r="H10" s="1">
        <v>2843</v>
      </c>
      <c r="I10" s="1">
        <v>3259</v>
      </c>
      <c r="J10" s="1">
        <v>3554</v>
      </c>
      <c r="K10" s="1">
        <v>4387</v>
      </c>
      <c r="L10" s="1">
        <f>+L8*0.17</f>
        <v>4863.8670080000011</v>
      </c>
      <c r="M10" s="1">
        <f>+M8*0.17</f>
        <v>4280.2029670400007</v>
      </c>
      <c r="N10" s="1">
        <f>+N8*0.187</f>
        <v>5273.2100553932814</v>
      </c>
      <c r="O10" s="1">
        <f>+O8*0.2</f>
        <v>5831.5499436113942</v>
      </c>
      <c r="P10" s="1">
        <f>+P8*0.184</f>
        <v>6008.8290618971805</v>
      </c>
      <c r="S10" s="1">
        <v>7846</v>
      </c>
      <c r="T10" s="1">
        <v>9876</v>
      </c>
      <c r="U10" s="1">
        <v>11591</v>
      </c>
      <c r="V10" s="1">
        <f t="shared" si="6"/>
        <v>18906.867008000001</v>
      </c>
      <c r="W10" s="1">
        <f t="shared" si="7"/>
        <v>21393.792027941858</v>
      </c>
      <c r="X10" s="1">
        <f>+W10*1.01</f>
        <v>21607.729948221277</v>
      </c>
      <c r="Y10" s="1">
        <f t="shared" ref="Y10:AO10" si="14">+X10*1.01</f>
        <v>21823.807247703491</v>
      </c>
      <c r="Z10" s="1">
        <f t="shared" si="14"/>
        <v>22042.045320180525</v>
      </c>
      <c r="AA10" s="1">
        <f>+Z10*0.99</f>
        <v>21821.62486697872</v>
      </c>
      <c r="AB10" s="1">
        <f t="shared" ref="AB10:AC10" si="15">+AA10*0.99</f>
        <v>21603.408618308931</v>
      </c>
      <c r="AC10" s="1">
        <f t="shared" si="15"/>
        <v>21387.374532125843</v>
      </c>
      <c r="AD10" s="1">
        <f t="shared" si="14"/>
        <v>21601.248277447103</v>
      </c>
      <c r="AE10" s="1">
        <f t="shared" si="14"/>
        <v>21817.260760221576</v>
      </c>
      <c r="AF10" s="1">
        <f t="shared" si="14"/>
        <v>22035.433367823793</v>
      </c>
      <c r="AG10" s="1">
        <f t="shared" si="14"/>
        <v>22255.787701502031</v>
      </c>
      <c r="AH10" s="1">
        <f t="shared" si="14"/>
        <v>22478.345578517052</v>
      </c>
      <c r="AI10" s="1">
        <f t="shared" si="14"/>
        <v>22703.129034302223</v>
      </c>
      <c r="AJ10" s="1">
        <f t="shared" si="14"/>
        <v>22930.160324645247</v>
      </c>
      <c r="AK10" s="1">
        <f t="shared" si="14"/>
        <v>23159.461927891698</v>
      </c>
      <c r="AL10" s="1">
        <f t="shared" si="14"/>
        <v>23391.056547170614</v>
      </c>
      <c r="AM10" s="1">
        <f t="shared" si="14"/>
        <v>23624.96711264232</v>
      </c>
      <c r="AN10" s="1">
        <f t="shared" si="14"/>
        <v>23861.216783768745</v>
      </c>
      <c r="AO10" s="1">
        <f t="shared" si="14"/>
        <v>24099.828951606432</v>
      </c>
    </row>
    <row r="11" spans="1:41" x14ac:dyDescent="0.2">
      <c r="B11" t="s">
        <v>25</v>
      </c>
      <c r="C11" s="1">
        <v>1829</v>
      </c>
      <c r="D11" s="1">
        <v>1583</v>
      </c>
      <c r="E11" s="1">
        <v>1593</v>
      </c>
      <c r="F11" s="1">
        <v>1790</v>
      </c>
      <c r="G11" s="1">
        <v>1599</v>
      </c>
      <c r="H11" s="1">
        <v>1622</v>
      </c>
      <c r="I11" s="1">
        <v>1956</v>
      </c>
      <c r="J11" s="1">
        <v>2946</v>
      </c>
      <c r="K11" s="1">
        <v>3305</v>
      </c>
      <c r="L11" s="1">
        <f>+L8*0.1</f>
        <v>2861.0982400000007</v>
      </c>
      <c r="M11" s="1">
        <f>+M8*0.08</f>
        <v>2014.2131609600003</v>
      </c>
      <c r="N11" s="1">
        <f>+N8*0.08</f>
        <v>2255.9187402752009</v>
      </c>
      <c r="O11" s="1">
        <f>+O8*0.0784</f>
        <v>2285.9675778956662</v>
      </c>
      <c r="P11" s="1">
        <f>+P8*0.1</f>
        <v>3265.6679684223809</v>
      </c>
      <c r="S11" s="1">
        <v>3451</v>
      </c>
      <c r="T11" s="1">
        <v>10465</v>
      </c>
      <c r="U11" s="1">
        <v>6564</v>
      </c>
      <c r="V11" s="1">
        <f t="shared" si="6"/>
        <v>12690.098240000001</v>
      </c>
      <c r="W11" s="1">
        <f t="shared" si="7"/>
        <v>9821.7674475532476</v>
      </c>
      <c r="X11" s="1">
        <f>+W11*0.99</f>
        <v>9723.5497730777151</v>
      </c>
      <c r="Y11" s="1">
        <f t="shared" ref="Y11:Z11" si="16">+X11*0.99</f>
        <v>9626.3142753469383</v>
      </c>
      <c r="Z11" s="1">
        <f t="shared" si="16"/>
        <v>9530.0511325934694</v>
      </c>
      <c r="AA11" s="1">
        <f>+Z11*1.0098</f>
        <v>9623.4456336928852</v>
      </c>
      <c r="AB11" s="1">
        <f t="shared" ref="AB11:AO11" si="17">+AA11*1.0098</f>
        <v>9717.7554009030755</v>
      </c>
      <c r="AC11" s="1">
        <f t="shared" si="17"/>
        <v>9812.9894038319253</v>
      </c>
      <c r="AD11" s="1">
        <f t="shared" si="17"/>
        <v>9909.1566999894785</v>
      </c>
      <c r="AE11" s="1">
        <f t="shared" si="17"/>
        <v>10006.266435649375</v>
      </c>
      <c r="AF11" s="1">
        <f t="shared" si="17"/>
        <v>10104.327846718739</v>
      </c>
      <c r="AG11" s="1">
        <f t="shared" si="17"/>
        <v>10203.350259616584</v>
      </c>
      <c r="AH11" s="1">
        <f t="shared" si="17"/>
        <v>10303.343092160827</v>
      </c>
      <c r="AI11" s="1">
        <f t="shared" si="17"/>
        <v>10404.315854464003</v>
      </c>
      <c r="AJ11" s="1">
        <f t="shared" si="17"/>
        <v>10506.27814983775</v>
      </c>
      <c r="AK11" s="1">
        <f t="shared" si="17"/>
        <v>10609.23967570616</v>
      </c>
      <c r="AL11" s="1">
        <f t="shared" si="17"/>
        <v>10713.21022452808</v>
      </c>
      <c r="AM11" s="1">
        <f t="shared" si="17"/>
        <v>10818.199684728455</v>
      </c>
      <c r="AN11" s="1">
        <f t="shared" si="17"/>
        <v>10924.218041638795</v>
      </c>
      <c r="AO11" s="1">
        <f t="shared" si="17"/>
        <v>11031.275378446855</v>
      </c>
    </row>
    <row r="12" spans="1:41" x14ac:dyDescent="0.2">
      <c r="B12" t="s">
        <v>26</v>
      </c>
      <c r="C12" s="1">
        <f t="shared" ref="C12:M12" si="18">+SUM(C9:C11)</f>
        <v>8732</v>
      </c>
      <c r="D12" s="1">
        <f t="shared" si="18"/>
        <v>8385</v>
      </c>
      <c r="E12" s="1">
        <f t="shared" si="18"/>
        <v>8895</v>
      </c>
      <c r="F12" s="1">
        <f t="shared" si="18"/>
        <v>9236</v>
      </c>
      <c r="G12" s="1">
        <f t="shared" si="18"/>
        <v>10087</v>
      </c>
      <c r="H12" s="1">
        <f t="shared" si="18"/>
        <v>9662</v>
      </c>
      <c r="I12" s="1">
        <f t="shared" si="18"/>
        <v>11311</v>
      </c>
      <c r="J12" s="1">
        <f t="shared" si="18"/>
        <v>12816</v>
      </c>
      <c r="K12" s="1">
        <f t="shared" ref="K12" si="19">+SUM(K9:K11)</f>
        <v>14738</v>
      </c>
      <c r="L12" s="1">
        <f t="shared" si="18"/>
        <v>16308.259968000004</v>
      </c>
      <c r="M12" s="1">
        <f t="shared" si="18"/>
        <v>14703.756075008003</v>
      </c>
      <c r="N12" s="1">
        <f t="shared" ref="N12" si="20">+SUM(N9:N11)</f>
        <v>17680.763126906884</v>
      </c>
      <c r="O12" s="1">
        <f t="shared" ref="O12" si="21">+SUM(O9:O11)</f>
        <v>17287.629807835976</v>
      </c>
      <c r="P12" s="1">
        <f t="shared" ref="P12" si="22">+SUM(P9:P11)</f>
        <v>19724.634529271181</v>
      </c>
      <c r="S12" s="1">
        <f t="shared" ref="S12:U12" si="23">+SUM(S9:S11)</f>
        <v>21570</v>
      </c>
      <c r="T12" s="1">
        <f t="shared" si="23"/>
        <v>33941</v>
      </c>
      <c r="U12" s="1">
        <f t="shared" si="23"/>
        <v>36602</v>
      </c>
      <c r="V12" s="1">
        <f t="shared" si="6"/>
        <v>64835.259968000006</v>
      </c>
      <c r="W12" s="1">
        <f t="shared" si="7"/>
        <v>69396.783539022043</v>
      </c>
      <c r="X12" s="1">
        <f t="shared" ref="X12" si="24">+SUM(X9:X11)</f>
        <v>70047.040921715306</v>
      </c>
      <c r="Y12" s="1">
        <f t="shared" ref="Y12" si="25">+SUM(Y9:Y11)</f>
        <v>70707.903380272575</v>
      </c>
      <c r="Z12" s="1">
        <f t="shared" ref="Z12" si="26">+SUM(Z9:Z11)</f>
        <v>71379.487255997243</v>
      </c>
      <c r="AA12" s="1">
        <f t="shared" ref="AA12" si="27">+SUM(AA9:AA11)</f>
        <v>71809.764775139993</v>
      </c>
      <c r="AB12" s="1">
        <f t="shared" ref="AB12" si="28">+SUM(AB9:AB11)</f>
        <v>72250.964013522942</v>
      </c>
      <c r="AC12" s="1">
        <f t="shared" ref="AC12" si="29">+SUM(AC9:AC11)</f>
        <v>72703.18113018907</v>
      </c>
      <c r="AD12" s="1">
        <f t="shared" ref="AD12" si="30">+SUM(AD9:AD11)</f>
        <v>73594.261612387112</v>
      </c>
      <c r="AE12" s="1">
        <f t="shared" ref="AE12" si="31">+SUM(AE9:AE11)</f>
        <v>74496.557823710784</v>
      </c>
      <c r="AF12" s="1">
        <f t="shared" ref="AF12" si="32">+SUM(AF9:AF11)</f>
        <v>75410.214271172124</v>
      </c>
      <c r="AG12" s="1">
        <f t="shared" ref="AG12" si="33">+SUM(AG9:AG11)</f>
        <v>76335.377360541024</v>
      </c>
      <c r="AH12" s="1">
        <f t="shared" ref="AH12" si="34">+SUM(AH9:AH11)</f>
        <v>77272.195421692202</v>
      </c>
      <c r="AI12" s="1">
        <f t="shared" ref="AI12" si="35">+SUM(AI9:AI11)</f>
        <v>78220.818734294749</v>
      </c>
      <c r="AJ12" s="1">
        <f t="shared" ref="AJ12" si="36">+SUM(AJ9:AJ11)</f>
        <v>79181.399553848925</v>
      </c>
      <c r="AK12" s="1">
        <f t="shared" ref="AK12" si="37">+SUM(AK9:AK11)</f>
        <v>80154.092138074921</v>
      </c>
      <c r="AL12" s="1">
        <f t="shared" ref="AL12" si="38">+SUM(AL9:AL11)</f>
        <v>81139.052773658434</v>
      </c>
      <c r="AM12" s="1">
        <f t="shared" ref="AM12" si="39">+SUM(AM9:AM11)</f>
        <v>82136.439803357964</v>
      </c>
      <c r="AN12" s="1">
        <f t="shared" ref="AN12" si="40">+SUM(AN9:AN11)</f>
        <v>83146.413653478536</v>
      </c>
      <c r="AO12" s="1">
        <f t="shared" ref="AO12" si="41">+SUM(AO9:AO11)</f>
        <v>84169.13686171727</v>
      </c>
    </row>
    <row r="13" spans="1:41" x14ac:dyDescent="0.2">
      <c r="B13" t="s">
        <v>27</v>
      </c>
      <c r="C13" s="1">
        <f t="shared" ref="C13:M13" si="42">+C8-C12</f>
        <v>8858</v>
      </c>
      <c r="D13" s="1">
        <f t="shared" si="42"/>
        <v>5893</v>
      </c>
      <c r="E13" s="1">
        <f t="shared" si="42"/>
        <v>5963</v>
      </c>
      <c r="F13" s="1">
        <f t="shared" si="42"/>
        <v>8040</v>
      </c>
      <c r="G13" s="1">
        <f t="shared" si="42"/>
        <v>12775</v>
      </c>
      <c r="H13" s="1">
        <f t="shared" si="42"/>
        <v>11378</v>
      </c>
      <c r="I13" s="1">
        <f t="shared" si="42"/>
        <v>12367</v>
      </c>
      <c r="J13" s="1">
        <f t="shared" si="42"/>
        <v>10423</v>
      </c>
      <c r="K13" s="1">
        <f t="shared" ref="K13" si="43">+K8-K12</f>
        <v>12585</v>
      </c>
      <c r="L13" s="1">
        <f t="shared" si="42"/>
        <v>12302.722432</v>
      </c>
      <c r="M13" s="1">
        <f t="shared" si="42"/>
        <v>10473.908436992</v>
      </c>
      <c r="N13" s="1">
        <f t="shared" ref="N13" si="44">+N8-N12</f>
        <v>10518.221126533124</v>
      </c>
      <c r="O13" s="1">
        <f t="shared" ref="O13" si="45">+O8-O12</f>
        <v>11870.119910220994</v>
      </c>
      <c r="P13" s="1">
        <f t="shared" ref="P13" si="46">+P8-P12</f>
        <v>12932.045154952626</v>
      </c>
      <c r="S13" s="1">
        <f t="shared" ref="S13:U13" si="47">+S8-S12</f>
        <v>24913</v>
      </c>
      <c r="T13" s="1">
        <f t="shared" si="47"/>
        <v>23986</v>
      </c>
      <c r="U13" s="1">
        <f t="shared" si="47"/>
        <v>32671</v>
      </c>
      <c r="V13" s="1">
        <f t="shared" si="6"/>
        <v>59055.722432000002</v>
      </c>
      <c r="W13" s="1">
        <f t="shared" si="7"/>
        <v>45794.294628698743</v>
      </c>
      <c r="X13" s="1">
        <f t="shared" ref="X13" si="48">+X8-X12</f>
        <v>47447.85880935991</v>
      </c>
      <c r="Y13" s="1">
        <f t="shared" ref="Y13" si="49">+Y8-Y12</f>
        <v>49136.894345424153</v>
      </c>
      <c r="Z13" s="1">
        <f t="shared" ref="Z13" si="50">+Z8-Z12</f>
        <v>50862.206424213437</v>
      </c>
      <c r="AA13" s="1">
        <f t="shared" ref="AA13" si="51">+AA8-AA12</f>
        <v>52876.762778674893</v>
      </c>
      <c r="AB13" s="1">
        <f t="shared" ref="AB13" si="52">+AB8-AB12</f>
        <v>54929.294091368254</v>
      </c>
      <c r="AC13" s="1">
        <f t="shared" ref="AC13" si="53">+AC8-AC12</f>
        <v>57020.682136799936</v>
      </c>
      <c r="AD13" s="1">
        <f t="shared" ref="AD13" si="54">+AD8-AD12</f>
        <v>58724.078919941676</v>
      </c>
      <c r="AE13" s="1">
        <f t="shared" ref="AE13" si="55">+AE8-AE12</f>
        <v>60468.149519264611</v>
      </c>
      <c r="AF13" s="1">
        <f t="shared" ref="AF13" si="56">+AF8-AF12</f>
        <v>62253.787218662765</v>
      </c>
      <c r="AG13" s="1">
        <f t="shared" ref="AG13" si="57">+AG8-AG12</f>
        <v>64081.904159090569</v>
      </c>
      <c r="AH13" s="1">
        <f t="shared" ref="AH13" si="58">+AH8-AH12</f>
        <v>65953.431728332027</v>
      </c>
      <c r="AI13" s="1">
        <f t="shared" ref="AI13" si="59">+AI8-AI12</f>
        <v>67869.320958729964</v>
      </c>
      <c r="AJ13" s="1">
        <f t="shared" ref="AJ13" si="60">+AJ8-AJ12</f>
        <v>69830.542933036282</v>
      </c>
      <c r="AK13" s="1">
        <f t="shared" ref="AK13" si="61">+AK8-AK12</f>
        <v>71838.089198547998</v>
      </c>
      <c r="AL13" s="1">
        <f t="shared" ref="AL13" si="62">+AL8-AL12</f>
        <v>73892.972189696957</v>
      </c>
      <c r="AM13" s="1">
        <f t="shared" ref="AM13" si="63">+AM8-AM12</f>
        <v>75996.225659264572</v>
      </c>
      <c r="AN13" s="1">
        <f t="shared" ref="AN13" si="64">+AN8-AN12</f>
        <v>78148.905118396462</v>
      </c>
      <c r="AO13" s="1">
        <f t="shared" ref="AO13" si="65">+AO8-AO12</f>
        <v>80352.088285595237</v>
      </c>
    </row>
    <row r="14" spans="1:41" x14ac:dyDescent="0.2">
      <c r="B14" t="s">
        <v>28</v>
      </c>
      <c r="C14" s="1">
        <v>311</v>
      </c>
      <c r="D14" s="1">
        <v>-32</v>
      </c>
      <c r="E14" s="1">
        <v>168</v>
      </c>
      <c r="F14" s="1">
        <v>93</v>
      </c>
      <c r="G14" s="1">
        <v>280</v>
      </c>
      <c r="H14" s="1">
        <v>125</v>
      </c>
      <c r="I14" s="1">
        <v>146</v>
      </c>
      <c r="J14" s="1">
        <v>142</v>
      </c>
      <c r="K14" s="1">
        <v>117</v>
      </c>
      <c r="L14" s="1">
        <f>+J38*$R$35</f>
        <v>648.33000000000004</v>
      </c>
      <c r="M14" s="1">
        <f t="shared" ref="M14:P14" si="66">+L38*$R$35</f>
        <v>0</v>
      </c>
      <c r="N14" s="1">
        <f t="shared" si="66"/>
        <v>0</v>
      </c>
      <c r="O14" s="1">
        <f t="shared" si="66"/>
        <v>0</v>
      </c>
      <c r="P14" s="1">
        <f t="shared" si="66"/>
        <v>0</v>
      </c>
      <c r="S14" s="1">
        <v>448</v>
      </c>
      <c r="T14" s="1">
        <v>826</v>
      </c>
      <c r="U14" s="1">
        <v>509</v>
      </c>
      <c r="V14" s="1">
        <f t="shared" si="6"/>
        <v>1178.33</v>
      </c>
      <c r="W14" s="1">
        <f t="shared" si="7"/>
        <v>0</v>
      </c>
      <c r="X14" s="1">
        <f>+W14*1.01</f>
        <v>0</v>
      </c>
      <c r="Y14" s="1">
        <f t="shared" ref="Y14:AO14" si="67">+X14*1.01</f>
        <v>0</v>
      </c>
      <c r="Z14" s="1">
        <f t="shared" si="67"/>
        <v>0</v>
      </c>
      <c r="AA14" s="1">
        <f t="shared" si="67"/>
        <v>0</v>
      </c>
      <c r="AB14" s="1">
        <f t="shared" si="67"/>
        <v>0</v>
      </c>
      <c r="AC14" s="1">
        <f t="shared" si="67"/>
        <v>0</v>
      </c>
      <c r="AD14" s="1">
        <f t="shared" si="67"/>
        <v>0</v>
      </c>
      <c r="AE14" s="1">
        <f t="shared" si="67"/>
        <v>0</v>
      </c>
      <c r="AF14" s="1">
        <f t="shared" si="67"/>
        <v>0</v>
      </c>
      <c r="AG14" s="1">
        <f t="shared" si="67"/>
        <v>0</v>
      </c>
      <c r="AH14" s="1">
        <f t="shared" si="67"/>
        <v>0</v>
      </c>
      <c r="AI14" s="1">
        <f t="shared" si="67"/>
        <v>0</v>
      </c>
      <c r="AJ14" s="1">
        <f t="shared" si="67"/>
        <v>0</v>
      </c>
      <c r="AK14" s="1">
        <f t="shared" si="67"/>
        <v>0</v>
      </c>
      <c r="AL14" s="1">
        <f t="shared" si="67"/>
        <v>0</v>
      </c>
      <c r="AM14" s="1">
        <f t="shared" si="67"/>
        <v>0</v>
      </c>
      <c r="AN14" s="1">
        <f t="shared" si="67"/>
        <v>0</v>
      </c>
      <c r="AO14" s="1">
        <f t="shared" si="67"/>
        <v>0</v>
      </c>
    </row>
    <row r="15" spans="1:41" x14ac:dyDescent="0.2">
      <c r="B15" t="s">
        <v>29</v>
      </c>
      <c r="C15" s="1">
        <f t="shared" ref="C15:L15" si="68">+C13+C14</f>
        <v>9169</v>
      </c>
      <c r="D15" s="1">
        <f t="shared" si="68"/>
        <v>5861</v>
      </c>
      <c r="E15" s="1">
        <f t="shared" si="68"/>
        <v>6131</v>
      </c>
      <c r="F15" s="1">
        <f t="shared" si="68"/>
        <v>8133</v>
      </c>
      <c r="G15" s="1">
        <f t="shared" si="68"/>
        <v>13055</v>
      </c>
      <c r="H15" s="1">
        <f t="shared" si="68"/>
        <v>11503</v>
      </c>
      <c r="I15" s="1">
        <f t="shared" si="68"/>
        <v>12513</v>
      </c>
      <c r="J15" s="1">
        <f t="shared" si="68"/>
        <v>10565</v>
      </c>
      <c r="K15" s="1">
        <f t="shared" ref="K15" si="69">+K13+K14</f>
        <v>12702</v>
      </c>
      <c r="L15" s="1">
        <f t="shared" si="68"/>
        <v>12951.052432</v>
      </c>
      <c r="M15" s="1">
        <f>+M13+M14</f>
        <v>10473.908436992</v>
      </c>
      <c r="N15" s="1">
        <f t="shared" ref="N15:P15" si="70">+N13+N14</f>
        <v>10518.221126533124</v>
      </c>
      <c r="O15" s="1">
        <f t="shared" si="70"/>
        <v>11870.119910220994</v>
      </c>
      <c r="P15" s="1">
        <f t="shared" si="70"/>
        <v>12932.045154952626</v>
      </c>
      <c r="S15" s="1">
        <f t="shared" ref="S15:U15" si="71">+S13+S14</f>
        <v>25361</v>
      </c>
      <c r="T15" s="1">
        <f t="shared" si="71"/>
        <v>24812</v>
      </c>
      <c r="U15" s="1">
        <f t="shared" si="71"/>
        <v>33180</v>
      </c>
      <c r="V15" s="1">
        <f t="shared" si="6"/>
        <v>60234.052431999997</v>
      </c>
      <c r="W15" s="1">
        <f t="shared" si="7"/>
        <v>45794.294628698743</v>
      </c>
      <c r="X15" s="1">
        <f t="shared" ref="X15" si="72">+X13+X14</f>
        <v>47447.85880935991</v>
      </c>
      <c r="Y15" s="1">
        <f t="shared" ref="Y15" si="73">+Y13+Y14</f>
        <v>49136.894345424153</v>
      </c>
      <c r="Z15" s="1">
        <f t="shared" ref="Z15" si="74">+Z13+Z14</f>
        <v>50862.206424213437</v>
      </c>
      <c r="AA15" s="1">
        <f t="shared" ref="AA15" si="75">+AA13+AA14</f>
        <v>52876.762778674893</v>
      </c>
      <c r="AB15" s="1">
        <f t="shared" ref="AB15" si="76">+AB13+AB14</f>
        <v>54929.294091368254</v>
      </c>
      <c r="AC15" s="1">
        <f t="shared" ref="AC15" si="77">+AC13+AC14</f>
        <v>57020.682136799936</v>
      </c>
      <c r="AD15" s="1">
        <f t="shared" ref="AD15" si="78">+AD13+AD14</f>
        <v>58724.078919941676</v>
      </c>
      <c r="AE15" s="1">
        <f t="shared" ref="AE15" si="79">+AE13+AE14</f>
        <v>60468.149519264611</v>
      </c>
      <c r="AF15" s="1">
        <f t="shared" ref="AF15" si="80">+AF13+AF14</f>
        <v>62253.787218662765</v>
      </c>
      <c r="AG15" s="1">
        <f t="shared" ref="AG15" si="81">+AG13+AG14</f>
        <v>64081.904159090569</v>
      </c>
      <c r="AH15" s="1">
        <f t="shared" ref="AH15" si="82">+AH13+AH14</f>
        <v>65953.431728332027</v>
      </c>
      <c r="AI15" s="1">
        <f t="shared" ref="AI15" si="83">+AI13+AI14</f>
        <v>67869.320958729964</v>
      </c>
      <c r="AJ15" s="1">
        <f t="shared" ref="AJ15" si="84">+AJ13+AJ14</f>
        <v>69830.542933036282</v>
      </c>
      <c r="AK15" s="1">
        <f t="shared" ref="AK15" si="85">+AK13+AK14</f>
        <v>71838.089198547998</v>
      </c>
      <c r="AL15" s="1">
        <f t="shared" ref="AL15" si="86">+AL13+AL14</f>
        <v>73892.972189696957</v>
      </c>
      <c r="AM15" s="1">
        <f t="shared" ref="AM15" si="87">+AM13+AM14</f>
        <v>75996.225659264572</v>
      </c>
      <c r="AN15" s="1">
        <f t="shared" ref="AN15" si="88">+AN13+AN14</f>
        <v>78148.905118396462</v>
      </c>
      <c r="AO15" s="1">
        <f t="shared" ref="AO15" si="89">+AO13+AO14</f>
        <v>80352.088285595237</v>
      </c>
    </row>
    <row r="16" spans="1:41" x14ac:dyDescent="0.2">
      <c r="B16" t="s">
        <v>30</v>
      </c>
      <c r="C16" s="1">
        <v>1820</v>
      </c>
      <c r="D16" s="1">
        <v>959</v>
      </c>
      <c r="E16" s="1">
        <v>953</v>
      </c>
      <c r="F16">
        <v>287</v>
      </c>
      <c r="G16" s="1">
        <v>1836</v>
      </c>
      <c r="H16" s="1">
        <v>2006</v>
      </c>
      <c r="I16" s="1">
        <v>2119</v>
      </c>
      <c r="J16" s="1">
        <v>1371</v>
      </c>
      <c r="K16" s="1">
        <v>2417</v>
      </c>
      <c r="L16" s="1">
        <f>+L15*0.164</f>
        <v>2123.972598848</v>
      </c>
      <c r="M16" s="1">
        <f>+M15*0.164</f>
        <v>1717.7209836666882</v>
      </c>
      <c r="N16" s="1">
        <f t="shared" ref="N16:P16" si="90">+N15*0.164</f>
        <v>1724.9882647514326</v>
      </c>
      <c r="O16" s="1">
        <f t="shared" si="90"/>
        <v>1946.6996652762432</v>
      </c>
      <c r="P16" s="1">
        <f t="shared" si="90"/>
        <v>2120.8554054122305</v>
      </c>
      <c r="S16" s="1">
        <v>3249</v>
      </c>
      <c r="T16" s="1">
        <v>6327</v>
      </c>
      <c r="U16" s="1">
        <v>4043</v>
      </c>
      <c r="V16" s="1">
        <f t="shared" si="6"/>
        <v>10036.972598848</v>
      </c>
      <c r="W16" s="1">
        <f t="shared" si="7"/>
        <v>7510.2643191065945</v>
      </c>
      <c r="X16" s="1">
        <f>+X15*0.12</f>
        <v>5693.7430571231889</v>
      </c>
      <c r="Y16" s="1">
        <f t="shared" ref="Y16:AO16" si="91">+Y15*0.12</f>
        <v>5896.4273214508985</v>
      </c>
      <c r="Z16" s="1">
        <f t="shared" si="91"/>
        <v>6103.4647709056126</v>
      </c>
      <c r="AA16" s="1">
        <f t="shared" si="91"/>
        <v>6345.2115334409873</v>
      </c>
      <c r="AB16" s="1">
        <f t="shared" si="91"/>
        <v>6591.5152909641902</v>
      </c>
      <c r="AC16" s="1">
        <f t="shared" si="91"/>
        <v>6842.4818564159923</v>
      </c>
      <c r="AD16" s="1">
        <f t="shared" si="91"/>
        <v>7046.8894703930009</v>
      </c>
      <c r="AE16" s="1">
        <f t="shared" si="91"/>
        <v>7256.1779423117532</v>
      </c>
      <c r="AF16" s="1">
        <f t="shared" si="91"/>
        <v>7470.454466239531</v>
      </c>
      <c r="AG16" s="1">
        <f t="shared" si="91"/>
        <v>7689.8284990908678</v>
      </c>
      <c r="AH16" s="1">
        <f t="shared" si="91"/>
        <v>7914.4118073998434</v>
      </c>
      <c r="AI16" s="1">
        <f t="shared" si="91"/>
        <v>8144.3185150475956</v>
      </c>
      <c r="AJ16" s="1">
        <f t="shared" si="91"/>
        <v>8379.6651519643528</v>
      </c>
      <c r="AK16" s="1">
        <f t="shared" si="91"/>
        <v>8620.5707038257588</v>
      </c>
      <c r="AL16" s="1">
        <f t="shared" si="91"/>
        <v>8867.1566627636348</v>
      </c>
      <c r="AM16" s="1">
        <f t="shared" si="91"/>
        <v>9119.5470791117477</v>
      </c>
      <c r="AN16" s="1">
        <f t="shared" si="91"/>
        <v>9377.8686142075749</v>
      </c>
      <c r="AO16" s="1">
        <f t="shared" si="91"/>
        <v>9642.2505942714288</v>
      </c>
    </row>
    <row r="17" spans="2:105" s="6" customFormat="1" ht="15" x14ac:dyDescent="0.25">
      <c r="B17" s="6" t="s">
        <v>31</v>
      </c>
      <c r="C17" s="7">
        <f t="shared" ref="C17:M17" si="92">+C15-C16</f>
        <v>7349</v>
      </c>
      <c r="D17" s="7">
        <f t="shared" si="92"/>
        <v>4902</v>
      </c>
      <c r="E17" s="7">
        <f t="shared" si="92"/>
        <v>5178</v>
      </c>
      <c r="F17" s="7">
        <f t="shared" si="92"/>
        <v>7846</v>
      </c>
      <c r="G17" s="7">
        <f t="shared" si="92"/>
        <v>11219</v>
      </c>
      <c r="H17" s="7">
        <f t="shared" si="92"/>
        <v>9497</v>
      </c>
      <c r="I17" s="7">
        <f t="shared" si="92"/>
        <v>10394</v>
      </c>
      <c r="J17" s="7">
        <f t="shared" si="92"/>
        <v>9194</v>
      </c>
      <c r="K17" s="7">
        <f t="shared" ref="K17" si="93">+K15-K16</f>
        <v>10285</v>
      </c>
      <c r="L17" s="7">
        <f>+L15-L16</f>
        <v>10827.079833152</v>
      </c>
      <c r="M17" s="7">
        <f t="shared" si="92"/>
        <v>8756.1874533253122</v>
      </c>
      <c r="N17" s="7">
        <f t="shared" ref="N17" si="94">+N15-N16</f>
        <v>8793.2328617816911</v>
      </c>
      <c r="O17" s="7">
        <f t="shared" ref="O17" si="95">+O15-O16</f>
        <v>9923.4202449447512</v>
      </c>
      <c r="P17" s="7">
        <f t="shared" ref="P17" si="96">+P15-P16</f>
        <v>10811.189749540395</v>
      </c>
      <c r="S17" s="7">
        <f t="shared" ref="S17:U17" si="97">+S15-S16</f>
        <v>22112</v>
      </c>
      <c r="T17" s="7">
        <f t="shared" si="97"/>
        <v>18485</v>
      </c>
      <c r="U17" s="7">
        <f t="shared" si="97"/>
        <v>29137</v>
      </c>
      <c r="V17" s="7">
        <f t="shared" si="6"/>
        <v>50197.079833151998</v>
      </c>
      <c r="W17" s="7">
        <f t="shared" si="7"/>
        <v>38284.030309592148</v>
      </c>
      <c r="X17" s="7">
        <f t="shared" ref="X17" si="98">+X15-X16</f>
        <v>41754.115752236721</v>
      </c>
      <c r="Y17" s="7">
        <f t="shared" ref="Y17" si="99">+Y15-Y16</f>
        <v>43240.467023973251</v>
      </c>
      <c r="Z17" s="7">
        <f t="shared" ref="Z17" si="100">+Z15-Z16</f>
        <v>44758.741653307821</v>
      </c>
      <c r="AA17" s="7">
        <f t="shared" ref="AA17" si="101">+AA15-AA16</f>
        <v>46531.551245233903</v>
      </c>
      <c r="AB17" s="7">
        <f t="shared" ref="AB17" si="102">+AB15-AB16</f>
        <v>48337.778800404063</v>
      </c>
      <c r="AC17" s="7">
        <f t="shared" ref="AC17" si="103">+AC15-AC16</f>
        <v>50178.200280383942</v>
      </c>
      <c r="AD17" s="7">
        <f t="shared" ref="AD17" si="104">+AD15-AD16</f>
        <v>51677.189449548678</v>
      </c>
      <c r="AE17" s="7">
        <f t="shared" ref="AE17" si="105">+AE15-AE16</f>
        <v>53211.971576952856</v>
      </c>
      <c r="AF17" s="7">
        <f t="shared" ref="AF17" si="106">+AF15-AF16</f>
        <v>54783.33275242323</v>
      </c>
      <c r="AG17" s="7">
        <f t="shared" ref="AG17" si="107">+AG15-AG16</f>
        <v>56392.075659999704</v>
      </c>
      <c r="AH17" s="7">
        <f t="shared" ref="AH17" si="108">+AH15-AH16</f>
        <v>58039.019920932187</v>
      </c>
      <c r="AI17" s="7">
        <f t="shared" ref="AI17" si="109">+AI15-AI16</f>
        <v>59725.002443682366</v>
      </c>
      <c r="AJ17" s="7">
        <f t="shared" ref="AJ17" si="110">+AJ15-AJ16</f>
        <v>61450.877781071933</v>
      </c>
      <c r="AK17" s="7">
        <f t="shared" ref="AK17" si="111">+AK15-AK16</f>
        <v>63217.518494722237</v>
      </c>
      <c r="AL17" s="7">
        <f t="shared" ref="AL17" si="112">+AL15-AL16</f>
        <v>65025.815526933322</v>
      </c>
      <c r="AM17" s="7">
        <f t="shared" ref="AM17" si="113">+AM15-AM16</f>
        <v>66876.678580152831</v>
      </c>
      <c r="AN17" s="7">
        <f t="shared" ref="AN17" si="114">+AN15-AN16</f>
        <v>68771.036504188887</v>
      </c>
      <c r="AO17" s="7">
        <f t="shared" ref="AO17" si="115">+AO15-AO16</f>
        <v>70709.837691323803</v>
      </c>
      <c r="AP17" s="6">
        <f>+AO17*(1+$R$37)</f>
        <v>69719.899963645265</v>
      </c>
      <c r="AQ17" s="6">
        <f t="shared" ref="AQ17:DA17" si="116">+AP17*(1+$R$37)</f>
        <v>68743.821364154224</v>
      </c>
      <c r="AR17" s="6">
        <f t="shared" si="116"/>
        <v>67781.40786505607</v>
      </c>
      <c r="AS17" s="6">
        <f t="shared" si="116"/>
        <v>66832.46815494528</v>
      </c>
      <c r="AT17" s="6">
        <f t="shared" si="116"/>
        <v>65896.813600776048</v>
      </c>
      <c r="AU17" s="6">
        <f t="shared" si="116"/>
        <v>64974.25821036518</v>
      </c>
      <c r="AV17" s="6">
        <f t="shared" si="116"/>
        <v>64064.61859542007</v>
      </c>
      <c r="AW17" s="6">
        <f t="shared" si="116"/>
        <v>63167.71393508419</v>
      </c>
      <c r="AX17" s="6">
        <f t="shared" si="116"/>
        <v>62283.365939993011</v>
      </c>
      <c r="AY17" s="6">
        <f t="shared" si="116"/>
        <v>61411.398816833105</v>
      </c>
      <c r="AZ17" s="6">
        <f t="shared" si="116"/>
        <v>60551.639233397444</v>
      </c>
      <c r="BA17" s="6">
        <f t="shared" si="116"/>
        <v>59703.916284129882</v>
      </c>
      <c r="BB17" s="6">
        <f t="shared" si="116"/>
        <v>58868.061456152063</v>
      </c>
      <c r="BC17" s="6">
        <f t="shared" si="116"/>
        <v>58043.908595765934</v>
      </c>
      <c r="BD17" s="6">
        <f t="shared" si="116"/>
        <v>57231.29387542521</v>
      </c>
      <c r="BE17" s="6">
        <f t="shared" si="116"/>
        <v>56430.055761169257</v>
      </c>
      <c r="BF17" s="6">
        <f t="shared" si="116"/>
        <v>55640.034980512886</v>
      </c>
      <c r="BG17" s="6">
        <f t="shared" si="116"/>
        <v>54861.074490785708</v>
      </c>
      <c r="BH17" s="6">
        <f t="shared" si="116"/>
        <v>54093.01944791471</v>
      </c>
      <c r="BI17" s="6">
        <f t="shared" si="116"/>
        <v>53335.717175643906</v>
      </c>
      <c r="BJ17" s="6">
        <f t="shared" si="116"/>
        <v>52589.017135184891</v>
      </c>
      <c r="BK17" s="6">
        <f t="shared" si="116"/>
        <v>51852.770895292299</v>
      </c>
      <c r="BL17" s="6">
        <f t="shared" si="116"/>
        <v>51126.832102758206</v>
      </c>
      <c r="BM17" s="6">
        <f t="shared" si="116"/>
        <v>50411.056453319594</v>
      </c>
      <c r="BN17" s="6">
        <f t="shared" si="116"/>
        <v>49705.301662973121</v>
      </c>
      <c r="BO17" s="6">
        <f t="shared" si="116"/>
        <v>49009.427439691499</v>
      </c>
      <c r="BP17" s="6">
        <f t="shared" si="116"/>
        <v>48323.295455535816</v>
      </c>
      <c r="BQ17" s="6">
        <f t="shared" si="116"/>
        <v>47646.769319158317</v>
      </c>
      <c r="BR17" s="6">
        <f t="shared" si="116"/>
        <v>46979.714548690099</v>
      </c>
      <c r="BS17" s="6">
        <f t="shared" si="116"/>
        <v>46321.998545008435</v>
      </c>
      <c r="BT17" s="6">
        <f t="shared" si="116"/>
        <v>45673.490565378313</v>
      </c>
      <c r="BU17" s="6">
        <f t="shared" si="116"/>
        <v>45034.061697463017</v>
      </c>
      <c r="BV17" s="6">
        <f t="shared" si="116"/>
        <v>44403.584833698536</v>
      </c>
      <c r="BW17" s="6">
        <f t="shared" si="116"/>
        <v>43781.934646026755</v>
      </c>
      <c r="BX17" s="6">
        <f t="shared" si="116"/>
        <v>43168.987560982379</v>
      </c>
      <c r="BY17" s="6">
        <f t="shared" si="116"/>
        <v>42564.621735128625</v>
      </c>
      <c r="BZ17" s="6">
        <f t="shared" si="116"/>
        <v>41968.717030836822</v>
      </c>
      <c r="CA17" s="6">
        <f t="shared" si="116"/>
        <v>41381.154992405107</v>
      </c>
      <c r="CB17" s="6">
        <f t="shared" si="116"/>
        <v>40801.818822511435</v>
      </c>
      <c r="CC17" s="6">
        <f t="shared" si="116"/>
        <v>40230.593358996273</v>
      </c>
      <c r="CD17" s="6">
        <f t="shared" si="116"/>
        <v>39667.365051970322</v>
      </c>
      <c r="CE17" s="6">
        <f t="shared" si="116"/>
        <v>39112.02194124274</v>
      </c>
      <c r="CF17" s="6">
        <f t="shared" si="116"/>
        <v>38564.453634065343</v>
      </c>
      <c r="CG17" s="6">
        <f t="shared" si="116"/>
        <v>38024.551283188426</v>
      </c>
      <c r="CH17" s="6">
        <f t="shared" si="116"/>
        <v>37492.207565223791</v>
      </c>
      <c r="CI17" s="6">
        <f t="shared" si="116"/>
        <v>36967.316659310658</v>
      </c>
      <c r="CJ17" s="6">
        <f t="shared" si="116"/>
        <v>36449.774226080306</v>
      </c>
      <c r="CK17" s="6">
        <f t="shared" si="116"/>
        <v>35939.477386915183</v>
      </c>
      <c r="CL17" s="6">
        <f t="shared" si="116"/>
        <v>35436.324703498372</v>
      </c>
      <c r="CM17" s="6">
        <f t="shared" si="116"/>
        <v>34940.216157649396</v>
      </c>
      <c r="CN17" s="6">
        <f t="shared" si="116"/>
        <v>34451.053131442306</v>
      </c>
      <c r="CO17" s="6">
        <f t="shared" si="116"/>
        <v>33968.738387602112</v>
      </c>
      <c r="CP17" s="6">
        <f t="shared" si="116"/>
        <v>33493.17605017568</v>
      </c>
      <c r="CQ17" s="6">
        <f t="shared" si="116"/>
        <v>33024.271585473223</v>
      </c>
      <c r="CR17" s="6">
        <f t="shared" si="116"/>
        <v>32561.931783276599</v>
      </c>
      <c r="CS17" s="6">
        <f t="shared" si="116"/>
        <v>32106.064738310728</v>
      </c>
      <c r="CT17" s="6">
        <f t="shared" si="116"/>
        <v>31656.579831974377</v>
      </c>
      <c r="CU17" s="6">
        <f t="shared" si="116"/>
        <v>31213.387714326735</v>
      </c>
      <c r="CV17" s="6">
        <f t="shared" si="116"/>
        <v>30776.400286326159</v>
      </c>
      <c r="CW17" s="6">
        <f t="shared" si="116"/>
        <v>30345.530682317592</v>
      </c>
      <c r="CX17" s="6">
        <f t="shared" si="116"/>
        <v>29920.693252765144</v>
      </c>
      <c r="CY17" s="6">
        <f t="shared" si="116"/>
        <v>29501.803547226431</v>
      </c>
      <c r="CZ17" s="6">
        <f t="shared" si="116"/>
        <v>29088.778297565259</v>
      </c>
      <c r="DA17" s="6">
        <f t="shared" si="116"/>
        <v>28681.535401399346</v>
      </c>
    </row>
    <row r="18" spans="2:105" x14ac:dyDescent="0.2">
      <c r="B18" t="s">
        <v>32</v>
      </c>
      <c r="C18" s="5">
        <f t="shared" ref="C18:J18" si="117">+C17/C19</f>
        <v>2.559735283873215</v>
      </c>
      <c r="D18" s="5">
        <f t="shared" si="117"/>
        <v>1.7092050209205021</v>
      </c>
      <c r="E18" s="5">
        <f t="shared" si="117"/>
        <v>1.7985411601250434</v>
      </c>
      <c r="F18" s="5">
        <f t="shared" si="117"/>
        <v>2.7139398132134209</v>
      </c>
      <c r="G18" s="5">
        <f t="shared" si="117"/>
        <v>3.882006920415225</v>
      </c>
      <c r="H18" s="5">
        <f t="shared" si="117"/>
        <v>3.2952810548230396</v>
      </c>
      <c r="I18" s="5">
        <f t="shared" si="117"/>
        <v>3.6127911018421965</v>
      </c>
      <c r="J18" s="5">
        <f t="shared" si="117"/>
        <v>3.2158097236796084</v>
      </c>
      <c r="K18" s="5">
        <f t="shared" ref="K18" si="118">+K17/K19</f>
        <v>3.6745266166488033</v>
      </c>
      <c r="L18" s="5">
        <f t="shared" ref="L18" si="119">+L17/L19</f>
        <v>3.787016380955579</v>
      </c>
      <c r="M18" s="5">
        <f t="shared" ref="M18" si="120">+M17/M19</f>
        <v>3.0626748699983604</v>
      </c>
      <c r="N18" s="5">
        <f t="shared" ref="N18" si="121">+N17/N19</f>
        <v>3.0756323406022004</v>
      </c>
      <c r="O18" s="5">
        <f t="shared" ref="O18" si="122">+O17/O19</f>
        <v>3.4709409740974997</v>
      </c>
      <c r="P18" s="5">
        <f t="shared" ref="P18" si="123">+P17/P19</f>
        <v>3.781458464337319</v>
      </c>
      <c r="S18" s="5">
        <f t="shared" ref="S18:W18" si="124">+S17/S19</f>
        <v>7.5700102704553238</v>
      </c>
      <c r="T18" s="5">
        <f t="shared" si="124"/>
        <v>6.4273296244784426</v>
      </c>
      <c r="U18" s="5">
        <f t="shared" si="124"/>
        <v>10.088988919667591</v>
      </c>
      <c r="V18" s="5">
        <f t="shared" si="124"/>
        <v>17.580932976026897</v>
      </c>
      <c r="W18" s="5">
        <f t="shared" si="124"/>
        <v>13.390706649035378</v>
      </c>
      <c r="X18" s="5">
        <f t="shared" ref="X18" si="125">+X17/X19</f>
        <v>14.604447622328339</v>
      </c>
      <c r="Y18" s="5">
        <f t="shared" ref="Y18" si="126">+Y17/Y19</f>
        <v>15.124332642173226</v>
      </c>
      <c r="Z18" s="5">
        <f t="shared" ref="Z18" si="127">+Z17/Z19</f>
        <v>15.655383579331172</v>
      </c>
      <c r="AA18" s="5">
        <f t="shared" ref="AA18" si="128">+AA17/AA19</f>
        <v>16.275463884307065</v>
      </c>
      <c r="AB18" s="5">
        <f t="shared" ref="AB18" si="129">+AB17/AB19</f>
        <v>16.90723287877022</v>
      </c>
      <c r="AC18" s="5">
        <f t="shared" ref="AC18" si="130">+AC17/AC19</f>
        <v>17.550961972852026</v>
      </c>
      <c r="AD18" s="5">
        <f t="shared" ref="AD18" si="131">+AD17/AD19</f>
        <v>18.075267383542734</v>
      </c>
      <c r="AE18" s="5">
        <f t="shared" ref="AE18" si="132">+AE17/AE19</f>
        <v>18.612092192008692</v>
      </c>
      <c r="AF18" s="5">
        <f t="shared" ref="AF18" si="133">+AF17/AF19</f>
        <v>19.161711350969998</v>
      </c>
      <c r="AG18" s="5">
        <f t="shared" ref="AG18" si="134">+AG17/AG19</f>
        <v>19.724405617348619</v>
      </c>
      <c r="AH18" s="5">
        <f t="shared" ref="AH18" si="135">+AH17/AH19</f>
        <v>20.300461672239312</v>
      </c>
      <c r="AI18" s="5">
        <f t="shared" ref="AI18" si="136">+AI17/AI19</f>
        <v>20.890172243330664</v>
      </c>
      <c r="AJ18" s="5">
        <f t="shared" ref="AJ18" si="137">+AJ17/AJ19</f>
        <v>21.493836229825789</v>
      </c>
      <c r="AK18" s="5">
        <f t="shared" ref="AK18" si="138">+AK17/AK19</f>
        <v>22.111758829913338</v>
      </c>
      <c r="AL18" s="5">
        <f t="shared" ref="AL18" si="139">+AL17/AL19</f>
        <v>22.744251670840615</v>
      </c>
      <c r="AM18" s="5">
        <f t="shared" ref="AM18" si="140">+AM17/AM19</f>
        <v>23.391632941641426</v>
      </c>
      <c r="AN18" s="5">
        <f t="shared" ref="AN18" si="141">+AN17/AN19</f>
        <v>24.05422752857254</v>
      </c>
      <c r="AO18" s="5">
        <f t="shared" ref="AO18" si="142">+AO17/AO19</f>
        <v>24.732367153313678</v>
      </c>
    </row>
    <row r="19" spans="2:105" x14ac:dyDescent="0.2">
      <c r="B19" t="s">
        <v>1</v>
      </c>
      <c r="C19" s="1">
        <v>2871</v>
      </c>
      <c r="D19" s="1">
        <v>2868</v>
      </c>
      <c r="E19" s="1">
        <v>2879</v>
      </c>
      <c r="F19" s="1">
        <v>2891</v>
      </c>
      <c r="G19" s="1">
        <v>2890</v>
      </c>
      <c r="H19" s="1">
        <v>2882</v>
      </c>
      <c r="I19" s="1">
        <v>2877</v>
      </c>
      <c r="J19" s="1">
        <v>2859</v>
      </c>
      <c r="K19" s="1">
        <v>2799</v>
      </c>
      <c r="L19" s="1">
        <v>2859</v>
      </c>
      <c r="M19" s="1">
        <v>2859</v>
      </c>
      <c r="N19" s="1">
        <v>2859</v>
      </c>
      <c r="O19" s="1">
        <v>2859</v>
      </c>
      <c r="P19" s="1">
        <v>2859</v>
      </c>
      <c r="S19" s="1">
        <v>2921</v>
      </c>
      <c r="T19" s="1">
        <v>2876</v>
      </c>
      <c r="U19" s="1">
        <v>2888</v>
      </c>
      <c r="V19" s="1">
        <f>+AVERAGE(H19:L19)</f>
        <v>2855.2</v>
      </c>
      <c r="W19" s="1">
        <f>+AVERAGE(M19:P19)</f>
        <v>2859</v>
      </c>
      <c r="X19" s="1">
        <v>2859</v>
      </c>
      <c r="Y19" s="1">
        <v>2859</v>
      </c>
      <c r="Z19" s="1">
        <v>2859</v>
      </c>
      <c r="AA19" s="1">
        <v>2859</v>
      </c>
      <c r="AB19" s="1">
        <v>2859</v>
      </c>
      <c r="AC19" s="1">
        <v>2859</v>
      </c>
      <c r="AD19" s="1">
        <v>2859</v>
      </c>
      <c r="AE19" s="1">
        <v>2859</v>
      </c>
      <c r="AF19" s="1">
        <v>2859</v>
      </c>
      <c r="AG19" s="1">
        <v>2859</v>
      </c>
      <c r="AH19" s="1">
        <v>2859</v>
      </c>
      <c r="AI19" s="1">
        <v>2859</v>
      </c>
      <c r="AJ19" s="1">
        <v>2859</v>
      </c>
      <c r="AK19" s="1">
        <v>2859</v>
      </c>
      <c r="AL19" s="1">
        <v>2859</v>
      </c>
      <c r="AM19" s="1">
        <v>2859</v>
      </c>
      <c r="AN19" s="1">
        <v>2859</v>
      </c>
      <c r="AO19" s="1">
        <v>2859</v>
      </c>
    </row>
    <row r="21" spans="2:105" x14ac:dyDescent="0.2">
      <c r="B21" t="s">
        <v>21</v>
      </c>
      <c r="C21" s="3">
        <f t="shared" ref="C21:J21" si="143">+C8/C6</f>
        <v>0.83436106631249407</v>
      </c>
      <c r="D21" s="3">
        <f t="shared" si="143"/>
        <v>0.80498393189378137</v>
      </c>
      <c r="E21" s="3">
        <f t="shared" si="143"/>
        <v>0.7950981966072671</v>
      </c>
      <c r="F21" s="3">
        <f t="shared" si="143"/>
        <v>0.80465766185374943</v>
      </c>
      <c r="G21" s="3">
        <f t="shared" si="143"/>
        <v>0.81440581362211462</v>
      </c>
      <c r="H21" s="3">
        <f t="shared" si="143"/>
        <v>0.80394329601467274</v>
      </c>
      <c r="I21" s="3">
        <f t="shared" si="143"/>
        <v>0.81432059703545756</v>
      </c>
      <c r="J21" s="3">
        <f t="shared" si="143"/>
        <v>0.80106859703550504</v>
      </c>
      <c r="K21" s="3">
        <f t="shared" ref="K21" si="144">+K8/K6</f>
        <v>0.81146981081642955</v>
      </c>
      <c r="L21" s="3">
        <f t="shared" ref="L21:P21" si="145">+L8/L6</f>
        <v>0.8</v>
      </c>
      <c r="M21" s="3">
        <f t="shared" si="145"/>
        <v>0.8</v>
      </c>
      <c r="N21" s="3">
        <f t="shared" si="145"/>
        <v>0.8</v>
      </c>
      <c r="O21" s="3">
        <f t="shared" si="145"/>
        <v>0.8</v>
      </c>
      <c r="P21" s="3">
        <f t="shared" si="145"/>
        <v>0.8</v>
      </c>
      <c r="S21" s="3">
        <f t="shared" ref="S21:U21" si="146">+S8/S6</f>
        <v>0.8324617643898421</v>
      </c>
      <c r="T21" s="3">
        <f t="shared" si="146"/>
        <v>0.81936998741106415</v>
      </c>
      <c r="U21" s="3">
        <f t="shared" si="146"/>
        <v>0.80582795323678236</v>
      </c>
      <c r="V21" s="3">
        <f t="shared" ref="V21:W21" si="147">+V8/V6</f>
        <v>0.80609527862632513</v>
      </c>
      <c r="W21" s="3">
        <f t="shared" si="147"/>
        <v>0.79999999999999993</v>
      </c>
      <c r="X21" s="3">
        <f t="shared" ref="X21:AO21" si="148">+X8/X6</f>
        <v>0.8</v>
      </c>
      <c r="Y21" s="3">
        <f t="shared" si="148"/>
        <v>0.8</v>
      </c>
      <c r="Z21" s="3">
        <f t="shared" si="148"/>
        <v>0.8</v>
      </c>
      <c r="AA21" s="3">
        <f t="shared" si="148"/>
        <v>0.8</v>
      </c>
      <c r="AB21" s="3">
        <f t="shared" si="148"/>
        <v>0.8</v>
      </c>
      <c r="AC21" s="3">
        <f t="shared" si="148"/>
        <v>0.8</v>
      </c>
      <c r="AD21" s="3">
        <f t="shared" si="148"/>
        <v>0.79999999999999993</v>
      </c>
      <c r="AE21" s="3">
        <f t="shared" si="148"/>
        <v>0.80000000000000016</v>
      </c>
      <c r="AF21" s="3">
        <f t="shared" si="148"/>
        <v>0.8</v>
      </c>
      <c r="AG21" s="3">
        <f t="shared" si="148"/>
        <v>0.8</v>
      </c>
      <c r="AH21" s="3">
        <f t="shared" si="148"/>
        <v>0.8</v>
      </c>
      <c r="AI21" s="3">
        <f t="shared" si="148"/>
        <v>0.8</v>
      </c>
      <c r="AJ21" s="3">
        <f t="shared" si="148"/>
        <v>0.79999999999999993</v>
      </c>
      <c r="AK21" s="3">
        <f t="shared" si="148"/>
        <v>0.8</v>
      </c>
      <c r="AL21" s="3">
        <f t="shared" si="148"/>
        <v>0.8</v>
      </c>
      <c r="AM21" s="3">
        <f t="shared" si="148"/>
        <v>0.80000000000000016</v>
      </c>
      <c r="AN21" s="3">
        <f t="shared" si="148"/>
        <v>0.80000000000000016</v>
      </c>
      <c r="AO21" s="3">
        <f t="shared" si="148"/>
        <v>0.80000000000000016</v>
      </c>
    </row>
    <row r="22" spans="2:105" x14ac:dyDescent="0.2">
      <c r="B22" t="s">
        <v>33</v>
      </c>
      <c r="C22" s="3">
        <f t="shared" ref="C22:I22" si="149">+C13/C6</f>
        <v>0.42016886443411439</v>
      </c>
      <c r="D22" s="3">
        <f t="shared" si="149"/>
        <v>0.33224333314540228</v>
      </c>
      <c r="E22" s="3">
        <f t="shared" si="149"/>
        <v>0.31909883876491679</v>
      </c>
      <c r="F22" s="3">
        <f t="shared" si="149"/>
        <v>0.37447601304145317</v>
      </c>
      <c r="G22" s="3">
        <f t="shared" si="149"/>
        <v>0.45507979481333716</v>
      </c>
      <c r="H22" s="3">
        <f t="shared" si="149"/>
        <v>0.43475602766420846</v>
      </c>
      <c r="I22" s="3">
        <f t="shared" si="149"/>
        <v>0.42531898063761736</v>
      </c>
      <c r="J22" s="3">
        <f>+J13/J6</f>
        <v>0.35928990003447087</v>
      </c>
      <c r="K22" s="3">
        <f>+K13/K6</f>
        <v>0.37376377297971547</v>
      </c>
      <c r="L22" s="3">
        <f>+L13/L6</f>
        <v>0.34399999999999997</v>
      </c>
      <c r="M22" s="3">
        <f t="shared" ref="M22:P22" si="150">+M13/M6</f>
        <v>0.33279999999999998</v>
      </c>
      <c r="N22" s="3">
        <f t="shared" si="150"/>
        <v>0.29840000000000005</v>
      </c>
      <c r="O22" s="3">
        <f t="shared" si="150"/>
        <v>0.32568000000000008</v>
      </c>
      <c r="P22" s="3">
        <f t="shared" si="150"/>
        <v>0.31679999999999997</v>
      </c>
      <c r="S22" s="3">
        <f t="shared" ref="S22:U22" si="151">+S13/S6</f>
        <v>0.44616569361366809</v>
      </c>
      <c r="T22" s="3">
        <f t="shared" si="151"/>
        <v>0.33927889443682191</v>
      </c>
      <c r="U22" s="3">
        <f t="shared" si="151"/>
        <v>0.3800500203571221</v>
      </c>
      <c r="V22" s="3">
        <f t="shared" ref="V22:W22" si="152">+V13/V6</f>
        <v>0.38424539144103165</v>
      </c>
      <c r="W22" s="3">
        <f t="shared" si="152"/>
        <v>0.31804056603773584</v>
      </c>
      <c r="X22" s="3">
        <f t="shared" ref="X22:AO22" si="153">+X13/X6</f>
        <v>0.32306327452823613</v>
      </c>
      <c r="Y22" s="3">
        <f t="shared" si="153"/>
        <v>0.32800351973818476</v>
      </c>
      <c r="Z22" s="3">
        <f t="shared" si="153"/>
        <v>0.33286323114776911</v>
      </c>
      <c r="AA22" s="3">
        <f t="shared" si="153"/>
        <v>0.33926207628713184</v>
      </c>
      <c r="AB22" s="3">
        <f t="shared" si="153"/>
        <v>0.34552088451379387</v>
      </c>
      <c r="AC22" s="3">
        <f t="shared" si="153"/>
        <v>0.35164344138869053</v>
      </c>
      <c r="AD22" s="3">
        <f t="shared" si="153"/>
        <v>0.35504725155221467</v>
      </c>
      <c r="AE22" s="3">
        <f t="shared" si="153"/>
        <v>0.35842347653510087</v>
      </c>
      <c r="AF22" s="3">
        <f t="shared" si="153"/>
        <v>0.36177235323649715</v>
      </c>
      <c r="AG22" s="3">
        <f t="shared" si="153"/>
        <v>0.36509411642544215</v>
      </c>
      <c r="AH22" s="3">
        <f t="shared" si="153"/>
        <v>0.36838899876066417</v>
      </c>
      <c r="AI22" s="3">
        <f t="shared" si="153"/>
        <v>0.37165723081019403</v>
      </c>
      <c r="AJ22" s="3">
        <f t="shared" si="153"/>
        <v>0.37489904107079031</v>
      </c>
      <c r="AK22" s="3">
        <f t="shared" si="153"/>
        <v>0.37811465598718091</v>
      </c>
      <c r="AL22" s="3">
        <f t="shared" si="153"/>
        <v>0.38130429997112086</v>
      </c>
      <c r="AM22" s="3">
        <f t="shared" si="153"/>
        <v>0.3844681954202695</v>
      </c>
      <c r="AN22" s="3">
        <f t="shared" si="153"/>
        <v>0.38760656273688837</v>
      </c>
      <c r="AO22" s="3">
        <f t="shared" si="153"/>
        <v>0.39071962034636148</v>
      </c>
    </row>
    <row r="23" spans="2:105" x14ac:dyDescent="0.2">
      <c r="B23" t="s">
        <v>92</v>
      </c>
      <c r="C23" s="3">
        <f t="shared" ref="C23:G23" si="154">+C9/C$8</f>
        <v>0.22040932347924957</v>
      </c>
      <c r="D23" s="3">
        <f t="shared" si="154"/>
        <v>0.28120184899845918</v>
      </c>
      <c r="E23" s="3">
        <f t="shared" si="154"/>
        <v>0.30030959752321984</v>
      </c>
      <c r="F23" s="3">
        <f t="shared" si="154"/>
        <v>0.27570039360963183</v>
      </c>
      <c r="G23" s="3">
        <f t="shared" si="154"/>
        <v>0.22780159216166565</v>
      </c>
      <c r="H23" s="3">
        <f>+H9/H$8</f>
        <v>0.24700570342205322</v>
      </c>
      <c r="I23" s="3">
        <f>+I9/I$8</f>
        <v>0.25745417687304673</v>
      </c>
      <c r="J23" s="3">
        <f>+J9/J$8</f>
        <v>0.27178450019363998</v>
      </c>
      <c r="K23" s="3">
        <f>+K9/K$8</f>
        <v>0.25787797826007391</v>
      </c>
      <c r="L23" s="3">
        <f>+L9/L$8</f>
        <v>0.3</v>
      </c>
      <c r="M23" s="3">
        <f t="shared" ref="M23:P23" si="155">+M9/M$8</f>
        <v>0.33400000000000002</v>
      </c>
      <c r="N23" s="3">
        <f t="shared" si="155"/>
        <v>0.36</v>
      </c>
      <c r="O23" s="3">
        <f t="shared" si="155"/>
        <v>0.3145</v>
      </c>
      <c r="P23" s="3">
        <f t="shared" si="155"/>
        <v>0.32</v>
      </c>
      <c r="S23" s="3">
        <f t="shared" ref="S23:W23" si="156">+S9/S$8</f>
        <v>0.22100552890303982</v>
      </c>
      <c r="T23" s="3">
        <f t="shared" si="156"/>
        <v>0.23477825539040517</v>
      </c>
      <c r="U23" s="3">
        <f t="shared" si="156"/>
        <v>0.26629422718808193</v>
      </c>
      <c r="V23" s="3">
        <f t="shared" si="156"/>
        <v>0.26828663455654383</v>
      </c>
      <c r="W23" s="3">
        <f t="shared" si="156"/>
        <v>0.33145990705924488</v>
      </c>
      <c r="X23" s="3">
        <f t="shared" ref="X23:AO23" si="157">+X9/X$8</f>
        <v>0.3295101429000728</v>
      </c>
      <c r="Y23" s="3">
        <f t="shared" si="157"/>
        <v>0.32757184794183702</v>
      </c>
      <c r="Z23" s="3">
        <f t="shared" si="157"/>
        <v>0.32564495471864974</v>
      </c>
      <c r="AA23" s="3">
        <f t="shared" si="157"/>
        <v>0.32372939616148122</v>
      </c>
      <c r="AB23" s="3">
        <f t="shared" si="157"/>
        <v>0.32182510559582539</v>
      </c>
      <c r="AC23" s="3">
        <f t="shared" si="157"/>
        <v>0.31993201673937938</v>
      </c>
      <c r="AD23" s="3">
        <f t="shared" si="157"/>
        <v>0.31805006369973599</v>
      </c>
      <c r="AE23" s="3">
        <f t="shared" si="157"/>
        <v>0.31617918097209041</v>
      </c>
      <c r="AF23" s="3">
        <f t="shared" si="157"/>
        <v>0.31431930343696052</v>
      </c>
      <c r="AG23" s="3">
        <f t="shared" si="157"/>
        <v>0.31247036635791958</v>
      </c>
      <c r="AH23" s="3">
        <f t="shared" si="157"/>
        <v>0.31063230537934355</v>
      </c>
      <c r="AI23" s="3">
        <f t="shared" si="157"/>
        <v>0.30880505652417095</v>
      </c>
      <c r="AJ23" s="3">
        <f t="shared" si="157"/>
        <v>0.30698855619167587</v>
      </c>
      <c r="AK23" s="3">
        <f t="shared" si="157"/>
        <v>0.30518274115525423</v>
      </c>
      <c r="AL23" s="3">
        <f t="shared" si="157"/>
        <v>0.30338754856022332</v>
      </c>
      <c r="AM23" s="3">
        <f t="shared" si="157"/>
        <v>0.30160291592163369</v>
      </c>
      <c r="AN23" s="3">
        <f t="shared" si="157"/>
        <v>0.29982878112209466</v>
      </c>
      <c r="AO23" s="3">
        <f t="shared" si="157"/>
        <v>0.29806508240961177</v>
      </c>
    </row>
    <row r="24" spans="2:105" x14ac:dyDescent="0.2">
      <c r="B24" t="s">
        <v>93</v>
      </c>
      <c r="C24" s="3">
        <f t="shared" ref="C24:J24" si="158">+C10/C$8</f>
        <v>0.17202956225127913</v>
      </c>
      <c r="D24" s="3">
        <f t="shared" si="158"/>
        <v>0.19519540551898024</v>
      </c>
      <c r="E24" s="3">
        <f t="shared" si="158"/>
        <v>0.1911428186835375</v>
      </c>
      <c r="F24" s="3">
        <f t="shared" si="158"/>
        <v>0.15530215327622135</v>
      </c>
      <c r="G24" s="3">
        <f t="shared" si="158"/>
        <v>0.14346951272854519</v>
      </c>
      <c r="H24" s="3">
        <f>+H10/H$8</f>
        <v>0.1351235741444867</v>
      </c>
      <c r="I24" s="3">
        <f t="shared" si="158"/>
        <v>0.1376383140467945</v>
      </c>
      <c r="J24" s="3">
        <f t="shared" si="158"/>
        <v>0.15293257024828952</v>
      </c>
      <c r="K24" s="3">
        <f t="shared" ref="K24" si="159">+K10/K$8</f>
        <v>0.16056069977674486</v>
      </c>
      <c r="L24" s="3">
        <f t="shared" ref="L24:P24" si="160">+L10/L$8</f>
        <v>0.17</v>
      </c>
      <c r="M24" s="3">
        <f t="shared" si="160"/>
        <v>0.17</v>
      </c>
      <c r="N24" s="3">
        <f t="shared" si="160"/>
        <v>0.187</v>
      </c>
      <c r="O24" s="3">
        <f t="shared" si="160"/>
        <v>0.2</v>
      </c>
      <c r="P24" s="3">
        <f t="shared" si="160"/>
        <v>0.184</v>
      </c>
      <c r="S24" s="3">
        <f t="shared" ref="S24:W24" si="161">+S10/S$8</f>
        <v>0.16879289202504141</v>
      </c>
      <c r="T24" s="3">
        <f t="shared" si="161"/>
        <v>0.17049044487026774</v>
      </c>
      <c r="U24" s="3">
        <f t="shared" si="161"/>
        <v>0.16732348822773663</v>
      </c>
      <c r="V24" s="3">
        <f t="shared" si="161"/>
        <v>0.15260890374536251</v>
      </c>
      <c r="W24" s="3">
        <f t="shared" si="161"/>
        <v>0.1857243839387632</v>
      </c>
      <c r="X24" s="3">
        <f t="shared" ref="X24:AO24" si="162">+X10/X$8</f>
        <v>0.18390355664524588</v>
      </c>
      <c r="Y24" s="3">
        <f t="shared" si="162"/>
        <v>0.18210058059970427</v>
      </c>
      <c r="Z24" s="3">
        <f t="shared" si="162"/>
        <v>0.18031528078990319</v>
      </c>
      <c r="AA24" s="3">
        <f t="shared" si="162"/>
        <v>0.17501189017843549</v>
      </c>
      <c r="AB24" s="3">
        <f t="shared" si="162"/>
        <v>0.16986448164377557</v>
      </c>
      <c r="AC24" s="3">
        <f t="shared" si="162"/>
        <v>0.16486846747778219</v>
      </c>
      <c r="AD24" s="3">
        <f t="shared" si="162"/>
        <v>0.16325210995349024</v>
      </c>
      <c r="AE24" s="3">
        <f t="shared" si="162"/>
        <v>0.16165159907159324</v>
      </c>
      <c r="AF24" s="3">
        <f t="shared" si="162"/>
        <v>0.16006677947285217</v>
      </c>
      <c r="AG24" s="3">
        <f t="shared" si="162"/>
        <v>0.15849749732115753</v>
      </c>
      <c r="AH24" s="3">
        <f t="shared" si="162"/>
        <v>0.15694360028859716</v>
      </c>
      <c r="AI24" s="3">
        <f t="shared" si="162"/>
        <v>0.15540493754066975</v>
      </c>
      <c r="AJ24" s="3">
        <f t="shared" si="162"/>
        <v>0.15388135972164357</v>
      </c>
      <c r="AK24" s="3">
        <f t="shared" si="162"/>
        <v>0.15237271894005883</v>
      </c>
      <c r="AL24" s="3">
        <f t="shared" si="162"/>
        <v>0.15087886875437195</v>
      </c>
      <c r="AM24" s="3">
        <f t="shared" si="162"/>
        <v>0.14939966415874081</v>
      </c>
      <c r="AN24" s="3">
        <f t="shared" si="162"/>
        <v>0.14793496156894925</v>
      </c>
      <c r="AO24" s="3">
        <f t="shared" si="162"/>
        <v>0.14648461880846933</v>
      </c>
    </row>
    <row r="25" spans="2:105" x14ac:dyDescent="0.2">
      <c r="B25" t="s">
        <v>94</v>
      </c>
      <c r="C25" s="3">
        <f t="shared" ref="C25:J25" si="163">+C11/C$8</f>
        <v>0.10397953382603752</v>
      </c>
      <c r="D25" s="3">
        <f t="shared" si="163"/>
        <v>0.11086986972965401</v>
      </c>
      <c r="E25" s="3">
        <f t="shared" si="163"/>
        <v>0.10721496836720959</v>
      </c>
      <c r="F25" s="3">
        <f t="shared" si="163"/>
        <v>0.10361194721000232</v>
      </c>
      <c r="G25" s="3">
        <f t="shared" si="163"/>
        <v>6.9941387455165774E-2</v>
      </c>
      <c r="H25" s="3">
        <f t="shared" si="163"/>
        <v>7.7091254752851709E-2</v>
      </c>
      <c r="I25" s="3">
        <f t="shared" si="163"/>
        <v>8.2608328406115386E-2</v>
      </c>
      <c r="J25" s="3">
        <f t="shared" si="163"/>
        <v>0.12676965446017471</v>
      </c>
      <c r="K25" s="3">
        <f t="shared" ref="K25" si="164">+K11/K$8</f>
        <v>0.1209603630640852</v>
      </c>
      <c r="L25" s="3">
        <f t="shared" ref="L25:P25" si="165">+L11/L$8</f>
        <v>0.1</v>
      </c>
      <c r="M25" s="3">
        <f t="shared" si="165"/>
        <v>0.08</v>
      </c>
      <c r="N25" s="3">
        <f t="shared" si="165"/>
        <v>0.08</v>
      </c>
      <c r="O25" s="3">
        <f t="shared" si="165"/>
        <v>7.8399999999999997E-2</v>
      </c>
      <c r="P25" s="3">
        <f t="shared" si="165"/>
        <v>0.1</v>
      </c>
      <c r="Q25" s="3"/>
      <c r="S25" s="3">
        <f t="shared" ref="S25:W25" si="166">+S11/S$8</f>
        <v>7.4242196071682115E-2</v>
      </c>
      <c r="T25" s="3">
        <f t="shared" si="166"/>
        <v>0.18065841490151396</v>
      </c>
      <c r="U25" s="3">
        <f t="shared" si="166"/>
        <v>9.4755532458533631E-2</v>
      </c>
      <c r="V25" s="3">
        <f t="shared" si="166"/>
        <v>0.10242955535721057</v>
      </c>
      <c r="W25" s="3">
        <f t="shared" si="166"/>
        <v>8.5265001454822173E-2</v>
      </c>
      <c r="X25" s="3">
        <f t="shared" ref="X25:AO25" si="167">+X11/X$8</f>
        <v>8.2757207294386223E-2</v>
      </c>
      <c r="Y25" s="3">
        <f t="shared" si="167"/>
        <v>8.0323171785727801E-2</v>
      </c>
      <c r="Z25" s="3">
        <f t="shared" si="167"/>
        <v>7.7960725556735791E-2</v>
      </c>
      <c r="AA25" s="3">
        <f t="shared" si="167"/>
        <v>7.7181118301168444E-2</v>
      </c>
      <c r="AB25" s="3">
        <f t="shared" si="167"/>
        <v>7.6409307118156744E-2</v>
      </c>
      <c r="AC25" s="3">
        <f t="shared" si="167"/>
        <v>7.564521404697519E-2</v>
      </c>
      <c r="AD25" s="3">
        <f t="shared" si="167"/>
        <v>7.4888761906505438E-2</v>
      </c>
      <c r="AE25" s="3">
        <f t="shared" si="167"/>
        <v>7.4139874287440358E-2</v>
      </c>
      <c r="AF25" s="3">
        <f t="shared" si="167"/>
        <v>7.3398475544565966E-2</v>
      </c>
      <c r="AG25" s="3">
        <f t="shared" si="167"/>
        <v>7.2664490789120309E-2</v>
      </c>
      <c r="AH25" s="3">
        <f t="shared" si="167"/>
        <v>7.1937845881229118E-2</v>
      </c>
      <c r="AI25" s="3">
        <f t="shared" si="167"/>
        <v>7.1218467422416817E-2</v>
      </c>
      <c r="AJ25" s="3">
        <f t="shared" si="167"/>
        <v>7.050628274819265E-2</v>
      </c>
      <c r="AK25" s="3">
        <f t="shared" si="167"/>
        <v>6.9801219920710714E-2</v>
      </c>
      <c r="AL25" s="3">
        <f t="shared" si="167"/>
        <v>6.9103207721503607E-2</v>
      </c>
      <c r="AM25" s="3">
        <f t="shared" si="167"/>
        <v>6.8412175644288559E-2</v>
      </c>
      <c r="AN25" s="3">
        <f t="shared" si="167"/>
        <v>6.7728053887845668E-2</v>
      </c>
      <c r="AO25" s="3">
        <f t="shared" si="167"/>
        <v>6.705077334896721E-2</v>
      </c>
    </row>
    <row r="26" spans="2:105" x14ac:dyDescent="0.2">
      <c r="B26" t="s">
        <v>34</v>
      </c>
      <c r="C26" s="3">
        <f t="shared" ref="C26:L26" si="168">+C16/C15</f>
        <v>0.19849492856363835</v>
      </c>
      <c r="D26" s="3">
        <f t="shared" si="168"/>
        <v>0.16362395495649207</v>
      </c>
      <c r="E26" s="3">
        <f t="shared" si="168"/>
        <v>0.15543956940140272</v>
      </c>
      <c r="F26" s="3">
        <f t="shared" si="168"/>
        <v>3.5288331488995447E-2</v>
      </c>
      <c r="G26" s="3">
        <f t="shared" si="168"/>
        <v>0.14063577173496744</v>
      </c>
      <c r="H26" s="3">
        <f t="shared" si="168"/>
        <v>0.17438928975049986</v>
      </c>
      <c r="I26" s="3">
        <f t="shared" si="168"/>
        <v>0.16934388236234316</v>
      </c>
      <c r="J26" s="3">
        <f t="shared" si="168"/>
        <v>0.12976810222432561</v>
      </c>
      <c r="K26" s="3">
        <f t="shared" ref="K26" si="169">+K16/K15</f>
        <v>0.19028499448905684</v>
      </c>
      <c r="L26" s="3">
        <f t="shared" si="168"/>
        <v>0.16399999999999998</v>
      </c>
      <c r="M26" s="3">
        <f t="shared" ref="M26:P26" si="170">+M16/M15</f>
        <v>0.16400000000000001</v>
      </c>
      <c r="N26" s="3">
        <f t="shared" si="170"/>
        <v>0.16400000000000001</v>
      </c>
      <c r="O26" s="3">
        <f t="shared" si="170"/>
        <v>0.16400000000000001</v>
      </c>
      <c r="P26" s="3">
        <f t="shared" si="170"/>
        <v>0.16399999999999998</v>
      </c>
      <c r="S26" s="3">
        <f t="shared" ref="S26:W26" si="171">+S16/S15</f>
        <v>0.12811009029612397</v>
      </c>
      <c r="T26" s="3">
        <f t="shared" si="171"/>
        <v>0.25499758181525067</v>
      </c>
      <c r="U26" s="3">
        <f t="shared" si="171"/>
        <v>0.12185051235684147</v>
      </c>
      <c r="V26" s="3">
        <f t="shared" si="171"/>
        <v>0.16663286286737947</v>
      </c>
      <c r="W26" s="3">
        <f t="shared" si="171"/>
        <v>0.16400000000000001</v>
      </c>
      <c r="X26" s="3">
        <f t="shared" ref="X26:AO26" si="172">+X16/X15</f>
        <v>0.12</v>
      </c>
      <c r="Y26" s="3">
        <f t="shared" si="172"/>
        <v>0.12000000000000001</v>
      </c>
      <c r="Z26" s="3">
        <f t="shared" si="172"/>
        <v>0.12000000000000001</v>
      </c>
      <c r="AA26" s="3">
        <f t="shared" si="172"/>
        <v>0.12000000000000001</v>
      </c>
      <c r="AB26" s="3">
        <f t="shared" si="172"/>
        <v>0.12</v>
      </c>
      <c r="AC26" s="3">
        <f t="shared" si="172"/>
        <v>0.12</v>
      </c>
      <c r="AD26" s="3">
        <f t="shared" si="172"/>
        <v>0.12</v>
      </c>
      <c r="AE26" s="3">
        <f t="shared" si="172"/>
        <v>0.12</v>
      </c>
      <c r="AF26" s="3">
        <f t="shared" si="172"/>
        <v>0.11999999999999998</v>
      </c>
      <c r="AG26" s="3">
        <f t="shared" si="172"/>
        <v>0.12</v>
      </c>
      <c r="AH26" s="3">
        <f t="shared" si="172"/>
        <v>0.12</v>
      </c>
      <c r="AI26" s="3">
        <f t="shared" si="172"/>
        <v>0.12</v>
      </c>
      <c r="AJ26" s="3">
        <f t="shared" si="172"/>
        <v>0.11999999999999998</v>
      </c>
      <c r="AK26" s="3">
        <f t="shared" si="172"/>
        <v>0.11999999999999998</v>
      </c>
      <c r="AL26" s="3">
        <f t="shared" si="172"/>
        <v>0.12</v>
      </c>
      <c r="AM26" s="3">
        <f t="shared" si="172"/>
        <v>0.11999999999999998</v>
      </c>
      <c r="AN26" s="3">
        <f t="shared" si="172"/>
        <v>0.12</v>
      </c>
      <c r="AO26" s="3">
        <f t="shared" si="172"/>
        <v>0.12000000000000001</v>
      </c>
    </row>
    <row r="28" spans="2:105" x14ac:dyDescent="0.2">
      <c r="B28" t="s">
        <v>35</v>
      </c>
      <c r="G28" s="3">
        <f>+G6/C6-1</f>
        <v>0.33156247035385644</v>
      </c>
      <c r="H28" s="3">
        <f>+H6/D6-1</f>
        <v>0.47550318543158365</v>
      </c>
      <c r="I28" s="3">
        <f>+I6/E6-1</f>
        <v>0.5560014983678494</v>
      </c>
      <c r="J28" s="3">
        <f>+J6/F6-1</f>
        <v>0.35118770377270603</v>
      </c>
      <c r="K28" s="3">
        <f>+K6/G6-1</f>
        <v>0.19945141065830718</v>
      </c>
      <c r="L28" s="3">
        <f>+L6/G6-1</f>
        <v>0.27400000000000002</v>
      </c>
      <c r="M28" s="3">
        <f>+M6/H6-1</f>
        <v>0.20255552481754635</v>
      </c>
      <c r="N28" s="3">
        <f>+N6/I6-1</f>
        <v>0.21225471392509565</v>
      </c>
      <c r="O28" s="3">
        <f>+O6/J6-1</f>
        <v>0.25636632704485396</v>
      </c>
      <c r="P28" s="3">
        <f t="shared" ref="P28" si="173">+P6/L6-1</f>
        <v>0.14140364800000027</v>
      </c>
      <c r="T28" s="3">
        <f t="shared" ref="T28" si="174">+T6/S6-1</f>
        <v>0.26610910132884413</v>
      </c>
      <c r="U28" s="3">
        <f>+U6/T6-1</f>
        <v>0.21596390228722573</v>
      </c>
      <c r="V28" s="3">
        <f>+V6/U6-1</f>
        <v>0.78785235851800151</v>
      </c>
      <c r="W28" s="3">
        <f>+W6/V6-1</f>
        <v>-6.3138187581321392E-2</v>
      </c>
      <c r="X28" s="3">
        <f t="shared" ref="X28:AO28" si="175">+X6/W6-1</f>
        <v>2.0000000000000018E-2</v>
      </c>
      <c r="Y28" s="3">
        <f t="shared" si="175"/>
        <v>2.0000000000000018E-2</v>
      </c>
      <c r="Z28" s="3">
        <f t="shared" si="175"/>
        <v>2.0000000000000018E-2</v>
      </c>
      <c r="AA28" s="3">
        <f t="shared" si="175"/>
        <v>2.0000000000000018E-2</v>
      </c>
      <c r="AB28" s="3">
        <f t="shared" si="175"/>
        <v>2.0000000000000018E-2</v>
      </c>
      <c r="AC28" s="3">
        <f t="shared" si="175"/>
        <v>2.0000000000000018E-2</v>
      </c>
      <c r="AD28" s="3">
        <f t="shared" si="175"/>
        <v>2.0000000000000018E-2</v>
      </c>
      <c r="AE28" s="3">
        <f t="shared" si="175"/>
        <v>2.0000000000000018E-2</v>
      </c>
      <c r="AF28" s="3">
        <f t="shared" si="175"/>
        <v>2.0000000000000018E-2</v>
      </c>
      <c r="AG28" s="3">
        <f t="shared" si="175"/>
        <v>2.0000000000000018E-2</v>
      </c>
      <c r="AH28" s="3">
        <f t="shared" si="175"/>
        <v>2.0000000000000018E-2</v>
      </c>
      <c r="AI28" s="3">
        <f t="shared" si="175"/>
        <v>2.0000000000000018E-2</v>
      </c>
      <c r="AJ28" s="3">
        <f t="shared" si="175"/>
        <v>2.0000000000000018E-2</v>
      </c>
      <c r="AK28" s="3">
        <f t="shared" si="175"/>
        <v>2.0000000000000018E-2</v>
      </c>
      <c r="AL28" s="3">
        <f t="shared" si="175"/>
        <v>2.0000000000000018E-2</v>
      </c>
      <c r="AM28" s="3">
        <f t="shared" si="175"/>
        <v>2.0000000000000018E-2</v>
      </c>
      <c r="AN28" s="3">
        <f t="shared" si="175"/>
        <v>2.0000000000000018E-2</v>
      </c>
      <c r="AO28" s="3">
        <f t="shared" si="175"/>
        <v>2.0000000000000018E-2</v>
      </c>
    </row>
    <row r="29" spans="2:105" x14ac:dyDescent="0.2">
      <c r="B29" t="s">
        <v>95</v>
      </c>
      <c r="G29" s="3">
        <f t="shared" ref="G29:I29" si="176">+G9/C9-1</f>
        <v>0.34330668042300738</v>
      </c>
      <c r="H29" s="3">
        <f t="shared" si="176"/>
        <v>0.29439601494396017</v>
      </c>
      <c r="I29" s="3">
        <f t="shared" si="176"/>
        <v>0.36620349619004933</v>
      </c>
      <c r="J29" s="3">
        <f>+J9/F9-1</f>
        <v>0.32605500734830994</v>
      </c>
      <c r="K29" s="3">
        <f>+K9/G9-1</f>
        <v>0.35291858678955457</v>
      </c>
      <c r="L29" s="3">
        <f t="shared" ref="L29:O31" si="177">+L9/G9-1</f>
        <v>0.64809806451612939</v>
      </c>
      <c r="M29" s="3">
        <f t="shared" si="177"/>
        <v>0.61811428651298872</v>
      </c>
      <c r="N29" s="3">
        <f t="shared" si="177"/>
        <v>0.66529434567559109</v>
      </c>
      <c r="O29" s="3">
        <f t="shared" si="177"/>
        <v>0.45188604913377395</v>
      </c>
      <c r="P29" s="3">
        <f t="shared" ref="P29:P31" si="178">+P9/L9-1</f>
        <v>0.21749722453333353</v>
      </c>
      <c r="T29" s="3">
        <f>+T10/S10-1</f>
        <v>0.25873056334437927</v>
      </c>
      <c r="U29" s="3">
        <f>+U10/T10-1</f>
        <v>0.17365330093155129</v>
      </c>
      <c r="V29" s="3">
        <f t="shared" ref="V29:W29" si="179">+V10/U10-1</f>
        <v>0.63116788956949366</v>
      </c>
      <c r="W29" s="3">
        <f t="shared" si="179"/>
        <v>0.13153554308546056</v>
      </c>
      <c r="X29" s="3">
        <f t="shared" ref="X29:AO29" si="180">+X10/W10-1</f>
        <v>1.0000000000000009E-2</v>
      </c>
      <c r="Y29" s="3">
        <f t="shared" si="180"/>
        <v>1.0000000000000009E-2</v>
      </c>
      <c r="Z29" s="3">
        <f t="shared" si="180"/>
        <v>1.0000000000000009E-2</v>
      </c>
      <c r="AA29" s="3">
        <f t="shared" si="180"/>
        <v>-1.0000000000000009E-2</v>
      </c>
      <c r="AB29" s="3">
        <f t="shared" si="180"/>
        <v>-1.000000000000012E-2</v>
      </c>
      <c r="AC29" s="3">
        <f t="shared" si="180"/>
        <v>-9.9999999999998979E-3</v>
      </c>
      <c r="AD29" s="3">
        <f t="shared" si="180"/>
        <v>1.0000000000000009E-2</v>
      </c>
      <c r="AE29" s="3">
        <f t="shared" si="180"/>
        <v>1.0000000000000009E-2</v>
      </c>
      <c r="AF29" s="3">
        <f t="shared" si="180"/>
        <v>1.0000000000000009E-2</v>
      </c>
      <c r="AG29" s="3">
        <f t="shared" si="180"/>
        <v>1.0000000000000009E-2</v>
      </c>
      <c r="AH29" s="3">
        <f t="shared" si="180"/>
        <v>1.0000000000000009E-2</v>
      </c>
      <c r="AI29" s="3">
        <f t="shared" si="180"/>
        <v>1.0000000000000009E-2</v>
      </c>
      <c r="AJ29" s="3">
        <f t="shared" si="180"/>
        <v>1.0000000000000009E-2</v>
      </c>
      <c r="AK29" s="3">
        <f t="shared" si="180"/>
        <v>1.0000000000000009E-2</v>
      </c>
      <c r="AL29" s="3">
        <f t="shared" si="180"/>
        <v>1.0000000000000009E-2</v>
      </c>
      <c r="AM29" s="3">
        <f t="shared" si="180"/>
        <v>1.0000000000000009E-2</v>
      </c>
      <c r="AN29" s="3">
        <f t="shared" si="180"/>
        <v>1.0000000000000009E-2</v>
      </c>
      <c r="AO29" s="3">
        <f t="shared" si="180"/>
        <v>1.0000000000000009E-2</v>
      </c>
    </row>
    <row r="30" spans="2:105" x14ac:dyDescent="0.2">
      <c r="B30" t="s">
        <v>96</v>
      </c>
      <c r="G30" s="3">
        <f>+G10/C10-1</f>
        <v>8.393919365499003E-2</v>
      </c>
      <c r="H30" s="3">
        <f t="shared" ref="H30:H31" si="181">+H10/D10-1</f>
        <v>2.0093290276282705E-2</v>
      </c>
      <c r="I30" s="3">
        <f t="shared" ref="I30:K31" si="182">+I10/E10-1</f>
        <v>0.1475352112676056</v>
      </c>
      <c r="J30" s="3">
        <f t="shared" si="182"/>
        <v>0.32463660081997769</v>
      </c>
      <c r="K30" s="3">
        <f t="shared" si="182"/>
        <v>0.33749999999999991</v>
      </c>
      <c r="L30" s="3">
        <f t="shared" si="177"/>
        <v>0.48288628292682967</v>
      </c>
      <c r="M30" s="3">
        <f t="shared" si="177"/>
        <v>0.50552337919099566</v>
      </c>
      <c r="N30" s="3">
        <f t="shared" si="177"/>
        <v>0.61804542970030107</v>
      </c>
      <c r="O30" s="3">
        <f t="shared" si="177"/>
        <v>0.64084128970495047</v>
      </c>
      <c r="P30" s="3">
        <f t="shared" si="178"/>
        <v>0.23540159548235318</v>
      </c>
      <c r="T30" s="3">
        <f>+T11/S11-1</f>
        <v>2.032454361054767</v>
      </c>
      <c r="U30" s="3">
        <f>+U11/T11-1</f>
        <v>-0.37276636407071184</v>
      </c>
      <c r="V30" s="3">
        <f>+V11/U11-1</f>
        <v>0.93328736136502144</v>
      </c>
      <c r="W30" s="3">
        <f>+W11/V11-1</f>
        <v>-0.22602904549671576</v>
      </c>
      <c r="X30" s="3">
        <f t="shared" ref="X30:AO30" si="183">+X11/W11-1</f>
        <v>-1.0000000000000009E-2</v>
      </c>
      <c r="Y30" s="3">
        <f t="shared" si="183"/>
        <v>-1.0000000000000009E-2</v>
      </c>
      <c r="Z30" s="3">
        <f t="shared" si="183"/>
        <v>-9.9999999999998979E-3</v>
      </c>
      <c r="AA30" s="3">
        <f t="shared" si="183"/>
        <v>9.8000000000000309E-3</v>
      </c>
      <c r="AB30" s="3">
        <f t="shared" si="183"/>
        <v>9.8000000000000309E-3</v>
      </c>
      <c r="AC30" s="3">
        <f t="shared" si="183"/>
        <v>9.8000000000000309E-3</v>
      </c>
      <c r="AD30" s="3">
        <f t="shared" si="183"/>
        <v>9.8000000000000309E-3</v>
      </c>
      <c r="AE30" s="3">
        <f t="shared" si="183"/>
        <v>9.8000000000000309E-3</v>
      </c>
      <c r="AF30" s="3">
        <f t="shared" si="183"/>
        <v>9.8000000000000309E-3</v>
      </c>
      <c r="AG30" s="3">
        <f t="shared" si="183"/>
        <v>9.8000000000000309E-3</v>
      </c>
      <c r="AH30" s="3">
        <f t="shared" si="183"/>
        <v>9.8000000000000309E-3</v>
      </c>
      <c r="AI30" s="3">
        <f t="shared" si="183"/>
        <v>9.8000000000000309E-3</v>
      </c>
      <c r="AJ30" s="3">
        <f t="shared" si="183"/>
        <v>9.8000000000000309E-3</v>
      </c>
      <c r="AK30" s="3">
        <f t="shared" si="183"/>
        <v>9.8000000000000309E-3</v>
      </c>
      <c r="AL30" s="3">
        <f t="shared" si="183"/>
        <v>9.8000000000000309E-3</v>
      </c>
      <c r="AM30" s="3">
        <f t="shared" si="183"/>
        <v>9.8000000000000309E-3</v>
      </c>
      <c r="AN30" s="3">
        <f t="shared" si="183"/>
        <v>9.8000000000000309E-3</v>
      </c>
      <c r="AO30" s="3">
        <f t="shared" si="183"/>
        <v>9.8000000000000309E-3</v>
      </c>
    </row>
    <row r="31" spans="2:105" x14ac:dyDescent="0.2">
      <c r="B31" t="s">
        <v>97</v>
      </c>
      <c r="G31" s="3">
        <f>+G11/C11-1</f>
        <v>-0.12575177692728268</v>
      </c>
      <c r="H31" s="3">
        <f t="shared" si="181"/>
        <v>2.4636765634870494E-2</v>
      </c>
      <c r="I31" s="3">
        <f t="shared" si="182"/>
        <v>0.22787193973634645</v>
      </c>
      <c r="J31" s="3">
        <f t="shared" ref="J31" si="184">+J11/F11-1</f>
        <v>0.64581005586592188</v>
      </c>
      <c r="K31" s="3">
        <f>+K11/G11-1</f>
        <v>1.0669168230143842</v>
      </c>
      <c r="L31" s="3">
        <f t="shared" si="177"/>
        <v>0.78930471544715486</v>
      </c>
      <c r="M31" s="3">
        <f t="shared" si="177"/>
        <v>0.24180836064118383</v>
      </c>
      <c r="N31" s="3">
        <f t="shared" si="177"/>
        <v>0.15333268930224997</v>
      </c>
      <c r="O31" s="3">
        <f t="shared" si="177"/>
        <v>-0.22404359202455326</v>
      </c>
      <c r="P31" s="3">
        <f t="shared" si="178"/>
        <v>0.14140364800000027</v>
      </c>
      <c r="T31" s="3">
        <f t="shared" ref="T31:W31" si="185">+T12/S12-1</f>
        <v>0.5735280482151135</v>
      </c>
      <c r="U31" s="3">
        <f t="shared" si="185"/>
        <v>7.840075425002202E-2</v>
      </c>
      <c r="V31" s="3">
        <f t="shared" si="185"/>
        <v>0.77135839484181212</v>
      </c>
      <c r="W31" s="3">
        <f t="shared" si="185"/>
        <v>7.0355599303117078E-2</v>
      </c>
      <c r="X31" s="3">
        <f t="shared" ref="X31:AO31" si="186">+X12/W12-1</f>
        <v>9.3701371955894341E-3</v>
      </c>
      <c r="Y31" s="3">
        <f t="shared" si="186"/>
        <v>9.4345521218497375E-3</v>
      </c>
      <c r="Z31" s="3">
        <f t="shared" si="186"/>
        <v>9.498002961745744E-3</v>
      </c>
      <c r="AA31" s="3">
        <f t="shared" si="186"/>
        <v>6.0280275984554432E-3</v>
      </c>
      <c r="AB31" s="3">
        <f t="shared" si="186"/>
        <v>6.1440006072221998E-3</v>
      </c>
      <c r="AC31" s="3">
        <f t="shared" si="186"/>
        <v>6.25897692633548E-3</v>
      </c>
      <c r="AD31" s="3">
        <f t="shared" si="186"/>
        <v>1.2256416684194305E-2</v>
      </c>
      <c r="AE31" s="3">
        <f t="shared" si="186"/>
        <v>1.2260415303518624E-2</v>
      </c>
      <c r="AF31" s="3">
        <f t="shared" si="186"/>
        <v>1.2264411593666091E-2</v>
      </c>
      <c r="AG31" s="3">
        <f t="shared" si="186"/>
        <v>1.2268405524509696E-2</v>
      </c>
      <c r="AH31" s="3">
        <f t="shared" si="186"/>
        <v>1.2272397065995699E-2</v>
      </c>
      <c r="AI31" s="3">
        <f t="shared" si="186"/>
        <v>1.2276386188145638E-2</v>
      </c>
      <c r="AJ31" s="3">
        <f t="shared" si="186"/>
        <v>1.2280372861055433E-2</v>
      </c>
      <c r="AK31" s="3">
        <f t="shared" si="186"/>
        <v>1.228435705489761E-2</v>
      </c>
      <c r="AL31" s="3">
        <f t="shared" si="186"/>
        <v>1.2288338739921079E-2</v>
      </c>
      <c r="AM31" s="3">
        <f t="shared" si="186"/>
        <v>1.2292317886453352E-2</v>
      </c>
      <c r="AN31" s="3">
        <f t="shared" si="186"/>
        <v>1.2296294464899438E-2</v>
      </c>
      <c r="AO31" s="3">
        <f t="shared" si="186"/>
        <v>1.2300268445744944E-2</v>
      </c>
    </row>
    <row r="33" spans="2:21" x14ac:dyDescent="0.2">
      <c r="B33" t="s">
        <v>83</v>
      </c>
      <c r="D33" s="3">
        <f t="shared" ref="D33:I34" si="187">+D3/C3-1</f>
        <v>4.2168674698795261E-2</v>
      </c>
      <c r="E33" s="3">
        <f t="shared" si="187"/>
        <v>3.4682080924855585E-2</v>
      </c>
      <c r="F33" s="3">
        <f t="shared" si="187"/>
        <v>1.6759776536312776E-2</v>
      </c>
      <c r="G33" s="3">
        <f t="shared" si="187"/>
        <v>1.098901098901095E-2</v>
      </c>
      <c r="H33" s="3">
        <f t="shared" si="187"/>
        <v>2.1739130434782705E-2</v>
      </c>
      <c r="I33" s="3">
        <f t="shared" si="187"/>
        <v>1.5957446808510634E-2</v>
      </c>
      <c r="J33" s="3">
        <f>+J3/I3-1</f>
        <v>1.0471204188481575E-2</v>
      </c>
      <c r="K33" s="3">
        <f>+K3/J3-1</f>
        <v>5.0000000000000044E-2</v>
      </c>
      <c r="L33" s="3">
        <f>+L3/J3-1</f>
        <v>1.0000000000000009E-2</v>
      </c>
      <c r="M33" s="3">
        <f t="shared" ref="M33:P33" si="188">+M3/L3-1</f>
        <v>1.0000000000000009E-2</v>
      </c>
      <c r="N33" s="3">
        <f t="shared" si="188"/>
        <v>1.0000000000000009E-2</v>
      </c>
      <c r="O33" s="3">
        <f t="shared" si="188"/>
        <v>1.0000000000000009E-2</v>
      </c>
      <c r="P33" s="3">
        <f t="shared" si="188"/>
        <v>1.0000000000000009E-2</v>
      </c>
    </row>
    <row r="34" spans="2:21" x14ac:dyDescent="0.2">
      <c r="B34" t="s">
        <v>110</v>
      </c>
      <c r="D34" s="3">
        <f>+D4/C4-1</f>
        <v>-0.19270857038823896</v>
      </c>
      <c r="E34" s="3">
        <f t="shared" si="187"/>
        <v>1.8245481858930157E-2</v>
      </c>
      <c r="F34" s="3">
        <f t="shared" si="187"/>
        <v>0.12998870343548474</v>
      </c>
      <c r="G34" s="3">
        <f>+G4/F4-1</f>
        <v>0.29328689171948708</v>
      </c>
      <c r="H34" s="3">
        <f t="shared" si="187"/>
        <v>-8.7554495128029486E-2</v>
      </c>
      <c r="I34" s="3">
        <f t="shared" si="187"/>
        <v>9.3588062883240175E-2</v>
      </c>
      <c r="J34" s="3">
        <f>+J4/I4-1</f>
        <v>-1.2643043011934973E-2</v>
      </c>
      <c r="K34" s="3">
        <f>+K4/J4-1</f>
        <v>0.1053987951609463</v>
      </c>
      <c r="L34" s="3">
        <f>+L4/J4-1</f>
        <v>0.22060088532121069</v>
      </c>
      <c r="M34" s="3">
        <f t="shared" ref="M34:P34" si="189">+M4/L4-1</f>
        <v>-0.12871287128712872</v>
      </c>
      <c r="N34" s="3">
        <f t="shared" si="189"/>
        <v>0.10891089108910879</v>
      </c>
      <c r="O34" s="3">
        <f t="shared" si="189"/>
        <v>2.3762376237624006E-2</v>
      </c>
      <c r="P34" s="3">
        <f t="shared" si="189"/>
        <v>0.10891089108910879</v>
      </c>
    </row>
    <row r="35" spans="2:21" x14ac:dyDescent="0.2">
      <c r="Q35" t="s">
        <v>98</v>
      </c>
      <c r="R35" s="3">
        <v>0.01</v>
      </c>
    </row>
    <row r="36" spans="2:21" x14ac:dyDescent="0.2">
      <c r="R36" s="3"/>
    </row>
    <row r="37" spans="2:21" s="6" customFormat="1" ht="15" x14ac:dyDescent="0.25">
      <c r="B37" s="6" t="s">
        <v>137</v>
      </c>
      <c r="H37" s="7">
        <f>+H38-H48</f>
        <v>69555</v>
      </c>
      <c r="I37" s="7">
        <f>+I38-I48</f>
        <v>69524</v>
      </c>
      <c r="J37" s="7">
        <f>+J38-J48</f>
        <v>63924</v>
      </c>
      <c r="K37" s="7">
        <f>+K38-K48</f>
        <v>53721</v>
      </c>
      <c r="L37" s="1">
        <f>+J37+L16</f>
        <v>66047.972598848006</v>
      </c>
      <c r="M37" s="1">
        <f t="shared" ref="M37" si="190">+L37+M16</f>
        <v>67765.693582514694</v>
      </c>
      <c r="N37" s="1">
        <f t="shared" ref="N37" si="191">+M37+N16</f>
        <v>69490.681847266125</v>
      </c>
      <c r="O37" s="1">
        <f t="shared" ref="O37" si="192">+N37+O16</f>
        <v>71437.381512542372</v>
      </c>
      <c r="P37" s="1">
        <f>+O37+P16</f>
        <v>73558.236917954608</v>
      </c>
      <c r="Q37" s="6" t="s">
        <v>99</v>
      </c>
      <c r="R37" s="10">
        <v>-1.4E-2</v>
      </c>
    </row>
    <row r="38" spans="2:21" x14ac:dyDescent="0.2">
      <c r="B38" t="s">
        <v>3</v>
      </c>
      <c r="H38" s="1">
        <f>19513+44706+6342</f>
        <v>70561</v>
      </c>
      <c r="I38" s="1">
        <f>16186+47894+6393</f>
        <v>70473</v>
      </c>
      <c r="J38" s="1">
        <f>14496+43579+6758</f>
        <v>64833</v>
      </c>
      <c r="K38" s="1">
        <f>16601+31397+6775</f>
        <v>54773</v>
      </c>
      <c r="L38" s="1"/>
      <c r="M38" s="1"/>
      <c r="N38" s="1"/>
      <c r="O38" s="1"/>
      <c r="P38" s="1"/>
      <c r="Q38" t="s">
        <v>100</v>
      </c>
      <c r="R38" s="8">
        <v>5.0999999999999997E-2</v>
      </c>
      <c r="T38" s="1">
        <f>19079+35776+86</f>
        <v>54941</v>
      </c>
      <c r="U38" s="1">
        <f>17576+44378+6234</f>
        <v>68188</v>
      </c>
    </row>
    <row r="39" spans="2:21" x14ac:dyDescent="0.2">
      <c r="B39" t="s">
        <v>36</v>
      </c>
      <c r="H39" s="1">
        <v>10276</v>
      </c>
      <c r="I39" s="1">
        <v>11698</v>
      </c>
      <c r="J39" s="1">
        <v>12088</v>
      </c>
      <c r="K39" s="1">
        <v>14039</v>
      </c>
      <c r="Q39" t="s">
        <v>101</v>
      </c>
      <c r="R39" s="11">
        <f>+NPV(R38,V17:DA17)</f>
        <v>1035110.8255956392</v>
      </c>
      <c r="T39" s="1">
        <v>9518</v>
      </c>
      <c r="U39" s="1">
        <v>11335</v>
      </c>
    </row>
    <row r="40" spans="2:21" x14ac:dyDescent="0.2">
      <c r="B40" t="s">
        <v>37</v>
      </c>
      <c r="H40" s="1">
        <v>2827</v>
      </c>
      <c r="I40" s="1">
        <v>4919</v>
      </c>
      <c r="J40" s="1">
        <v>5258</v>
      </c>
      <c r="K40" s="1">
        <v>4629</v>
      </c>
      <c r="Q40" t="s">
        <v>102</v>
      </c>
      <c r="R40" s="12">
        <f>+R39+J38</f>
        <v>1099943.8255956392</v>
      </c>
      <c r="T40" s="1">
        <v>1852</v>
      </c>
      <c r="U40" s="1">
        <v>2381</v>
      </c>
    </row>
    <row r="41" spans="2:21" x14ac:dyDescent="0.2">
      <c r="B41" t="s">
        <v>38</v>
      </c>
      <c r="H41" s="1">
        <v>47720</v>
      </c>
      <c r="I41" s="1">
        <v>50909</v>
      </c>
      <c r="J41" s="1">
        <v>53726</v>
      </c>
      <c r="K41" s="1">
        <v>57809</v>
      </c>
      <c r="Q41" t="s">
        <v>103</v>
      </c>
      <c r="R41">
        <f>+R40/2782</f>
        <v>395.37880143624699</v>
      </c>
      <c r="T41" s="1">
        <v>35323</v>
      </c>
      <c r="U41" s="1">
        <v>45633</v>
      </c>
    </row>
    <row r="42" spans="2:21" x14ac:dyDescent="0.2">
      <c r="B42" t="s">
        <v>39</v>
      </c>
      <c r="H42" s="1">
        <v>10202</v>
      </c>
      <c r="I42" s="1">
        <v>10525</v>
      </c>
      <c r="J42" s="1">
        <v>11063</v>
      </c>
      <c r="K42" s="1">
        <v>12155</v>
      </c>
      <c r="Q42" t="s">
        <v>104</v>
      </c>
      <c r="R42">
        <v>327.68</v>
      </c>
      <c r="T42" s="1">
        <v>9460</v>
      </c>
      <c r="U42" s="1">
        <v>9348</v>
      </c>
    </row>
    <row r="43" spans="2:21" x14ac:dyDescent="0.2">
      <c r="B43" t="s">
        <v>40</v>
      </c>
      <c r="H43" s="1">
        <f>505+19056</f>
        <v>19561</v>
      </c>
      <c r="I43" s="1">
        <f>514+19219</f>
        <v>19733</v>
      </c>
      <c r="J43" s="1">
        <f>365+19065</f>
        <v>19430</v>
      </c>
      <c r="K43" s="1">
        <f>634+19197</f>
        <v>19831</v>
      </c>
      <c r="Q43" t="s">
        <v>105</v>
      </c>
      <c r="R43" s="3">
        <f>+R41/R42-1</f>
        <v>0.20660034617995304</v>
      </c>
      <c r="T43" s="1">
        <f>894+18715</f>
        <v>19609</v>
      </c>
      <c r="U43" s="1">
        <f>623+19050</f>
        <v>19673</v>
      </c>
    </row>
    <row r="44" spans="2:21" x14ac:dyDescent="0.2">
      <c r="B44" t="s">
        <v>41</v>
      </c>
      <c r="H44" s="1">
        <v>2376</v>
      </c>
      <c r="I44" s="1">
        <v>2352</v>
      </c>
      <c r="J44" s="1">
        <v>3187</v>
      </c>
      <c r="K44" s="1">
        <v>2751</v>
      </c>
      <c r="T44" s="1">
        <v>2673</v>
      </c>
      <c r="U44" s="1">
        <v>2758</v>
      </c>
    </row>
    <row r="45" spans="2:21" x14ac:dyDescent="0.2">
      <c r="B45" t="s">
        <v>42</v>
      </c>
      <c r="H45" s="1">
        <f>+SUM(H38:H44)</f>
        <v>163523</v>
      </c>
      <c r="I45" s="1">
        <f>+SUM(I38:I44)</f>
        <v>170609</v>
      </c>
      <c r="J45" s="1">
        <f>+SUM(J38:J44)</f>
        <v>169585</v>
      </c>
      <c r="K45" s="1">
        <f>+SUM(K38:K44)</f>
        <v>165987</v>
      </c>
      <c r="T45" s="1">
        <f>+SUM(T38:T44)</f>
        <v>133376</v>
      </c>
      <c r="U45" s="1">
        <f>+SUM(U38:U44)</f>
        <v>159316</v>
      </c>
    </row>
    <row r="47" spans="2:21" x14ac:dyDescent="0.2">
      <c r="B47" t="s">
        <v>43</v>
      </c>
      <c r="H47" s="1">
        <v>878</v>
      </c>
      <c r="I47" s="1">
        <v>973</v>
      </c>
      <c r="J47" s="1">
        <v>2195</v>
      </c>
      <c r="K47" s="1">
        <v>4083</v>
      </c>
      <c r="T47" s="1">
        <v>1363</v>
      </c>
      <c r="U47" s="1">
        <v>1331</v>
      </c>
    </row>
    <row r="48" spans="2:21" x14ac:dyDescent="0.2">
      <c r="B48" t="s">
        <v>44</v>
      </c>
      <c r="H48" s="1">
        <v>1006</v>
      </c>
      <c r="I48" s="1">
        <v>949</v>
      </c>
      <c r="J48" s="1">
        <v>909</v>
      </c>
      <c r="K48" s="1">
        <v>1052</v>
      </c>
      <c r="T48" s="1">
        <v>886</v>
      </c>
      <c r="U48" s="1">
        <v>1093</v>
      </c>
    </row>
    <row r="49" spans="2:21" x14ac:dyDescent="0.2">
      <c r="B49" t="s">
        <v>39</v>
      </c>
      <c r="H49" s="1">
        <v>1040</v>
      </c>
      <c r="I49" s="1">
        <v>1051</v>
      </c>
      <c r="J49" s="1">
        <v>1086</v>
      </c>
      <c r="K49" s="1">
        <v>1127</v>
      </c>
      <c r="T49" s="1">
        <v>800</v>
      </c>
      <c r="U49" s="1">
        <v>1023</v>
      </c>
    </row>
    <row r="50" spans="2:21" x14ac:dyDescent="0.2">
      <c r="B50" t="s">
        <v>45</v>
      </c>
      <c r="H50" s="1">
        <v>9411</v>
      </c>
      <c r="I50" s="1">
        <v>11510</v>
      </c>
      <c r="J50" s="1">
        <v>13158</v>
      </c>
      <c r="K50" s="1">
        <v>14312</v>
      </c>
      <c r="T50" s="1">
        <v>11735</v>
      </c>
      <c r="U50" s="1">
        <v>11152</v>
      </c>
    </row>
    <row r="51" spans="2:21" x14ac:dyDescent="0.2">
      <c r="B51" t="s">
        <v>46</v>
      </c>
      <c r="H51" s="1">
        <v>382</v>
      </c>
      <c r="I51" s="1">
        <v>391</v>
      </c>
      <c r="J51" s="1">
        <v>464</v>
      </c>
      <c r="K51" s="1">
        <v>561</v>
      </c>
      <c r="T51" s="1">
        <v>269</v>
      </c>
      <c r="U51" s="1">
        <v>382</v>
      </c>
    </row>
    <row r="52" spans="2:21" x14ac:dyDescent="0.2">
      <c r="B52" t="s">
        <v>47</v>
      </c>
      <c r="H52" s="1">
        <v>10574</v>
      </c>
      <c r="I52" s="1">
        <v>10956</v>
      </c>
      <c r="J52" s="1">
        <v>11554</v>
      </c>
      <c r="K52" s="1">
        <v>12746</v>
      </c>
      <c r="T52" s="1">
        <v>9524</v>
      </c>
      <c r="U52" s="1">
        <v>9631</v>
      </c>
    </row>
    <row r="53" spans="2:21" x14ac:dyDescent="0.2">
      <c r="B53" t="s">
        <v>48</v>
      </c>
      <c r="H53" s="1">
        <v>6575</v>
      </c>
      <c r="I53" s="1">
        <v>6552</v>
      </c>
      <c r="J53" s="1">
        <v>6859</v>
      </c>
      <c r="K53" s="1">
        <v>7227</v>
      </c>
      <c r="T53" s="1">
        <v>7745</v>
      </c>
      <c r="U53" s="1">
        <v>6414</v>
      </c>
    </row>
    <row r="54" spans="2:21" x14ac:dyDescent="0.2">
      <c r="B54" t="s">
        <v>49</v>
      </c>
      <c r="H54" s="1">
        <f>+SUM(H47:H53)</f>
        <v>29866</v>
      </c>
      <c r="I54" s="1">
        <f>+SUM(I47:I53)</f>
        <v>32382</v>
      </c>
      <c r="J54" s="1">
        <f>+SUM(J47:J53)</f>
        <v>36225</v>
      </c>
      <c r="K54" s="1">
        <f>+SUM(K47:K53)</f>
        <v>41108</v>
      </c>
      <c r="T54" s="1">
        <f>+SUM(T47:T53)</f>
        <v>32322</v>
      </c>
      <c r="U54" s="1">
        <f>+SUM(U47:U53)</f>
        <v>31026</v>
      </c>
    </row>
    <row r="56" spans="2:21" x14ac:dyDescent="0.2">
      <c r="B56" t="s">
        <v>50</v>
      </c>
      <c r="J56" s="1">
        <f>+J17</f>
        <v>9194</v>
      </c>
      <c r="K56" s="1"/>
    </row>
    <row r="57" spans="2:21" x14ac:dyDescent="0.2">
      <c r="B57" t="s">
        <v>51</v>
      </c>
      <c r="J57" s="1">
        <v>29085</v>
      </c>
      <c r="K57" s="1"/>
    </row>
    <row r="58" spans="2:21" x14ac:dyDescent="0.2">
      <c r="B58" t="s">
        <v>52</v>
      </c>
      <c r="J58" s="1">
        <v>5953</v>
      </c>
      <c r="K58" s="1"/>
    </row>
    <row r="59" spans="2:21" x14ac:dyDescent="0.2">
      <c r="B59" t="s">
        <v>53</v>
      </c>
      <c r="J59" s="1">
        <v>6757</v>
      </c>
      <c r="K59" s="1"/>
    </row>
    <row r="60" spans="2:21" x14ac:dyDescent="0.2">
      <c r="B60" t="s">
        <v>54</v>
      </c>
      <c r="J60" s="1">
        <v>-139</v>
      </c>
      <c r="K60" s="1"/>
    </row>
    <row r="61" spans="2:21" x14ac:dyDescent="0.2">
      <c r="B61" t="s">
        <v>55</v>
      </c>
      <c r="J61" s="1">
        <v>-161</v>
      </c>
      <c r="K61" s="1"/>
    </row>
    <row r="62" spans="2:21" x14ac:dyDescent="0.2">
      <c r="B62" t="s">
        <v>36</v>
      </c>
      <c r="J62" s="1">
        <v>-1072</v>
      </c>
      <c r="K62" s="1"/>
    </row>
    <row r="63" spans="2:21" x14ac:dyDescent="0.2">
      <c r="B63" t="s">
        <v>37</v>
      </c>
      <c r="J63" s="1">
        <v>-2566</v>
      </c>
      <c r="K63" s="1"/>
    </row>
    <row r="64" spans="2:21" x14ac:dyDescent="0.2">
      <c r="B64" t="s">
        <v>41</v>
      </c>
      <c r="J64" s="1">
        <v>-184</v>
      </c>
      <c r="K64" s="1"/>
    </row>
    <row r="65" spans="2:11" x14ac:dyDescent="0.2">
      <c r="B65" t="s">
        <v>43</v>
      </c>
      <c r="J65" s="1">
        <v>560</v>
      </c>
      <c r="K65" s="1"/>
    </row>
    <row r="66" spans="2:11" x14ac:dyDescent="0.2">
      <c r="B66" t="s">
        <v>44</v>
      </c>
      <c r="J66" s="1">
        <v>-163</v>
      </c>
      <c r="K66" s="1"/>
    </row>
    <row r="67" spans="2:11" x14ac:dyDescent="0.2">
      <c r="B67" t="s">
        <v>45</v>
      </c>
      <c r="J67" s="1">
        <v>895</v>
      </c>
      <c r="K67" s="1"/>
    </row>
    <row r="68" spans="2:11" x14ac:dyDescent="0.2">
      <c r="B68" t="s">
        <v>46</v>
      </c>
      <c r="J68" s="1">
        <v>87</v>
      </c>
      <c r="K68" s="1"/>
    </row>
    <row r="69" spans="2:11" x14ac:dyDescent="0.2">
      <c r="B69" t="s">
        <v>48</v>
      </c>
      <c r="J69" s="1">
        <v>527</v>
      </c>
      <c r="K69" s="1"/>
    </row>
    <row r="70" spans="2:11" s="6" customFormat="1" ht="15" x14ac:dyDescent="0.25">
      <c r="B70" s="6" t="s">
        <v>56</v>
      </c>
      <c r="J70" s="7">
        <f>+SUM(J57:J69)</f>
        <v>39579</v>
      </c>
      <c r="K70" s="7"/>
    </row>
    <row r="72" spans="2:11" x14ac:dyDescent="0.2">
      <c r="B72" t="s">
        <v>57</v>
      </c>
      <c r="J72" s="1">
        <v>-13198</v>
      </c>
      <c r="K72" s="1"/>
    </row>
    <row r="73" spans="2:11" x14ac:dyDescent="0.2">
      <c r="B73" t="s">
        <v>58</v>
      </c>
      <c r="J73" s="1">
        <v>-24314</v>
      </c>
      <c r="K73" s="1"/>
    </row>
    <row r="74" spans="2:11" x14ac:dyDescent="0.2">
      <c r="B74" t="s">
        <v>59</v>
      </c>
      <c r="J74" s="1">
        <v>15331</v>
      </c>
      <c r="K74" s="1"/>
    </row>
    <row r="75" spans="2:11" x14ac:dyDescent="0.2">
      <c r="B75" t="s">
        <v>60</v>
      </c>
      <c r="J75" s="1">
        <v>9318</v>
      </c>
      <c r="K75" s="1"/>
    </row>
    <row r="76" spans="2:11" x14ac:dyDescent="0.2">
      <c r="B76" t="s">
        <v>61</v>
      </c>
      <c r="J76" s="1">
        <v>-46</v>
      </c>
      <c r="K76" s="1"/>
    </row>
    <row r="77" spans="2:11" x14ac:dyDescent="0.2">
      <c r="B77" t="s">
        <v>62</v>
      </c>
      <c r="J77" s="1">
        <v>-330</v>
      </c>
      <c r="K77" s="1"/>
    </row>
    <row r="78" spans="2:11" x14ac:dyDescent="0.2">
      <c r="B78" t="s">
        <v>68</v>
      </c>
      <c r="J78" s="1">
        <v>-160</v>
      </c>
      <c r="K78" s="1"/>
    </row>
    <row r="79" spans="2:11" s="6" customFormat="1" ht="15" x14ac:dyDescent="0.25">
      <c r="B79" s="6" t="s">
        <v>63</v>
      </c>
      <c r="J79" s="7">
        <f>+SUM(J72:J78)</f>
        <v>-13399</v>
      </c>
      <c r="K79" s="7"/>
    </row>
    <row r="81" spans="2:11" x14ac:dyDescent="0.2">
      <c r="B81" t="s">
        <v>64</v>
      </c>
      <c r="J81" s="1">
        <v>-4007</v>
      </c>
      <c r="K81" s="1"/>
    </row>
    <row r="82" spans="2:11" x14ac:dyDescent="0.2">
      <c r="B82" t="s">
        <v>65</v>
      </c>
      <c r="J82" s="1">
        <v>-24476</v>
      </c>
      <c r="K82" s="1"/>
    </row>
    <row r="83" spans="2:11" x14ac:dyDescent="0.2">
      <c r="B83" t="s">
        <v>66</v>
      </c>
      <c r="J83" s="1">
        <v>-505</v>
      </c>
      <c r="K83" s="1"/>
    </row>
    <row r="84" spans="2:11" x14ac:dyDescent="0.2">
      <c r="B84" t="s">
        <v>67</v>
      </c>
      <c r="J84" s="1">
        <v>15</v>
      </c>
      <c r="K84" s="1"/>
    </row>
    <row r="85" spans="2:11" x14ac:dyDescent="0.2">
      <c r="B85" t="s">
        <v>55</v>
      </c>
      <c r="J85" s="1">
        <v>-13</v>
      </c>
      <c r="K85" s="1"/>
    </row>
    <row r="86" spans="2:11" s="6" customFormat="1" ht="15" x14ac:dyDescent="0.25">
      <c r="B86" s="6" t="s">
        <v>69</v>
      </c>
      <c r="J86" s="7">
        <f>+SUM(J81:J85)</f>
        <v>-28986</v>
      </c>
      <c r="K86" s="7"/>
    </row>
    <row r="87" spans="2:11" s="6" customFormat="1" ht="15" x14ac:dyDescent="0.25">
      <c r="B87" s="6" t="s">
        <v>70</v>
      </c>
      <c r="J87" s="7">
        <f>+J70+J79+J86</f>
        <v>-2806</v>
      </c>
      <c r="K87" s="7"/>
    </row>
  </sheetData>
  <hyperlinks>
    <hyperlink ref="A1" location="Main!A1" display="Main" xr:uid="{3AD39A0F-2B97-4B5A-ADA1-68D6F60F4962}"/>
  </hyperlink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74DA-4075-4B20-8227-3247DB151698}">
  <dimension ref="B3:L56"/>
  <sheetViews>
    <sheetView topLeftCell="A25" zoomScale="85" zoomScaleNormal="85" workbookViewId="0">
      <selection activeCell="H15" sqref="H15"/>
    </sheetView>
  </sheetViews>
  <sheetFormatPr defaultRowHeight="14.25" x14ac:dyDescent="0.2"/>
  <cols>
    <col min="3" max="3" width="9.125" bestFit="1" customWidth="1"/>
    <col min="4" max="4" width="9.875" bestFit="1" customWidth="1"/>
    <col min="7" max="7" width="18.125" bestFit="1" customWidth="1"/>
  </cols>
  <sheetData>
    <row r="3" spans="3:12" x14ac:dyDescent="0.2">
      <c r="C3" t="s">
        <v>91</v>
      </c>
      <c r="D3">
        <v>12.7</v>
      </c>
      <c r="E3">
        <v>10.252601156069364</v>
      </c>
      <c r="F3">
        <v>10.439664804469274</v>
      </c>
      <c r="G3">
        <v>11.796703296703297</v>
      </c>
      <c r="H3">
        <v>15.256521739130434</v>
      </c>
      <c r="I3">
        <v>13.920744680851064</v>
      </c>
      <c r="J3">
        <v>15.223560209424084</v>
      </c>
      <c r="K3">
        <v>15.031088082901555</v>
      </c>
      <c r="L3">
        <v>16.615346656797435</v>
      </c>
    </row>
    <row r="4" spans="3:12" x14ac:dyDescent="0.2">
      <c r="C4" t="s">
        <v>24</v>
      </c>
      <c r="D4" s="1">
        <v>3026</v>
      </c>
      <c r="E4" s="1">
        <v>2787</v>
      </c>
      <c r="F4" s="1">
        <v>2840</v>
      </c>
      <c r="G4" s="1">
        <v>2683</v>
      </c>
      <c r="H4" s="1">
        <v>3280</v>
      </c>
      <c r="I4" s="1">
        <v>2843</v>
      </c>
      <c r="J4" s="1">
        <v>3259</v>
      </c>
      <c r="K4" s="1">
        <v>3554</v>
      </c>
      <c r="L4" s="1">
        <v>4387</v>
      </c>
    </row>
    <row r="6" spans="3:12" x14ac:dyDescent="0.2">
      <c r="C6" t="s">
        <v>126</v>
      </c>
      <c r="D6" t="s">
        <v>125</v>
      </c>
    </row>
    <row r="7" spans="3:12" x14ac:dyDescent="0.2">
      <c r="C7" t="str" cm="1">
        <f t="array" ref="C7:C16">+TRANSPOSE(C3:L3)</f>
        <v>ARPU</v>
      </c>
      <c r="D7" t="str" cm="1">
        <f t="array" ref="D7:D16">+TRANSPOSE(C4:L4)</f>
        <v>S&amp;M</v>
      </c>
      <c r="F7" t="s">
        <v>128</v>
      </c>
    </row>
    <row r="8" spans="3:12" x14ac:dyDescent="0.2">
      <c r="C8" s="5">
        <v>12.7</v>
      </c>
      <c r="D8" s="1">
        <v>3026</v>
      </c>
      <c r="F8">
        <f t="shared" ref="F8:F16" si="0">+$C$43+$C$42*D8</f>
        <v>12.92661684839273</v>
      </c>
    </row>
    <row r="9" spans="3:12" x14ac:dyDescent="0.2">
      <c r="C9" s="5">
        <v>10.252601156069364</v>
      </c>
      <c r="D9" s="1">
        <v>2787</v>
      </c>
      <c r="F9">
        <f t="shared" si="0"/>
        <v>12.105349284319711</v>
      </c>
    </row>
    <row r="10" spans="3:12" x14ac:dyDescent="0.2">
      <c r="C10" s="5">
        <v>10.439664804469274</v>
      </c>
      <c r="D10" s="1">
        <v>2840</v>
      </c>
      <c r="F10">
        <f t="shared" si="0"/>
        <v>12.28747138011833</v>
      </c>
    </row>
    <row r="11" spans="3:12" x14ac:dyDescent="0.2">
      <c r="C11" s="5">
        <v>11.796703296703297</v>
      </c>
      <c r="D11" s="1">
        <v>2683</v>
      </c>
      <c r="F11">
        <f t="shared" si="0"/>
        <v>11.7479776246394</v>
      </c>
    </row>
    <row r="12" spans="3:12" x14ac:dyDescent="0.2">
      <c r="C12" s="5">
        <v>15.256521739130434</v>
      </c>
      <c r="D12" s="1">
        <v>3280</v>
      </c>
      <c r="F12">
        <f t="shared" si="0"/>
        <v>13.799428401842714</v>
      </c>
    </row>
    <row r="13" spans="3:12" x14ac:dyDescent="0.2">
      <c r="C13" s="5">
        <v>13.920744680851064</v>
      </c>
      <c r="D13" s="1">
        <v>2843</v>
      </c>
      <c r="F13">
        <f t="shared" si="0"/>
        <v>12.297780177993722</v>
      </c>
    </row>
    <row r="14" spans="3:12" x14ac:dyDescent="0.2">
      <c r="C14" s="5">
        <v>15.223560209424084</v>
      </c>
      <c r="D14" s="1">
        <v>3259</v>
      </c>
      <c r="F14">
        <f t="shared" si="0"/>
        <v>13.727266816714961</v>
      </c>
    </row>
    <row r="15" spans="3:12" x14ac:dyDescent="0.2">
      <c r="C15" s="5">
        <v>15.031088082901555</v>
      </c>
      <c r="D15" s="1">
        <v>3554</v>
      </c>
      <c r="F15">
        <f t="shared" si="0"/>
        <v>14.740965274461992</v>
      </c>
    </row>
    <row r="16" spans="3:12" x14ac:dyDescent="0.2">
      <c r="C16" s="5">
        <v>16.615346656797435</v>
      </c>
      <c r="D16" s="1">
        <v>4387</v>
      </c>
      <c r="F16">
        <f t="shared" si="0"/>
        <v>17.603374817862932</v>
      </c>
    </row>
    <row r="18" spans="2:10" x14ac:dyDescent="0.2">
      <c r="B18" t="s">
        <v>115</v>
      </c>
      <c r="C18">
        <f>+COUNT(C8:C16)</f>
        <v>9</v>
      </c>
      <c r="J18">
        <f>+_xlfn.T.INV(0.05/2,6)</f>
        <v>-2.4469118511449697</v>
      </c>
    </row>
    <row r="19" spans="2:10" x14ac:dyDescent="0.2">
      <c r="B19" t="s">
        <v>114</v>
      </c>
      <c r="C19" s="5">
        <f>+AVERAGE(C8:C16)</f>
        <v>13.470692291816277</v>
      </c>
      <c r="D19" s="5">
        <f>+AVERAGE(D8:D16)</f>
        <v>3184.3333333333335</v>
      </c>
    </row>
    <row r="20" spans="2:10" x14ac:dyDescent="0.2">
      <c r="B20" t="s">
        <v>116</v>
      </c>
      <c r="C20" s="5">
        <f>+_xlfn.STDEV.S(C8:C16)^2</f>
        <v>5.2159262444789363</v>
      </c>
      <c r="D20" s="5">
        <f>+_xlfn.STDEV.S(D8:D16)^2</f>
        <v>283392.5</v>
      </c>
    </row>
    <row r="21" spans="2:10" x14ac:dyDescent="0.2">
      <c r="B21" t="s">
        <v>117</v>
      </c>
      <c r="C21" s="5">
        <f>+SQRT(C20)</f>
        <v>2.2838402405770277</v>
      </c>
      <c r="D21" s="5">
        <f>+SQRT(D20)</f>
        <v>532.34622192704626</v>
      </c>
      <c r="F21" s="5"/>
    </row>
    <row r="22" spans="2:10" x14ac:dyDescent="0.2">
      <c r="C22" s="5"/>
      <c r="D22" s="5"/>
      <c r="F22" s="5"/>
      <c r="G22" s="5">
        <f>+D8-$D$19</f>
        <v>-158.33333333333348</v>
      </c>
      <c r="H22">
        <f>+G22^2</f>
        <v>25069.444444444493</v>
      </c>
    </row>
    <row r="23" spans="2:10" ht="15" x14ac:dyDescent="0.25">
      <c r="B23" s="6" t="s">
        <v>132</v>
      </c>
      <c r="C23" s="13">
        <f>+C43+C42*D23</f>
        <v>17.235694360307228</v>
      </c>
      <c r="D23" s="13">
        <v>4280</v>
      </c>
      <c r="F23" s="5"/>
      <c r="G23" s="5">
        <f t="shared" ref="G23:G29" si="1">+D9-$D$19</f>
        <v>-397.33333333333348</v>
      </c>
      <c r="H23">
        <f t="shared" ref="H23:H30" si="2">+G23^2</f>
        <v>157873.7777777779</v>
      </c>
    </row>
    <row r="24" spans="2:10" x14ac:dyDescent="0.2">
      <c r="C24" s="5"/>
      <c r="D24" s="5"/>
      <c r="F24" s="5"/>
      <c r="G24" s="5">
        <f t="shared" si="1"/>
        <v>-344.33333333333348</v>
      </c>
      <c r="H24">
        <f t="shared" si="2"/>
        <v>118565.44444444455</v>
      </c>
    </row>
    <row r="25" spans="2:10" x14ac:dyDescent="0.2">
      <c r="F25" s="5"/>
      <c r="G25" s="5">
        <f t="shared" si="1"/>
        <v>-501.33333333333348</v>
      </c>
      <c r="H25">
        <f t="shared" si="2"/>
        <v>251335.11111111127</v>
      </c>
    </row>
    <row r="26" spans="2:10" x14ac:dyDescent="0.2">
      <c r="B26" t="s">
        <v>118</v>
      </c>
      <c r="C26">
        <f>+_xlfn.COVARIANCE.S(C8:C16,D8:D16)</f>
        <v>973.81200063415451</v>
      </c>
      <c r="F26" s="5"/>
      <c r="G26" s="5">
        <f t="shared" si="1"/>
        <v>95.666666666666515</v>
      </c>
      <c r="H26">
        <f t="shared" si="2"/>
        <v>9152.1111111110822</v>
      </c>
    </row>
    <row r="27" spans="2:10" x14ac:dyDescent="0.2">
      <c r="B27" t="s">
        <v>119</v>
      </c>
      <c r="C27">
        <f>+C26/PRODUCT(C21:D21)</f>
        <v>0.80096810977589361</v>
      </c>
      <c r="D27">
        <f>+C27^2</f>
        <v>0.64154991287796792</v>
      </c>
      <c r="F27" s="5"/>
      <c r="G27" s="5">
        <f t="shared" si="1"/>
        <v>-341.33333333333348</v>
      </c>
      <c r="H27">
        <f t="shared" si="2"/>
        <v>116508.44444444455</v>
      </c>
    </row>
    <row r="28" spans="2:10" x14ac:dyDescent="0.2">
      <c r="B28" t="s">
        <v>131</v>
      </c>
      <c r="C28">
        <f>+SQRT(D32)</f>
        <v>1.4617598852090261</v>
      </c>
      <c r="F28" s="5"/>
      <c r="G28" s="5">
        <f t="shared" si="1"/>
        <v>74.666666666666515</v>
      </c>
      <c r="H28">
        <f t="shared" si="2"/>
        <v>5575.1111111110886</v>
      </c>
    </row>
    <row r="29" spans="2:10" x14ac:dyDescent="0.2">
      <c r="B29" t="s">
        <v>136</v>
      </c>
      <c r="C29">
        <v>1.87232</v>
      </c>
      <c r="F29" s="5"/>
      <c r="G29" s="5">
        <f t="shared" si="1"/>
        <v>369.66666666666652</v>
      </c>
      <c r="H29">
        <f t="shared" si="2"/>
        <v>136653.44444444432</v>
      </c>
    </row>
    <row r="30" spans="2:10" x14ac:dyDescent="0.2">
      <c r="F30" s="5"/>
      <c r="G30" s="5">
        <f>+D16-D$19</f>
        <v>1202.6666666666665</v>
      </c>
      <c r="H30">
        <f t="shared" si="2"/>
        <v>1446407.1111111108</v>
      </c>
    </row>
    <row r="31" spans="2:10" x14ac:dyDescent="0.2">
      <c r="B31" t="s">
        <v>120</v>
      </c>
      <c r="C31">
        <v>26.770216221786946</v>
      </c>
      <c r="F31" s="5"/>
      <c r="G31" s="5"/>
      <c r="H31">
        <f>+SUM(H22:H30)</f>
        <v>2267140</v>
      </c>
    </row>
    <row r="32" spans="2:10" x14ac:dyDescent="0.2">
      <c r="B32" t="s">
        <v>121</v>
      </c>
      <c r="C32">
        <v>14.957193734044134</v>
      </c>
      <c r="D32">
        <f>+C32/7</f>
        <v>2.1367419620063051</v>
      </c>
      <c r="F32" s="5"/>
    </row>
    <row r="33" spans="2:8" x14ac:dyDescent="0.2">
      <c r="B33" t="s">
        <v>122</v>
      </c>
      <c r="C33">
        <f>+SUM(C31:C32)</f>
        <v>41.727409955831078</v>
      </c>
      <c r="F33" s="5"/>
      <c r="G33" s="5">
        <f>+D23-$D$19</f>
        <v>1095.6666666666665</v>
      </c>
      <c r="H33">
        <f>+G33^2</f>
        <v>1200485.444444444</v>
      </c>
    </row>
    <row r="34" spans="2:8" x14ac:dyDescent="0.2">
      <c r="F34" s="5"/>
    </row>
    <row r="35" spans="2:8" x14ac:dyDescent="0.2">
      <c r="B35" t="s">
        <v>130</v>
      </c>
      <c r="C35">
        <f>+_xlfn.F.INV(0.95,1,7)</f>
        <v>5.591447851220738</v>
      </c>
      <c r="D35" t="b">
        <v>0</v>
      </c>
      <c r="F35" s="5"/>
    </row>
    <row r="36" spans="2:8" x14ac:dyDescent="0.2">
      <c r="B36" t="s">
        <v>129</v>
      </c>
      <c r="C36" s="5">
        <f>+C31/D32</f>
        <v>12.528520849869448</v>
      </c>
      <c r="F36" s="5"/>
    </row>
    <row r="37" spans="2:8" x14ac:dyDescent="0.2">
      <c r="F37" s="5"/>
    </row>
    <row r="38" spans="2:8" x14ac:dyDescent="0.2">
      <c r="B38" t="s">
        <v>133</v>
      </c>
      <c r="C38" s="5">
        <f>+ABS(_xlfn.T.INV(0.05/2,7))</f>
        <v>2.3646242515927849</v>
      </c>
      <c r="F38" s="5"/>
    </row>
    <row r="39" spans="2:8" x14ac:dyDescent="0.2">
      <c r="B39" t="s">
        <v>134</v>
      </c>
      <c r="C39" s="5">
        <f>+$C$23+$C$38*$C$29</f>
        <v>21.663027639049432</v>
      </c>
      <c r="F39" s="5"/>
    </row>
    <row r="40" spans="2:8" x14ac:dyDescent="0.2">
      <c r="B40" t="s">
        <v>135</v>
      </c>
      <c r="C40" s="5">
        <f>+$C$23-$C$38*$C$29</f>
        <v>12.808361081565025</v>
      </c>
      <c r="F40" s="5"/>
    </row>
    <row r="41" spans="2:8" x14ac:dyDescent="0.2">
      <c r="F41" s="5"/>
    </row>
    <row r="42" spans="2:8" x14ac:dyDescent="0.2">
      <c r="B42" t="s">
        <v>123</v>
      </c>
      <c r="C42">
        <f>+C26/D20</f>
        <v>3.436265958464513E-3</v>
      </c>
      <c r="F42" s="5"/>
    </row>
    <row r="43" spans="2:8" x14ac:dyDescent="0.2">
      <c r="B43" t="s">
        <v>124</v>
      </c>
      <c r="C43">
        <f>+C19-C42*D19</f>
        <v>2.5284760580791126</v>
      </c>
      <c r="F43" s="5"/>
    </row>
    <row r="46" spans="2:8" x14ac:dyDescent="0.2">
      <c r="B46" t="s">
        <v>125</v>
      </c>
      <c r="C46" t="s">
        <v>127</v>
      </c>
    </row>
    <row r="47" spans="2:8" x14ac:dyDescent="0.2">
      <c r="B47">
        <v>1</v>
      </c>
      <c r="C47">
        <f>+$C$42*B47+$C$43</f>
        <v>2.5319123240375769</v>
      </c>
    </row>
    <row r="48" spans="2:8" x14ac:dyDescent="0.2">
      <c r="B48">
        <f>+B47+1</f>
        <v>2</v>
      </c>
      <c r="C48">
        <f t="shared" ref="C48:C56" si="3">+$C$42*B48+$C$43</f>
        <v>2.5353485899960417</v>
      </c>
    </row>
    <row r="49" spans="2:3" x14ac:dyDescent="0.2">
      <c r="B49">
        <f t="shared" ref="B49:B56" si="4">+B48+1</f>
        <v>3</v>
      </c>
      <c r="C49">
        <f t="shared" si="3"/>
        <v>2.5387848559545061</v>
      </c>
    </row>
    <row r="50" spans="2:3" x14ac:dyDescent="0.2">
      <c r="B50">
        <f t="shared" si="4"/>
        <v>4</v>
      </c>
      <c r="C50">
        <f t="shared" si="3"/>
        <v>2.5422211219129704</v>
      </c>
    </row>
    <row r="51" spans="2:3" x14ac:dyDescent="0.2">
      <c r="B51">
        <f t="shared" si="4"/>
        <v>5</v>
      </c>
      <c r="C51">
        <f t="shared" si="3"/>
        <v>2.5456573878714353</v>
      </c>
    </row>
    <row r="52" spans="2:3" x14ac:dyDescent="0.2">
      <c r="B52">
        <f t="shared" si="4"/>
        <v>6</v>
      </c>
      <c r="C52">
        <f t="shared" si="3"/>
        <v>2.5490936538298996</v>
      </c>
    </row>
    <row r="53" spans="2:3" x14ac:dyDescent="0.2">
      <c r="B53">
        <f t="shared" si="4"/>
        <v>7</v>
      </c>
      <c r="C53">
        <f t="shared" si="3"/>
        <v>2.552529919788364</v>
      </c>
    </row>
    <row r="54" spans="2:3" x14ac:dyDescent="0.2">
      <c r="B54">
        <f t="shared" si="4"/>
        <v>8</v>
      </c>
      <c r="C54">
        <f t="shared" si="3"/>
        <v>2.5559661857468288</v>
      </c>
    </row>
    <row r="55" spans="2:3" x14ac:dyDescent="0.2">
      <c r="B55">
        <f t="shared" si="4"/>
        <v>9</v>
      </c>
      <c r="C55">
        <f t="shared" si="3"/>
        <v>2.5594024517052931</v>
      </c>
    </row>
    <row r="56" spans="2:3" x14ac:dyDescent="0.2">
      <c r="B56">
        <f t="shared" si="4"/>
        <v>10</v>
      </c>
      <c r="C56">
        <f t="shared" si="3"/>
        <v>2.5628387176637579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467E-7C59-4F92-A20A-44ACB42D8766}">
  <dimension ref="C2:M39"/>
  <sheetViews>
    <sheetView topLeftCell="B1" zoomScale="85" zoomScaleNormal="85" workbookViewId="0">
      <selection activeCell="H30" sqref="H30"/>
    </sheetView>
  </sheetViews>
  <sheetFormatPr defaultRowHeight="14.25" x14ac:dyDescent="0.2"/>
  <cols>
    <col min="3" max="3" width="17.375" bestFit="1" customWidth="1"/>
    <col min="4" max="4" width="14.125" bestFit="1" customWidth="1"/>
    <col min="7" max="7" width="10.875" bestFit="1" customWidth="1"/>
    <col min="9" max="9" width="11.875" bestFit="1" customWidth="1"/>
  </cols>
  <sheetData>
    <row r="2" spans="3:13" ht="15" x14ac:dyDescent="0.25">
      <c r="C2" s="6" t="s">
        <v>71</v>
      </c>
      <c r="D2">
        <v>1660</v>
      </c>
      <c r="E2">
        <v>1730</v>
      </c>
      <c r="F2">
        <v>1790</v>
      </c>
      <c r="G2">
        <v>1820</v>
      </c>
      <c r="H2">
        <v>1840</v>
      </c>
      <c r="I2">
        <v>1880</v>
      </c>
      <c r="J2">
        <v>1910</v>
      </c>
      <c r="K2">
        <v>1930</v>
      </c>
    </row>
    <row r="3" spans="3:13" ht="15" x14ac:dyDescent="0.25">
      <c r="C3" s="6" t="s">
        <v>91</v>
      </c>
      <c r="D3">
        <v>12.7</v>
      </c>
      <c r="E3">
        <v>10.252601156069364</v>
      </c>
      <c r="F3">
        <v>10.439664804469274</v>
      </c>
      <c r="G3">
        <v>11.796703296703297</v>
      </c>
      <c r="H3">
        <v>15.256521739130434</v>
      </c>
      <c r="I3">
        <v>13.920744680851064</v>
      </c>
      <c r="J3">
        <v>15.223560209424084</v>
      </c>
      <c r="K3">
        <v>15.031088082901555</v>
      </c>
    </row>
    <row r="5" spans="3:13" x14ac:dyDescent="0.2">
      <c r="C5" t="s">
        <v>72</v>
      </c>
      <c r="D5" s="1">
        <f>+SUM(D2:K2)</f>
        <v>14560</v>
      </c>
      <c r="F5">
        <f>+(D2-$D$7)^2</f>
        <v>25600</v>
      </c>
      <c r="G5">
        <f t="shared" ref="G5:M5" si="0">+(E2-$D$7)^2</f>
        <v>8100</v>
      </c>
      <c r="H5">
        <f t="shared" si="0"/>
        <v>900</v>
      </c>
      <c r="I5">
        <f t="shared" si="0"/>
        <v>0</v>
      </c>
      <c r="J5">
        <f t="shared" si="0"/>
        <v>400</v>
      </c>
      <c r="K5">
        <f t="shared" si="0"/>
        <v>3600</v>
      </c>
      <c r="L5">
        <f t="shared" si="0"/>
        <v>8100</v>
      </c>
      <c r="M5">
        <f t="shared" si="0"/>
        <v>12100</v>
      </c>
    </row>
    <row r="6" spans="3:13" x14ac:dyDescent="0.2">
      <c r="C6" t="s">
        <v>73</v>
      </c>
      <c r="D6" s="1">
        <f>+COUNT(D2:K2)</f>
        <v>8</v>
      </c>
    </row>
    <row r="7" spans="3:13" x14ac:dyDescent="0.2">
      <c r="C7" t="s">
        <v>74</v>
      </c>
      <c r="D7" s="1">
        <f>+D5/D6</f>
        <v>1820</v>
      </c>
    </row>
    <row r="8" spans="3:13" x14ac:dyDescent="0.2">
      <c r="C8" t="s">
        <v>75</v>
      </c>
      <c r="D8">
        <f>+SUM(F5:M5)/7</f>
        <v>8400</v>
      </c>
    </row>
    <row r="9" spans="3:13" x14ac:dyDescent="0.2">
      <c r="C9" t="s">
        <v>76</v>
      </c>
      <c r="D9" s="1">
        <f>+SQRT(D8)</f>
        <v>91.651513899116793</v>
      </c>
    </row>
    <row r="10" spans="3:13" ht="15" x14ac:dyDescent="0.25">
      <c r="C10" t="s">
        <v>77</v>
      </c>
      <c r="D10" s="1"/>
      <c r="E10">
        <f>+F10-92</f>
        <v>1544</v>
      </c>
      <c r="F10">
        <f t="shared" ref="F10" si="1">+G10-92</f>
        <v>1636</v>
      </c>
      <c r="G10">
        <f>+H10-92</f>
        <v>1728</v>
      </c>
      <c r="H10" s="6">
        <v>1820</v>
      </c>
      <c r="I10">
        <f>+H10+92</f>
        <v>1912</v>
      </c>
      <c r="J10">
        <f t="shared" ref="J10:K10" si="2">+I10+92</f>
        <v>2004</v>
      </c>
      <c r="K10">
        <f t="shared" si="2"/>
        <v>2096</v>
      </c>
    </row>
    <row r="11" spans="3:13" x14ac:dyDescent="0.2">
      <c r="C11" t="s">
        <v>78</v>
      </c>
      <c r="D11" s="1">
        <v>1</v>
      </c>
    </row>
    <row r="12" spans="3:13" x14ac:dyDescent="0.2">
      <c r="C12" t="s">
        <v>79</v>
      </c>
      <c r="D12" s="1">
        <v>2</v>
      </c>
    </row>
    <row r="13" spans="3:13" x14ac:dyDescent="0.2">
      <c r="C13" t="s">
        <v>80</v>
      </c>
      <c r="D13" s="1">
        <v>1</v>
      </c>
    </row>
    <row r="14" spans="3:13" x14ac:dyDescent="0.2">
      <c r="C14" t="s">
        <v>81</v>
      </c>
      <c r="D14" s="1">
        <v>3</v>
      </c>
    </row>
    <row r="15" spans="3:13" x14ac:dyDescent="0.2">
      <c r="C15" t="s">
        <v>82</v>
      </c>
      <c r="D15" s="1">
        <v>1</v>
      </c>
    </row>
    <row r="16" spans="3:13" x14ac:dyDescent="0.2">
      <c r="D16" s="1"/>
    </row>
    <row r="17" spans="3:13" x14ac:dyDescent="0.2">
      <c r="C17" t="s">
        <v>106</v>
      </c>
      <c r="D17" s="1">
        <f>+SUM(D3:K3)</f>
        <v>104.62088396954906</v>
      </c>
      <c r="F17" s="5">
        <f t="shared" ref="F17:M17" si="3">+(D3-$D$19)^2</f>
        <v>0.14258968683560144</v>
      </c>
      <c r="G17" s="5">
        <f t="shared" si="3"/>
        <v>7.9806777717893516</v>
      </c>
      <c r="H17" s="5">
        <f t="shared" si="3"/>
        <v>6.9587574724871013</v>
      </c>
      <c r="I17" s="5">
        <f t="shared" si="3"/>
        <v>1.6407232537061716</v>
      </c>
      <c r="J17" s="5">
        <f t="shared" si="3"/>
        <v>4.7476542045964019</v>
      </c>
      <c r="K17" s="5">
        <f t="shared" si="3"/>
        <v>0.71087525333795198</v>
      </c>
      <c r="L17" s="5">
        <f t="shared" si="3"/>
        <v>4.6051001717138611</v>
      </c>
      <c r="M17" s="5">
        <f t="shared" si="3"/>
        <v>3.8160746817702091</v>
      </c>
    </row>
    <row r="18" spans="3:13" x14ac:dyDescent="0.2">
      <c r="C18" t="s">
        <v>107</v>
      </c>
      <c r="D18" s="1">
        <v>8</v>
      </c>
    </row>
    <row r="19" spans="3:13" x14ac:dyDescent="0.2">
      <c r="C19" t="s">
        <v>108</v>
      </c>
      <c r="D19" s="1">
        <f>+D17/D18</f>
        <v>13.077610496193632</v>
      </c>
    </row>
    <row r="20" spans="3:13" x14ac:dyDescent="0.2">
      <c r="C20" t="s">
        <v>75</v>
      </c>
      <c r="D20" s="5">
        <f>+SUM(F17:M17)/7</f>
        <v>4.3717789280338071</v>
      </c>
    </row>
    <row r="21" spans="3:13" x14ac:dyDescent="0.2">
      <c r="C21" t="s">
        <v>109</v>
      </c>
      <c r="D21" s="5">
        <f>+SQRT(D20)</f>
        <v>2.0908799410855248</v>
      </c>
    </row>
    <row r="22" spans="3:13" ht="15" x14ac:dyDescent="0.25">
      <c r="C22" t="s">
        <v>77</v>
      </c>
      <c r="E22" s="5">
        <f t="shared" ref="E22:F22" si="4">+F22-$D$21</f>
        <v>6.7273601767434243</v>
      </c>
      <c r="F22" s="5">
        <f t="shared" si="4"/>
        <v>8.8182401178289496</v>
      </c>
      <c r="G22" s="5">
        <f>+H22-$D$21</f>
        <v>10.909120058914475</v>
      </c>
      <c r="H22" s="6">
        <v>13</v>
      </c>
      <c r="I22" s="5">
        <f>+H22+$D$21</f>
        <v>15.090879941085525</v>
      </c>
      <c r="J22" s="5">
        <f t="shared" ref="J22:K22" si="5">+I22+$D$21</f>
        <v>17.18175988217105</v>
      </c>
      <c r="K22" s="5">
        <f t="shared" si="5"/>
        <v>19.272639823256576</v>
      </c>
    </row>
    <row r="27" spans="3:13" ht="15" x14ac:dyDescent="0.25">
      <c r="C27" s="6" t="s">
        <v>83</v>
      </c>
      <c r="D27" s="3">
        <v>4.2168674698795261E-2</v>
      </c>
      <c r="E27" s="3">
        <v>3.4682080924855585E-2</v>
      </c>
      <c r="F27" s="3">
        <v>1.6759776536312776E-2</v>
      </c>
      <c r="G27" s="3">
        <v>1.098901098901095E-2</v>
      </c>
      <c r="H27" s="3">
        <v>2.1739130434782705E-2</v>
      </c>
      <c r="I27" s="3">
        <v>1.5957446808510634E-2</v>
      </c>
      <c r="J27" s="3">
        <v>1.0471204188481575E-2</v>
      </c>
    </row>
    <row r="28" spans="3:13" x14ac:dyDescent="0.2">
      <c r="C28" t="s">
        <v>84</v>
      </c>
      <c r="D28" s="3">
        <f>+SUM(D27:J27)</f>
        <v>0.15276732458074949</v>
      </c>
      <c r="F28" s="3">
        <f>+(D27-$D$30)^2</f>
        <v>4.1390971466194915E-4</v>
      </c>
      <c r="G28" s="3">
        <f t="shared" ref="G28:L28" si="6">+(E27-$D$30)^2</f>
        <v>1.6533272639241114E-4</v>
      </c>
      <c r="H28" s="3">
        <f t="shared" si="6"/>
        <v>2.5645382021179897E-5</v>
      </c>
      <c r="I28" s="3">
        <f t="shared" si="6"/>
        <v>1.173948959746615E-4</v>
      </c>
      <c r="J28" s="3">
        <f t="shared" si="6"/>
        <v>7.1864745421593697E-9</v>
      </c>
      <c r="K28" s="3">
        <f t="shared" si="6"/>
        <v>3.4415314248467053E-5</v>
      </c>
      <c r="L28" s="3">
        <f t="shared" si="6"/>
        <v>1.2888378191967226E-4</v>
      </c>
    </row>
    <row r="29" spans="3:13" x14ac:dyDescent="0.2">
      <c r="C29" t="s">
        <v>85</v>
      </c>
      <c r="D29">
        <f>+COUNT(D27:J27)</f>
        <v>7</v>
      </c>
    </row>
    <row r="30" spans="3:13" x14ac:dyDescent="0.2">
      <c r="C30" t="s">
        <v>86</v>
      </c>
      <c r="D30" s="3">
        <f>+D28/D29</f>
        <v>2.1823903511535642E-2</v>
      </c>
    </row>
    <row r="31" spans="3:13" x14ac:dyDescent="0.2">
      <c r="C31" t="s">
        <v>77</v>
      </c>
      <c r="D31" s="3"/>
    </row>
    <row r="32" spans="3:13" x14ac:dyDescent="0.2">
      <c r="C32" t="s">
        <v>75</v>
      </c>
      <c r="D32" s="9">
        <f>+SUM(F28:L28)/6</f>
        <v>1.4759816694881388E-4</v>
      </c>
    </row>
    <row r="33" spans="3:11" ht="15" x14ac:dyDescent="0.25">
      <c r="C33" t="s">
        <v>87</v>
      </c>
      <c r="D33" s="9">
        <f>+SQRT(D32)</f>
        <v>1.2148998598601199E-2</v>
      </c>
      <c r="E33" s="8">
        <f t="shared" ref="E33:F33" si="7">+F33-$D$33</f>
        <v>-1.6446995795803596E-2</v>
      </c>
      <c r="F33" s="8">
        <f t="shared" si="7"/>
        <v>-4.2979971972023981E-3</v>
      </c>
      <c r="G33" s="8">
        <f>+H33-$D$33</f>
        <v>7.8510014013988012E-3</v>
      </c>
      <c r="H33" s="10">
        <v>0.02</v>
      </c>
      <c r="I33" s="8">
        <f>+H33+$D$33</f>
        <v>3.2148998598601201E-2</v>
      </c>
      <c r="J33" s="8">
        <f t="shared" ref="J33:K33" si="8">+I33+$D$33</f>
        <v>4.4297997197202399E-2</v>
      </c>
      <c r="K33" s="8">
        <f t="shared" si="8"/>
        <v>5.6446995795803596E-2</v>
      </c>
    </row>
    <row r="35" spans="3:11" x14ac:dyDescent="0.2">
      <c r="C35" t="s">
        <v>88</v>
      </c>
      <c r="D35" s="3">
        <v>0.84</v>
      </c>
    </row>
    <row r="36" spans="3:11" x14ac:dyDescent="0.2">
      <c r="C36" t="s">
        <v>89</v>
      </c>
      <c r="D36" t="s">
        <v>90</v>
      </c>
    </row>
    <row r="37" spans="3:11" x14ac:dyDescent="0.2">
      <c r="C37" t="s">
        <v>111</v>
      </c>
      <c r="D37" s="3">
        <v>0.16</v>
      </c>
    </row>
    <row r="39" spans="3:11" x14ac:dyDescent="0.2">
      <c r="C39" t="s">
        <v>112</v>
      </c>
      <c r="D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Model</vt:lpstr>
      <vt:lpstr>Sheet1</vt:lpstr>
      <vt:lpstr>Statistic Analysis Whatevs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Case</dc:creator>
  <cp:lastModifiedBy>Josh Case</cp:lastModifiedBy>
  <dcterms:created xsi:type="dcterms:W3CDTF">2022-01-10T15:13:59Z</dcterms:created>
  <dcterms:modified xsi:type="dcterms:W3CDTF">2022-10-16T18:05:32Z</dcterms:modified>
</cp:coreProperties>
</file>