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C43C40C-85B4-4994-A16D-ACF35476973F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alculator" sheetId="1" r:id="rId1"/>
    <sheet name="Creditor 1" sheetId="2" r:id="rId2"/>
    <sheet name="Creditor 2" sheetId="3" r:id="rId3"/>
    <sheet name="Creditor 3" sheetId="4" r:id="rId4"/>
    <sheet name="Creditor 4" sheetId="5" r:id="rId5"/>
    <sheet name="Creditor 5" sheetId="6" r:id="rId6"/>
    <sheet name="Creditor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2" i="7" l="1"/>
  <c r="E212" i="7"/>
  <c r="D212" i="7"/>
  <c r="C196" i="7"/>
  <c r="C197" i="7" s="1"/>
  <c r="F185" i="7"/>
  <c r="E185" i="7"/>
  <c r="D185" i="7"/>
  <c r="C169" i="7"/>
  <c r="C170" i="7" s="1"/>
  <c r="F158" i="7"/>
  <c r="E158" i="7"/>
  <c r="D158" i="7"/>
  <c r="C143" i="7"/>
  <c r="G147" i="7" s="1"/>
  <c r="G148" i="7" s="1"/>
  <c r="G149" i="7" s="1"/>
  <c r="G150" i="7" s="1"/>
  <c r="G151" i="7" s="1"/>
  <c r="G152" i="7" s="1"/>
  <c r="G153" i="7" s="1"/>
  <c r="G154" i="7" s="1"/>
  <c r="G155" i="7" s="1"/>
  <c r="C142" i="7"/>
  <c r="F131" i="7"/>
  <c r="E131" i="7"/>
  <c r="D131" i="7"/>
  <c r="C116" i="7"/>
  <c r="G120" i="7" s="1"/>
  <c r="G121" i="7" s="1"/>
  <c r="G122" i="7" s="1"/>
  <c r="G123" i="7" s="1"/>
  <c r="G124" i="7" s="1"/>
  <c r="G125" i="7" s="1"/>
  <c r="G126" i="7" s="1"/>
  <c r="G127" i="7" s="1"/>
  <c r="G128" i="7" s="1"/>
  <c r="C115" i="7"/>
  <c r="F104" i="7"/>
  <c r="E104" i="7"/>
  <c r="D104" i="7"/>
  <c r="D103" i="7"/>
  <c r="E103" i="7" s="1"/>
  <c r="E102" i="7"/>
  <c r="D102" i="7"/>
  <c r="E101" i="7"/>
  <c r="D101" i="7"/>
  <c r="D100" i="7"/>
  <c r="E100" i="7" s="1"/>
  <c r="D99" i="7"/>
  <c r="E99" i="7" s="1"/>
  <c r="E98" i="7"/>
  <c r="D98" i="7"/>
  <c r="E97" i="7"/>
  <c r="D97" i="7"/>
  <c r="D96" i="7"/>
  <c r="E96" i="7" s="1"/>
  <c r="D95" i="7"/>
  <c r="E95" i="7" s="1"/>
  <c r="E94" i="7"/>
  <c r="D94" i="7"/>
  <c r="C89" i="7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C88" i="7"/>
  <c r="F77" i="7"/>
  <c r="E77" i="7"/>
  <c r="D77" i="7"/>
  <c r="D76" i="7"/>
  <c r="E76" i="7" s="1"/>
  <c r="E75" i="7"/>
  <c r="D75" i="7"/>
  <c r="E74" i="7"/>
  <c r="D74" i="7"/>
  <c r="D73" i="7"/>
  <c r="E73" i="7" s="1"/>
  <c r="D72" i="7"/>
  <c r="E72" i="7" s="1"/>
  <c r="E71" i="7"/>
  <c r="D71" i="7"/>
  <c r="E70" i="7"/>
  <c r="D70" i="7"/>
  <c r="D69" i="7"/>
  <c r="E69" i="7" s="1"/>
  <c r="D68" i="7"/>
  <c r="E68" i="7" s="1"/>
  <c r="E67" i="7"/>
  <c r="D67" i="7"/>
  <c r="C62" i="7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C61" i="7"/>
  <c r="F50" i="7"/>
  <c r="E50" i="7"/>
  <c r="D50" i="7"/>
  <c r="D49" i="7"/>
  <c r="E49" i="7" s="1"/>
  <c r="E48" i="7"/>
  <c r="D48" i="7"/>
  <c r="E47" i="7"/>
  <c r="D47" i="7"/>
  <c r="D46" i="7"/>
  <c r="E46" i="7" s="1"/>
  <c r="D45" i="7"/>
  <c r="E45" i="7" s="1"/>
  <c r="E44" i="7"/>
  <c r="D44" i="7"/>
  <c r="E43" i="7"/>
  <c r="D43" i="7"/>
  <c r="D42" i="7"/>
  <c r="E42" i="7" s="1"/>
  <c r="D41" i="7"/>
  <c r="E41" i="7" s="1"/>
  <c r="E40" i="7"/>
  <c r="D40" i="7"/>
  <c r="C35" i="7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C34" i="7"/>
  <c r="K29" i="7"/>
  <c r="K14" i="7" s="1"/>
  <c r="E22" i="7"/>
  <c r="D22" i="7"/>
  <c r="D21" i="7"/>
  <c r="E21" i="7" s="1"/>
  <c r="D20" i="7"/>
  <c r="E20" i="7" s="1"/>
  <c r="D19" i="7"/>
  <c r="E19" i="7" s="1"/>
  <c r="E18" i="7"/>
  <c r="D18" i="7"/>
  <c r="D17" i="7"/>
  <c r="E17" i="7" s="1"/>
  <c r="Y16" i="7"/>
  <c r="W16" i="7"/>
  <c r="U16" i="7"/>
  <c r="S16" i="7"/>
  <c r="Q16" i="7"/>
  <c r="O16" i="7"/>
  <c r="E16" i="7"/>
  <c r="D16" i="7"/>
  <c r="D15" i="7"/>
  <c r="E15" i="7" s="1"/>
  <c r="E14" i="7"/>
  <c r="D14" i="7"/>
  <c r="O13" i="7"/>
  <c r="D13" i="7"/>
  <c r="K11" i="7"/>
  <c r="K9" i="7"/>
  <c r="C8" i="7"/>
  <c r="C7" i="7"/>
  <c r="K5" i="7"/>
  <c r="F218" i="6"/>
  <c r="E218" i="6"/>
  <c r="D218" i="6"/>
  <c r="G210" i="6"/>
  <c r="G211" i="6" s="1"/>
  <c r="G212" i="6" s="1"/>
  <c r="G213" i="6" s="1"/>
  <c r="G214" i="6" s="1"/>
  <c r="G215" i="6" s="1"/>
  <c r="C203" i="6"/>
  <c r="G207" i="6" s="1"/>
  <c r="G208" i="6" s="1"/>
  <c r="G209" i="6" s="1"/>
  <c r="C202" i="6"/>
  <c r="F191" i="6"/>
  <c r="E191" i="6"/>
  <c r="D191" i="6"/>
  <c r="C176" i="6"/>
  <c r="G180" i="6" s="1"/>
  <c r="G181" i="6" s="1"/>
  <c r="G182" i="6" s="1"/>
  <c r="G183" i="6" s="1"/>
  <c r="G184" i="6" s="1"/>
  <c r="G185" i="6" s="1"/>
  <c r="G186" i="6" s="1"/>
  <c r="G187" i="6" s="1"/>
  <c r="G188" i="6" s="1"/>
  <c r="C175" i="6"/>
  <c r="F164" i="6"/>
  <c r="E164" i="6"/>
  <c r="D164" i="6"/>
  <c r="C148" i="6"/>
  <c r="C149" i="6" s="1"/>
  <c r="F137" i="6"/>
  <c r="E137" i="6"/>
  <c r="D137" i="6"/>
  <c r="G126" i="6"/>
  <c r="G127" i="6" s="1"/>
  <c r="G128" i="6" s="1"/>
  <c r="G129" i="6" s="1"/>
  <c r="G130" i="6" s="1"/>
  <c r="G131" i="6" s="1"/>
  <c r="G132" i="6" s="1"/>
  <c r="G133" i="6" s="1"/>
  <c r="G134" i="6" s="1"/>
  <c r="C122" i="6"/>
  <c r="C121" i="6"/>
  <c r="E109" i="6"/>
  <c r="D109" i="6"/>
  <c r="E108" i="6"/>
  <c r="D108" i="6"/>
  <c r="G107" i="6"/>
  <c r="G108" i="6" s="1"/>
  <c r="G109" i="6" s="1"/>
  <c r="E107" i="6"/>
  <c r="D107" i="6"/>
  <c r="D106" i="6"/>
  <c r="E106" i="6" s="1"/>
  <c r="D105" i="6"/>
  <c r="E105" i="6" s="1"/>
  <c r="E104" i="6"/>
  <c r="D104" i="6"/>
  <c r="G103" i="6"/>
  <c r="G104" i="6" s="1"/>
  <c r="G105" i="6" s="1"/>
  <c r="G106" i="6" s="1"/>
  <c r="E103" i="6"/>
  <c r="D103" i="6"/>
  <c r="D102" i="6"/>
  <c r="E102" i="6" s="1"/>
  <c r="D101" i="6"/>
  <c r="E100" i="6"/>
  <c r="D100" i="6"/>
  <c r="G99" i="6"/>
  <c r="G100" i="6" s="1"/>
  <c r="G101" i="6" s="1"/>
  <c r="G102" i="6" s="1"/>
  <c r="C95" i="6"/>
  <c r="C94" i="6"/>
  <c r="D82" i="6"/>
  <c r="E82" i="6" s="1"/>
  <c r="E81" i="6"/>
  <c r="D81" i="6"/>
  <c r="E80" i="6"/>
  <c r="D80" i="6"/>
  <c r="D79" i="6"/>
  <c r="E79" i="6" s="1"/>
  <c r="D78" i="6"/>
  <c r="E78" i="6" s="1"/>
  <c r="E77" i="6"/>
  <c r="D77" i="6"/>
  <c r="E76" i="6"/>
  <c r="D76" i="6"/>
  <c r="D75" i="6"/>
  <c r="E75" i="6" s="1"/>
  <c r="D74" i="6"/>
  <c r="E74" i="6" s="1"/>
  <c r="E73" i="6"/>
  <c r="D73" i="6"/>
  <c r="E72" i="6"/>
  <c r="D72" i="6"/>
  <c r="D71" i="6"/>
  <c r="E71" i="6" s="1"/>
  <c r="D70" i="6"/>
  <c r="E69" i="6"/>
  <c r="D69" i="6"/>
  <c r="G68" i="6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C64" i="6"/>
  <c r="C63" i="6"/>
  <c r="E51" i="6"/>
  <c r="D51" i="6"/>
  <c r="E50" i="6"/>
  <c r="D50" i="6"/>
  <c r="E49" i="6"/>
  <c r="D49" i="6"/>
  <c r="D48" i="6"/>
  <c r="E48" i="6" s="1"/>
  <c r="D47" i="6"/>
  <c r="E47" i="6" s="1"/>
  <c r="E46" i="6"/>
  <c r="D46" i="6"/>
  <c r="E45" i="6"/>
  <c r="D45" i="6"/>
  <c r="D44" i="6"/>
  <c r="E44" i="6" s="1"/>
  <c r="E43" i="6"/>
  <c r="D43" i="6"/>
  <c r="E42" i="6"/>
  <c r="D42" i="6"/>
  <c r="G41" i="6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E41" i="6"/>
  <c r="D41" i="6"/>
  <c r="D40" i="6"/>
  <c r="E40" i="6" s="1"/>
  <c r="C35" i="6"/>
  <c r="G39" i="6" s="1"/>
  <c r="G40" i="6" s="1"/>
  <c r="C34" i="6"/>
  <c r="G32" i="6"/>
  <c r="W30" i="6"/>
  <c r="U30" i="6"/>
  <c r="S30" i="6"/>
  <c r="Q30" i="6"/>
  <c r="O30" i="6"/>
  <c r="W23" i="6"/>
  <c r="U23" i="6"/>
  <c r="S23" i="6"/>
  <c r="O23" i="6"/>
  <c r="E22" i="6"/>
  <c r="D22" i="6"/>
  <c r="E21" i="6"/>
  <c r="D21" i="6"/>
  <c r="D20" i="6"/>
  <c r="E20" i="6" s="1"/>
  <c r="Q19" i="6"/>
  <c r="Q23" i="6" s="1"/>
  <c r="O19" i="6"/>
  <c r="D19" i="6"/>
  <c r="E19" i="6" s="1"/>
  <c r="D18" i="6"/>
  <c r="E18" i="6" s="1"/>
  <c r="E17" i="6"/>
  <c r="D17" i="6"/>
  <c r="AG16" i="6"/>
  <c r="AA16" i="6"/>
  <c r="W16" i="6"/>
  <c r="E16" i="6"/>
  <c r="D16" i="6"/>
  <c r="D15" i="6"/>
  <c r="E15" i="6" s="1"/>
  <c r="G14" i="6"/>
  <c r="G15" i="6" s="1"/>
  <c r="G16" i="6" s="1"/>
  <c r="G17" i="6" s="1"/>
  <c r="G18" i="6" s="1"/>
  <c r="G19" i="6" s="1"/>
  <c r="G20" i="6" s="1"/>
  <c r="G21" i="6" s="1"/>
  <c r="G22" i="6" s="1"/>
  <c r="D14" i="6"/>
  <c r="AG13" i="6"/>
  <c r="AE13" i="6"/>
  <c r="AE16" i="6" s="1"/>
  <c r="AC13" i="6"/>
  <c r="AC16" i="6" s="1"/>
  <c r="AA13" i="6"/>
  <c r="Y13" i="6"/>
  <c r="Y16" i="6" s="1"/>
  <c r="W13" i="6"/>
  <c r="U13" i="6"/>
  <c r="U16" i="6" s="1"/>
  <c r="S13" i="6"/>
  <c r="Q13" i="6"/>
  <c r="M13" i="6"/>
  <c r="E13" i="6"/>
  <c r="D13" i="6"/>
  <c r="K11" i="6"/>
  <c r="L10" i="6"/>
  <c r="K9" i="6"/>
  <c r="C8" i="6"/>
  <c r="G12" i="6" s="1"/>
  <c r="G13" i="6" s="1"/>
  <c r="C7" i="6"/>
  <c r="K5" i="6"/>
  <c r="E244" i="5"/>
  <c r="D244" i="5"/>
  <c r="D243" i="5"/>
  <c r="E243" i="5" s="1"/>
  <c r="D242" i="5"/>
  <c r="E242" i="5" s="1"/>
  <c r="E241" i="5"/>
  <c r="D241" i="5"/>
  <c r="E240" i="5"/>
  <c r="D240" i="5"/>
  <c r="D239" i="5"/>
  <c r="E239" i="5" s="1"/>
  <c r="D238" i="5"/>
  <c r="E238" i="5" s="1"/>
  <c r="E237" i="5"/>
  <c r="D237" i="5"/>
  <c r="E236" i="5"/>
  <c r="D236" i="5"/>
  <c r="D235" i="5"/>
  <c r="C229" i="5"/>
  <c r="C230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E217" i="5"/>
  <c r="D217" i="5"/>
  <c r="D216" i="5"/>
  <c r="E216" i="5" s="1"/>
  <c r="G215" i="5"/>
  <c r="G216" i="5" s="1"/>
  <c r="G217" i="5" s="1"/>
  <c r="D215" i="5"/>
  <c r="E215" i="5" s="1"/>
  <c r="E214" i="5"/>
  <c r="D214" i="5"/>
  <c r="E213" i="5"/>
  <c r="D213" i="5"/>
  <c r="D212" i="5"/>
  <c r="E212" i="5" s="1"/>
  <c r="D211" i="5"/>
  <c r="E211" i="5" s="1"/>
  <c r="E210" i="5"/>
  <c r="D210" i="5"/>
  <c r="G209" i="5"/>
  <c r="G210" i="5" s="1"/>
  <c r="G211" i="5" s="1"/>
  <c r="G212" i="5" s="1"/>
  <c r="G213" i="5" s="1"/>
  <c r="G214" i="5" s="1"/>
  <c r="E209" i="5"/>
  <c r="D209" i="5"/>
  <c r="D208" i="5"/>
  <c r="C202" i="5"/>
  <c r="C203" i="5" s="1"/>
  <c r="G207" i="5" s="1"/>
  <c r="G208" i="5" s="1"/>
  <c r="E190" i="5"/>
  <c r="D190" i="5"/>
  <c r="D189" i="5"/>
  <c r="E189" i="5" s="1"/>
  <c r="D188" i="5"/>
  <c r="E188" i="5" s="1"/>
  <c r="E187" i="5"/>
  <c r="D187" i="5"/>
  <c r="E186" i="5"/>
  <c r="D186" i="5"/>
  <c r="D185" i="5"/>
  <c r="E185" i="5" s="1"/>
  <c r="D184" i="5"/>
  <c r="E184" i="5" s="1"/>
  <c r="E183" i="5"/>
  <c r="D183" i="5"/>
  <c r="G182" i="5"/>
  <c r="G183" i="5" s="1"/>
  <c r="G184" i="5" s="1"/>
  <c r="G185" i="5" s="1"/>
  <c r="G186" i="5" s="1"/>
  <c r="G187" i="5" s="1"/>
  <c r="G188" i="5" s="1"/>
  <c r="G189" i="5" s="1"/>
  <c r="G190" i="5" s="1"/>
  <c r="E182" i="5"/>
  <c r="D182" i="5"/>
  <c r="D181" i="5"/>
  <c r="G180" i="5"/>
  <c r="G181" i="5" s="1"/>
  <c r="C175" i="5"/>
  <c r="C176" i="5" s="1"/>
  <c r="E163" i="5"/>
  <c r="D163" i="5"/>
  <c r="D162" i="5"/>
  <c r="E162" i="5" s="1"/>
  <c r="D161" i="5"/>
  <c r="E161" i="5" s="1"/>
  <c r="E160" i="5"/>
  <c r="D160" i="5"/>
  <c r="E159" i="5"/>
  <c r="D159" i="5"/>
  <c r="D158" i="5"/>
  <c r="E158" i="5" s="1"/>
  <c r="D157" i="5"/>
  <c r="E157" i="5" s="1"/>
  <c r="E156" i="5"/>
  <c r="D156" i="5"/>
  <c r="E155" i="5"/>
  <c r="D155" i="5"/>
  <c r="D154" i="5"/>
  <c r="C148" i="5"/>
  <c r="C149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E136" i="5"/>
  <c r="D136" i="5"/>
  <c r="D135" i="5"/>
  <c r="E135" i="5" s="1"/>
  <c r="D134" i="5"/>
  <c r="E134" i="5" s="1"/>
  <c r="E133" i="5"/>
  <c r="D133" i="5"/>
  <c r="E132" i="5"/>
  <c r="D132" i="5"/>
  <c r="D131" i="5"/>
  <c r="E131" i="5" s="1"/>
  <c r="D130" i="5"/>
  <c r="E130" i="5" s="1"/>
  <c r="E129" i="5"/>
  <c r="D129" i="5"/>
  <c r="E128" i="5"/>
  <c r="D128" i="5"/>
  <c r="D127" i="5"/>
  <c r="E127" i="5" s="1"/>
  <c r="D126" i="5"/>
  <c r="E126" i="5" s="1"/>
  <c r="E125" i="5"/>
  <c r="E137" i="5" s="1"/>
  <c r="D125" i="5"/>
  <c r="G124" i="5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C120" i="5"/>
  <c r="C119" i="5"/>
  <c r="D107" i="5"/>
  <c r="E107" i="5" s="1"/>
  <c r="E106" i="5"/>
  <c r="D106" i="5"/>
  <c r="E105" i="5"/>
  <c r="D105" i="5"/>
  <c r="D104" i="5"/>
  <c r="E104" i="5" s="1"/>
  <c r="D103" i="5"/>
  <c r="E103" i="5" s="1"/>
  <c r="E102" i="5"/>
  <c r="D102" i="5"/>
  <c r="E101" i="5"/>
  <c r="D101" i="5"/>
  <c r="D100" i="5"/>
  <c r="E100" i="5" s="1"/>
  <c r="D99" i="5"/>
  <c r="E99" i="5" s="1"/>
  <c r="E98" i="5"/>
  <c r="D98" i="5"/>
  <c r="E97" i="5"/>
  <c r="D97" i="5"/>
  <c r="D96" i="5"/>
  <c r="E96" i="5" s="1"/>
  <c r="G95" i="5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D95" i="5"/>
  <c r="E94" i="5"/>
  <c r="D94" i="5"/>
  <c r="G93" i="5"/>
  <c r="G94" i="5" s="1"/>
  <c r="C89" i="5"/>
  <c r="C88" i="5"/>
  <c r="D76" i="5"/>
  <c r="E76" i="5" s="1"/>
  <c r="E75" i="5"/>
  <c r="D75" i="5"/>
  <c r="E74" i="5"/>
  <c r="D74" i="5"/>
  <c r="D73" i="5"/>
  <c r="E73" i="5" s="1"/>
  <c r="D72" i="5"/>
  <c r="E72" i="5" s="1"/>
  <c r="E71" i="5"/>
  <c r="D71" i="5"/>
  <c r="E70" i="5"/>
  <c r="D70" i="5"/>
  <c r="D69" i="5"/>
  <c r="E69" i="5" s="1"/>
  <c r="G68" i="5"/>
  <c r="G69" i="5" s="1"/>
  <c r="G70" i="5" s="1"/>
  <c r="G71" i="5" s="1"/>
  <c r="G72" i="5" s="1"/>
  <c r="G73" i="5" s="1"/>
  <c r="G74" i="5" s="1"/>
  <c r="G75" i="5" s="1"/>
  <c r="G76" i="5" s="1"/>
  <c r="D68" i="5"/>
  <c r="E67" i="5"/>
  <c r="D67" i="5"/>
  <c r="G66" i="5"/>
  <c r="G67" i="5" s="1"/>
  <c r="C62" i="5"/>
  <c r="C61" i="5"/>
  <c r="D49" i="5"/>
  <c r="E49" i="5" s="1"/>
  <c r="E48" i="5"/>
  <c r="D48" i="5"/>
  <c r="E47" i="5"/>
  <c r="D47" i="5"/>
  <c r="D46" i="5"/>
  <c r="E46" i="5" s="1"/>
  <c r="D45" i="5"/>
  <c r="E45" i="5" s="1"/>
  <c r="E44" i="5"/>
  <c r="D44" i="5"/>
  <c r="E43" i="5"/>
  <c r="D43" i="5"/>
  <c r="D42" i="5"/>
  <c r="E42" i="5" s="1"/>
  <c r="G41" i="5"/>
  <c r="G42" i="5" s="1"/>
  <c r="G43" i="5" s="1"/>
  <c r="G44" i="5" s="1"/>
  <c r="G45" i="5" s="1"/>
  <c r="G46" i="5" s="1"/>
  <c r="G47" i="5" s="1"/>
  <c r="G48" i="5" s="1"/>
  <c r="G49" i="5" s="1"/>
  <c r="D41" i="5"/>
  <c r="E40" i="5"/>
  <c r="D40" i="5"/>
  <c r="G39" i="5"/>
  <c r="G40" i="5" s="1"/>
  <c r="C35" i="5"/>
  <c r="C34" i="5"/>
  <c r="W31" i="5"/>
  <c r="U31" i="5"/>
  <c r="S31" i="5"/>
  <c r="Q31" i="5"/>
  <c r="O31" i="5"/>
  <c r="W24" i="5"/>
  <c r="U24" i="5"/>
  <c r="S24" i="5"/>
  <c r="Q24" i="5"/>
  <c r="F23" i="5"/>
  <c r="E23" i="5"/>
  <c r="D23" i="5"/>
  <c r="Q20" i="5"/>
  <c r="O20" i="5"/>
  <c r="O24" i="5" s="1"/>
  <c r="O18" i="5"/>
  <c r="AE17" i="5"/>
  <c r="AA17" i="5"/>
  <c r="W17" i="5"/>
  <c r="AG13" i="5"/>
  <c r="AG17" i="5" s="1"/>
  <c r="AE13" i="5"/>
  <c r="AC13" i="5"/>
  <c r="AC17" i="5" s="1"/>
  <c r="AA13" i="5"/>
  <c r="Y13" i="5"/>
  <c r="Y17" i="5" s="1"/>
  <c r="W13" i="5"/>
  <c r="S13" i="5"/>
  <c r="Q13" i="5"/>
  <c r="M13" i="5"/>
  <c r="K11" i="5"/>
  <c r="K9" i="5"/>
  <c r="C8" i="5"/>
  <c r="C7" i="5"/>
  <c r="K5" i="5"/>
  <c r="F573" i="4"/>
  <c r="E573" i="4"/>
  <c r="D573" i="4"/>
  <c r="E572" i="4"/>
  <c r="D572" i="4"/>
  <c r="D571" i="4"/>
  <c r="E571" i="4" s="1"/>
  <c r="E570" i="4"/>
  <c r="D570" i="4"/>
  <c r="G569" i="4"/>
  <c r="G570" i="4" s="1"/>
  <c r="G571" i="4" s="1"/>
  <c r="G572" i="4" s="1"/>
  <c r="D569" i="4"/>
  <c r="E569" i="4" s="1"/>
  <c r="E568" i="4"/>
  <c r="D568" i="4"/>
  <c r="D567" i="4"/>
  <c r="E567" i="4" s="1"/>
  <c r="E566" i="4"/>
  <c r="D566" i="4"/>
  <c r="G565" i="4"/>
  <c r="G566" i="4" s="1"/>
  <c r="G567" i="4" s="1"/>
  <c r="G568" i="4" s="1"/>
  <c r="D565" i="4"/>
  <c r="E565" i="4" s="1"/>
  <c r="E564" i="4"/>
  <c r="D564" i="4"/>
  <c r="E563" i="4"/>
  <c r="D563" i="4"/>
  <c r="C558" i="4"/>
  <c r="G562" i="4" s="1"/>
  <c r="G563" i="4" s="1"/>
  <c r="G564" i="4" s="1"/>
  <c r="C557" i="4"/>
  <c r="G541" i="4"/>
  <c r="G542" i="4" s="1"/>
  <c r="G543" i="4" s="1"/>
  <c r="G544" i="4" s="1"/>
  <c r="G545" i="4" s="1"/>
  <c r="D536" i="4"/>
  <c r="C531" i="4"/>
  <c r="G535" i="4" s="1"/>
  <c r="G536" i="4" s="1"/>
  <c r="G537" i="4" s="1"/>
  <c r="G538" i="4" s="1"/>
  <c r="G539" i="4" s="1"/>
  <c r="G540" i="4" s="1"/>
  <c r="C530" i="4"/>
  <c r="E518" i="4"/>
  <c r="D518" i="4"/>
  <c r="D517" i="4"/>
  <c r="E517" i="4" s="1"/>
  <c r="E516" i="4"/>
  <c r="D516" i="4"/>
  <c r="D515" i="4"/>
  <c r="E515" i="4" s="1"/>
  <c r="E514" i="4"/>
  <c r="D514" i="4"/>
  <c r="D513" i="4"/>
  <c r="E513" i="4" s="1"/>
  <c r="E512" i="4"/>
  <c r="D512" i="4"/>
  <c r="D511" i="4"/>
  <c r="E511" i="4" s="1"/>
  <c r="E510" i="4"/>
  <c r="D510" i="4"/>
  <c r="D509" i="4"/>
  <c r="C504" i="4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C503" i="4"/>
  <c r="E491" i="4"/>
  <c r="D491" i="4"/>
  <c r="D490" i="4"/>
  <c r="E490" i="4" s="1"/>
  <c r="E489" i="4"/>
  <c r="D489" i="4"/>
  <c r="D488" i="4"/>
  <c r="E488" i="4" s="1"/>
  <c r="E487" i="4"/>
  <c r="D487" i="4"/>
  <c r="D486" i="4"/>
  <c r="E486" i="4" s="1"/>
  <c r="E485" i="4"/>
  <c r="D485" i="4"/>
  <c r="D484" i="4"/>
  <c r="E484" i="4" s="1"/>
  <c r="E483" i="4"/>
  <c r="D483" i="4"/>
  <c r="D482" i="4"/>
  <c r="C477" i="4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C476" i="4"/>
  <c r="D465" i="4"/>
  <c r="D464" i="4"/>
  <c r="E464" i="4" s="1"/>
  <c r="D463" i="4"/>
  <c r="E463" i="4" s="1"/>
  <c r="E462" i="4"/>
  <c r="D462" i="4"/>
  <c r="E461" i="4"/>
  <c r="D461" i="4"/>
  <c r="G460" i="4"/>
  <c r="G461" i="4" s="1"/>
  <c r="G462" i="4" s="1"/>
  <c r="E460" i="4"/>
  <c r="D460" i="4"/>
  <c r="D459" i="4"/>
  <c r="E459" i="4" s="1"/>
  <c r="E458" i="4"/>
  <c r="D458" i="4"/>
  <c r="E457" i="4"/>
  <c r="D457" i="4"/>
  <c r="E456" i="4"/>
  <c r="D456" i="4"/>
  <c r="G455" i="4"/>
  <c r="G456" i="4" s="1"/>
  <c r="G457" i="4" s="1"/>
  <c r="G458" i="4" s="1"/>
  <c r="G459" i="4" s="1"/>
  <c r="D455" i="4"/>
  <c r="C450" i="4"/>
  <c r="G454" i="4" s="1"/>
  <c r="C449" i="4"/>
  <c r="D438" i="4"/>
  <c r="E436" i="4"/>
  <c r="D436" i="4"/>
  <c r="D435" i="4"/>
  <c r="E435" i="4" s="1"/>
  <c r="E434" i="4"/>
  <c r="D434" i="4"/>
  <c r="E433" i="4"/>
  <c r="D433" i="4"/>
  <c r="E432" i="4"/>
  <c r="D432" i="4"/>
  <c r="D431" i="4"/>
  <c r="E431" i="4" s="1"/>
  <c r="E430" i="4"/>
  <c r="D430" i="4"/>
  <c r="G429" i="4"/>
  <c r="G430" i="4" s="1"/>
  <c r="G431" i="4" s="1"/>
  <c r="G432" i="4" s="1"/>
  <c r="G433" i="4" s="1"/>
  <c r="G434" i="4" s="1"/>
  <c r="G435" i="4" s="1"/>
  <c r="G436" i="4" s="1"/>
  <c r="E429" i="4"/>
  <c r="D429" i="4"/>
  <c r="E428" i="4"/>
  <c r="E438" i="4" s="1"/>
  <c r="D428" i="4"/>
  <c r="G427" i="4"/>
  <c r="G428" i="4" s="1"/>
  <c r="C422" i="4"/>
  <c r="C423" i="4" s="1"/>
  <c r="E411" i="4"/>
  <c r="E409" i="4"/>
  <c r="D409" i="4"/>
  <c r="G408" i="4"/>
  <c r="G409" i="4" s="1"/>
  <c r="E408" i="4"/>
  <c r="D408" i="4"/>
  <c r="D407" i="4"/>
  <c r="E407" i="4" s="1"/>
  <c r="E406" i="4"/>
  <c r="D406" i="4"/>
  <c r="E405" i="4"/>
  <c r="D405" i="4"/>
  <c r="E404" i="4"/>
  <c r="D404" i="4"/>
  <c r="G403" i="4"/>
  <c r="G404" i="4" s="1"/>
  <c r="G405" i="4" s="1"/>
  <c r="G406" i="4" s="1"/>
  <c r="G407" i="4" s="1"/>
  <c r="D403" i="4"/>
  <c r="E403" i="4" s="1"/>
  <c r="E402" i="4"/>
  <c r="D402" i="4"/>
  <c r="D411" i="4" s="1"/>
  <c r="E401" i="4"/>
  <c r="D401" i="4"/>
  <c r="G400" i="4"/>
  <c r="G401" i="4" s="1"/>
  <c r="G402" i="4" s="1"/>
  <c r="C396" i="4"/>
  <c r="C395" i="4"/>
  <c r="E383" i="4"/>
  <c r="D383" i="4"/>
  <c r="E382" i="4"/>
  <c r="D382" i="4"/>
  <c r="E381" i="4"/>
  <c r="D381" i="4"/>
  <c r="D380" i="4"/>
  <c r="E380" i="4" s="1"/>
  <c r="E379" i="4"/>
  <c r="D379" i="4"/>
  <c r="E378" i="4"/>
  <c r="D378" i="4"/>
  <c r="E377" i="4"/>
  <c r="D377" i="4"/>
  <c r="D376" i="4"/>
  <c r="E375" i="4"/>
  <c r="D375" i="4"/>
  <c r="E374" i="4"/>
  <c r="D374" i="4"/>
  <c r="C369" i="4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C368" i="4"/>
  <c r="E356" i="4"/>
  <c r="D356" i="4"/>
  <c r="E355" i="4"/>
  <c r="D355" i="4"/>
  <c r="E354" i="4"/>
  <c r="D354" i="4"/>
  <c r="D353" i="4"/>
  <c r="E353" i="4" s="1"/>
  <c r="E352" i="4"/>
  <c r="D352" i="4"/>
  <c r="E351" i="4"/>
  <c r="D351" i="4"/>
  <c r="E350" i="4"/>
  <c r="D350" i="4"/>
  <c r="D349" i="4"/>
  <c r="E349" i="4" s="1"/>
  <c r="E348" i="4"/>
  <c r="D348" i="4"/>
  <c r="E347" i="4"/>
  <c r="D347" i="4"/>
  <c r="G346" i="4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C342" i="4"/>
  <c r="C341" i="4"/>
  <c r="D330" i="4"/>
  <c r="E329" i="4"/>
  <c r="D329" i="4"/>
  <c r="E328" i="4"/>
  <c r="D328" i="4"/>
  <c r="E327" i="4"/>
  <c r="D327" i="4"/>
  <c r="D326" i="4"/>
  <c r="E326" i="4" s="1"/>
  <c r="E325" i="4"/>
  <c r="D325" i="4"/>
  <c r="E324" i="4"/>
  <c r="D324" i="4"/>
  <c r="E323" i="4"/>
  <c r="D323" i="4"/>
  <c r="D322" i="4"/>
  <c r="E322" i="4" s="1"/>
  <c r="E321" i="4"/>
  <c r="D321" i="4"/>
  <c r="E320" i="4"/>
  <c r="D320" i="4"/>
  <c r="E319" i="4"/>
  <c r="D319" i="4"/>
  <c r="D318" i="4"/>
  <c r="E318" i="4" s="1"/>
  <c r="E317" i="4"/>
  <c r="D317" i="4"/>
  <c r="E316" i="4"/>
  <c r="D316" i="4"/>
  <c r="E315" i="4"/>
  <c r="F330" i="4" s="1"/>
  <c r="D315" i="4"/>
  <c r="D314" i="4"/>
  <c r="E314" i="4" s="1"/>
  <c r="E313" i="4"/>
  <c r="D313" i="4"/>
  <c r="G312" i="4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C308" i="4"/>
  <c r="C307" i="4"/>
  <c r="D295" i="4"/>
  <c r="E295" i="4" s="1"/>
  <c r="D294" i="4"/>
  <c r="E294" i="4" s="1"/>
  <c r="E293" i="4"/>
  <c r="D293" i="4"/>
  <c r="E292" i="4"/>
  <c r="D292" i="4"/>
  <c r="D291" i="4"/>
  <c r="E291" i="4" s="1"/>
  <c r="E290" i="4"/>
  <c r="D290" i="4"/>
  <c r="E289" i="4"/>
  <c r="D289" i="4"/>
  <c r="E288" i="4"/>
  <c r="D288" i="4"/>
  <c r="D287" i="4"/>
  <c r="E287" i="4" s="1"/>
  <c r="D286" i="4"/>
  <c r="G285" i="4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E285" i="4"/>
  <c r="D285" i="4"/>
  <c r="E284" i="4"/>
  <c r="D284" i="4"/>
  <c r="C278" i="4"/>
  <c r="C279" i="4" s="1"/>
  <c r="G283" i="4" s="1"/>
  <c r="G284" i="4" s="1"/>
  <c r="D266" i="4"/>
  <c r="E266" i="4" s="1"/>
  <c r="D265" i="4"/>
  <c r="E265" i="4" s="1"/>
  <c r="D264" i="4"/>
  <c r="E264" i="4" s="1"/>
  <c r="E263" i="4"/>
  <c r="D263" i="4"/>
  <c r="D262" i="4"/>
  <c r="E262" i="4" s="1"/>
  <c r="G261" i="4"/>
  <c r="G262" i="4" s="1"/>
  <c r="G263" i="4" s="1"/>
  <c r="G264" i="4" s="1"/>
  <c r="D261" i="4"/>
  <c r="E261" i="4" s="1"/>
  <c r="D260" i="4"/>
  <c r="E260" i="4" s="1"/>
  <c r="E259" i="4"/>
  <c r="D259" i="4"/>
  <c r="D258" i="4"/>
  <c r="E258" i="4" s="1"/>
  <c r="D257" i="4"/>
  <c r="D267" i="4" s="1"/>
  <c r="C251" i="4"/>
  <c r="C252" i="4" s="1"/>
  <c r="G256" i="4" s="1"/>
  <c r="G257" i="4" s="1"/>
  <c r="G258" i="4" s="1"/>
  <c r="G259" i="4" s="1"/>
  <c r="G260" i="4" s="1"/>
  <c r="E239" i="4"/>
  <c r="D239" i="4"/>
  <c r="D238" i="4"/>
  <c r="E238" i="4" s="1"/>
  <c r="D237" i="4"/>
  <c r="E237" i="4" s="1"/>
  <c r="E236" i="4"/>
  <c r="D236" i="4"/>
  <c r="E235" i="4"/>
  <c r="D235" i="4"/>
  <c r="D234" i="4"/>
  <c r="E234" i="4" s="1"/>
  <c r="D233" i="4"/>
  <c r="E233" i="4" s="1"/>
  <c r="E232" i="4"/>
  <c r="D232" i="4"/>
  <c r="E231" i="4"/>
  <c r="D231" i="4"/>
  <c r="D230" i="4"/>
  <c r="E230" i="4" s="1"/>
  <c r="D229" i="4"/>
  <c r="E229" i="4" s="1"/>
  <c r="E228" i="4"/>
  <c r="D228" i="4"/>
  <c r="D227" i="4"/>
  <c r="E227" i="4" s="1"/>
  <c r="D226" i="4"/>
  <c r="C220" i="4"/>
  <c r="C221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E209" i="4"/>
  <c r="E208" i="4"/>
  <c r="D208" i="4"/>
  <c r="D207" i="4"/>
  <c r="E207" i="4" s="1"/>
  <c r="E206" i="4"/>
  <c r="D206" i="4"/>
  <c r="E205" i="4"/>
  <c r="D205" i="4"/>
  <c r="D204" i="4"/>
  <c r="E204" i="4" s="1"/>
  <c r="E203" i="4"/>
  <c r="D203" i="4"/>
  <c r="D202" i="4"/>
  <c r="E202" i="4" s="1"/>
  <c r="D201" i="4"/>
  <c r="E201" i="4" s="1"/>
  <c r="D200" i="4"/>
  <c r="E200" i="4" s="1"/>
  <c r="E199" i="4"/>
  <c r="D199" i="4"/>
  <c r="C193" i="4"/>
  <c r="C194" i="4" s="1"/>
  <c r="G198" i="4" s="1"/>
  <c r="G199" i="4" s="1"/>
  <c r="G200" i="4" s="1"/>
  <c r="G201" i="4" s="1"/>
  <c r="G202" i="4" s="1"/>
  <c r="G203" i="4" s="1"/>
  <c r="G204" i="4" s="1"/>
  <c r="G205" i="4" s="1"/>
  <c r="G206" i="4" s="1"/>
  <c r="D181" i="4"/>
  <c r="E181" i="4" s="1"/>
  <c r="D180" i="4"/>
  <c r="E180" i="4" s="1"/>
  <c r="E179" i="4"/>
  <c r="D179" i="4"/>
  <c r="D178" i="4"/>
  <c r="E178" i="4" s="1"/>
  <c r="E177" i="4"/>
  <c r="D177" i="4"/>
  <c r="G176" i="4"/>
  <c r="G177" i="4" s="1"/>
  <c r="G178" i="4" s="1"/>
  <c r="G179" i="4" s="1"/>
  <c r="G180" i="4" s="1"/>
  <c r="G181" i="4" s="1"/>
  <c r="E176" i="4"/>
  <c r="D176" i="4"/>
  <c r="D175" i="4"/>
  <c r="E175" i="4" s="1"/>
  <c r="E174" i="4"/>
  <c r="D174" i="4"/>
  <c r="D173" i="4"/>
  <c r="E173" i="4" s="1"/>
  <c r="D172" i="4"/>
  <c r="E172" i="4" s="1"/>
  <c r="D171" i="4"/>
  <c r="E171" i="4" s="1"/>
  <c r="D170" i="4"/>
  <c r="E170" i="4" s="1"/>
  <c r="E169" i="4"/>
  <c r="D169" i="4"/>
  <c r="E168" i="4"/>
  <c r="D168" i="4"/>
  <c r="D167" i="4"/>
  <c r="E167" i="4" s="1"/>
  <c r="D166" i="4"/>
  <c r="E166" i="4" s="1"/>
  <c r="D165" i="4"/>
  <c r="E165" i="4" s="1"/>
  <c r="D164" i="4"/>
  <c r="E164" i="4" s="1"/>
  <c r="E163" i="4"/>
  <c r="D163" i="4"/>
  <c r="D162" i="4"/>
  <c r="G161" i="4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C157" i="4"/>
  <c r="C156" i="4"/>
  <c r="D144" i="4"/>
  <c r="E144" i="4" s="1"/>
  <c r="E143" i="4"/>
  <c r="D143" i="4"/>
  <c r="E142" i="4"/>
  <c r="D142" i="4"/>
  <c r="D141" i="4"/>
  <c r="E141" i="4" s="1"/>
  <c r="E140" i="4"/>
  <c r="D140" i="4"/>
  <c r="E139" i="4"/>
  <c r="D139" i="4"/>
  <c r="D138" i="4"/>
  <c r="E138" i="4" s="1"/>
  <c r="D137" i="4"/>
  <c r="E137" i="4" s="1"/>
  <c r="E136" i="4"/>
  <c r="D136" i="4"/>
  <c r="E135" i="4"/>
  <c r="D135" i="4"/>
  <c r="D134" i="4"/>
  <c r="E134" i="4" s="1"/>
  <c r="G133" i="4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D133" i="4"/>
  <c r="E133" i="4" s="1"/>
  <c r="E132" i="4"/>
  <c r="D132" i="4"/>
  <c r="E131" i="4"/>
  <c r="D131" i="4"/>
  <c r="D130" i="4"/>
  <c r="D129" i="4"/>
  <c r="E129" i="4" s="1"/>
  <c r="E128" i="4"/>
  <c r="D128" i="4"/>
  <c r="C123" i="4"/>
  <c r="G127" i="4" s="1"/>
  <c r="G128" i="4" s="1"/>
  <c r="G129" i="4" s="1"/>
  <c r="G130" i="4" s="1"/>
  <c r="G131" i="4" s="1"/>
  <c r="G132" i="4" s="1"/>
  <c r="C122" i="4"/>
  <c r="D110" i="4"/>
  <c r="E110" i="4" s="1"/>
  <c r="E109" i="4"/>
  <c r="D109" i="4"/>
  <c r="E108" i="4"/>
  <c r="D108" i="4"/>
  <c r="D107" i="4"/>
  <c r="E107" i="4" s="1"/>
  <c r="G106" i="4"/>
  <c r="G107" i="4" s="1"/>
  <c r="G108" i="4" s="1"/>
  <c r="G109" i="4" s="1"/>
  <c r="G110" i="4" s="1"/>
  <c r="D106" i="4"/>
  <c r="E106" i="4" s="1"/>
  <c r="E105" i="4"/>
  <c r="D105" i="4"/>
  <c r="E104" i="4"/>
  <c r="D104" i="4"/>
  <c r="D103" i="4"/>
  <c r="E103" i="4" s="1"/>
  <c r="D102" i="4"/>
  <c r="E102" i="4" s="1"/>
  <c r="E101" i="4"/>
  <c r="D101" i="4"/>
  <c r="E100" i="4"/>
  <c r="D100" i="4"/>
  <c r="D99" i="4"/>
  <c r="E99" i="4" s="1"/>
  <c r="D98" i="4"/>
  <c r="E98" i="4" s="1"/>
  <c r="E97" i="4"/>
  <c r="D97" i="4"/>
  <c r="E96" i="4"/>
  <c r="D96" i="4"/>
  <c r="D95" i="4"/>
  <c r="G94" i="4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D94" i="4"/>
  <c r="E94" i="4" s="1"/>
  <c r="G93" i="4"/>
  <c r="C89" i="4"/>
  <c r="C88" i="4"/>
  <c r="D76" i="4"/>
  <c r="E76" i="4" s="1"/>
  <c r="E75" i="4"/>
  <c r="D75" i="4"/>
  <c r="D74" i="4"/>
  <c r="E74" i="4" s="1"/>
  <c r="D73" i="4"/>
  <c r="E73" i="4" s="1"/>
  <c r="D72" i="4"/>
  <c r="E72" i="4" s="1"/>
  <c r="D71" i="4"/>
  <c r="E71" i="4" s="1"/>
  <c r="D70" i="4"/>
  <c r="E70" i="4" s="1"/>
  <c r="D69" i="4"/>
  <c r="E69" i="4" s="1"/>
  <c r="D68" i="4"/>
  <c r="E68" i="4" s="1"/>
  <c r="E67" i="4"/>
  <c r="E77" i="4" s="1"/>
  <c r="D67" i="4"/>
  <c r="C61" i="4"/>
  <c r="C62" i="4" s="1"/>
  <c r="G66" i="4" s="1"/>
  <c r="G67" i="4" s="1"/>
  <c r="G68" i="4" s="1"/>
  <c r="G69" i="4" s="1"/>
  <c r="G70" i="4" s="1"/>
  <c r="G71" i="4" s="1"/>
  <c r="G72" i="4" s="1"/>
  <c r="G73" i="4" s="1"/>
  <c r="G74" i="4" s="1"/>
  <c r="E49" i="4"/>
  <c r="D49" i="4"/>
  <c r="D48" i="4"/>
  <c r="E48" i="4" s="1"/>
  <c r="E47" i="4"/>
  <c r="D47" i="4"/>
  <c r="E46" i="4"/>
  <c r="D46" i="4"/>
  <c r="D45" i="4"/>
  <c r="E45" i="4" s="1"/>
  <c r="D44" i="4"/>
  <c r="E44" i="4" s="1"/>
  <c r="E43" i="4"/>
  <c r="D43" i="4"/>
  <c r="E42" i="4"/>
  <c r="D42" i="4"/>
  <c r="D41" i="4"/>
  <c r="E41" i="4" s="1"/>
  <c r="D40" i="4"/>
  <c r="G39" i="4"/>
  <c r="G40" i="4" s="1"/>
  <c r="G41" i="4" s="1"/>
  <c r="G42" i="4" s="1"/>
  <c r="G43" i="4" s="1"/>
  <c r="G44" i="4" s="1"/>
  <c r="G45" i="4" s="1"/>
  <c r="G46" i="4" s="1"/>
  <c r="G47" i="4" s="1"/>
  <c r="C35" i="4"/>
  <c r="C34" i="4"/>
  <c r="W30" i="4"/>
  <c r="U30" i="4"/>
  <c r="S30" i="4"/>
  <c r="Q30" i="4"/>
  <c r="O30" i="4"/>
  <c r="K29" i="4"/>
  <c r="W23" i="4"/>
  <c r="U23" i="4"/>
  <c r="S23" i="4"/>
  <c r="Q23" i="4"/>
  <c r="O23" i="4"/>
  <c r="D20" i="4"/>
  <c r="E20" i="4" s="1"/>
  <c r="Q19" i="4"/>
  <c r="O19" i="4"/>
  <c r="D19" i="4"/>
  <c r="E19" i="4" s="1"/>
  <c r="G18" i="4"/>
  <c r="G19" i="4" s="1"/>
  <c r="G20" i="4" s="1"/>
  <c r="D18" i="4"/>
  <c r="E18" i="4" s="1"/>
  <c r="E17" i="4"/>
  <c r="D17" i="4"/>
  <c r="AC16" i="4"/>
  <c r="AA16" i="4"/>
  <c r="Y16" i="4"/>
  <c r="W16" i="4"/>
  <c r="U16" i="4"/>
  <c r="D16" i="4"/>
  <c r="E16" i="4" s="1"/>
  <c r="D15" i="4"/>
  <c r="E15" i="4" s="1"/>
  <c r="K14" i="4"/>
  <c r="D14" i="4"/>
  <c r="E14" i="4" s="1"/>
  <c r="AG13" i="4"/>
  <c r="AG16" i="4" s="1"/>
  <c r="AE13" i="4"/>
  <c r="AE16" i="4" s="1"/>
  <c r="AC13" i="4"/>
  <c r="AA13" i="4"/>
  <c r="Y13" i="4"/>
  <c r="W13" i="4"/>
  <c r="U13" i="4"/>
  <c r="S13" i="4"/>
  <c r="Q13" i="4"/>
  <c r="D13" i="4"/>
  <c r="G12" i="4"/>
  <c r="G13" i="4" s="1"/>
  <c r="G14" i="4" s="1"/>
  <c r="G15" i="4" s="1"/>
  <c r="G16" i="4" s="1"/>
  <c r="G17" i="4" s="1"/>
  <c r="K11" i="4"/>
  <c r="K9" i="4"/>
  <c r="C7" i="4"/>
  <c r="C8" i="4" s="1"/>
  <c r="P5" i="4"/>
  <c r="O5" i="4"/>
  <c r="K5" i="4"/>
  <c r="F607" i="3"/>
  <c r="E607" i="3"/>
  <c r="D607" i="3"/>
  <c r="E606" i="3"/>
  <c r="D606" i="3"/>
  <c r="D605" i="3"/>
  <c r="E605" i="3" s="1"/>
  <c r="D604" i="3"/>
  <c r="E604" i="3" s="1"/>
  <c r="E603" i="3"/>
  <c r="D603" i="3"/>
  <c r="E602" i="3"/>
  <c r="D602" i="3"/>
  <c r="D601" i="3"/>
  <c r="E601" i="3" s="1"/>
  <c r="D600" i="3"/>
  <c r="E600" i="3" s="1"/>
  <c r="G599" i="3"/>
  <c r="G600" i="3" s="1"/>
  <c r="G601" i="3" s="1"/>
  <c r="G602" i="3" s="1"/>
  <c r="G603" i="3" s="1"/>
  <c r="G604" i="3" s="1"/>
  <c r="G605" i="3" s="1"/>
  <c r="G606" i="3" s="1"/>
  <c r="E599" i="3"/>
  <c r="D599" i="3"/>
  <c r="E598" i="3"/>
  <c r="D598" i="3"/>
  <c r="D597" i="3"/>
  <c r="E597" i="3" s="1"/>
  <c r="C591" i="3"/>
  <c r="C592" i="3" s="1"/>
  <c r="G596" i="3" s="1"/>
  <c r="G597" i="3" s="1"/>
  <c r="G598" i="3" s="1"/>
  <c r="D580" i="3"/>
  <c r="E580" i="3" s="1"/>
  <c r="D579" i="3"/>
  <c r="E579" i="3" s="1"/>
  <c r="E578" i="3"/>
  <c r="D578" i="3"/>
  <c r="E577" i="3"/>
  <c r="D577" i="3"/>
  <c r="D576" i="3"/>
  <c r="E576" i="3" s="1"/>
  <c r="D575" i="3"/>
  <c r="E575" i="3" s="1"/>
  <c r="E574" i="3"/>
  <c r="D574" i="3"/>
  <c r="G573" i="3"/>
  <c r="G574" i="3" s="1"/>
  <c r="G575" i="3" s="1"/>
  <c r="G576" i="3" s="1"/>
  <c r="G577" i="3" s="1"/>
  <c r="G578" i="3" s="1"/>
  <c r="G579" i="3" s="1"/>
  <c r="E573" i="3"/>
  <c r="D573" i="3"/>
  <c r="D572" i="3"/>
  <c r="E572" i="3" s="1"/>
  <c r="D571" i="3"/>
  <c r="D581" i="3" s="1"/>
  <c r="G570" i="3"/>
  <c r="G571" i="3" s="1"/>
  <c r="G572" i="3" s="1"/>
  <c r="C566" i="3"/>
  <c r="C565" i="3"/>
  <c r="F554" i="3"/>
  <c r="E554" i="3"/>
  <c r="D554" i="3"/>
  <c r="E553" i="3"/>
  <c r="D553" i="3"/>
  <c r="E552" i="3"/>
  <c r="D552" i="3"/>
  <c r="D551" i="3"/>
  <c r="E551" i="3" s="1"/>
  <c r="D550" i="3"/>
  <c r="E550" i="3" s="1"/>
  <c r="E549" i="3"/>
  <c r="D549" i="3"/>
  <c r="E548" i="3"/>
  <c r="D548" i="3"/>
  <c r="D547" i="3"/>
  <c r="E547" i="3" s="1"/>
  <c r="D546" i="3"/>
  <c r="E546" i="3" s="1"/>
  <c r="G545" i="3"/>
  <c r="G546" i="3" s="1"/>
  <c r="G547" i="3" s="1"/>
  <c r="G548" i="3" s="1"/>
  <c r="G549" i="3" s="1"/>
  <c r="G550" i="3" s="1"/>
  <c r="G551" i="3" s="1"/>
  <c r="E545" i="3"/>
  <c r="D545" i="3"/>
  <c r="E544" i="3"/>
  <c r="D544" i="3"/>
  <c r="C538" i="3"/>
  <c r="C539" i="3" s="1"/>
  <c r="G543" i="3" s="1"/>
  <c r="G544" i="3" s="1"/>
  <c r="E526" i="3"/>
  <c r="D526" i="3"/>
  <c r="E525" i="3"/>
  <c r="D525" i="3"/>
  <c r="D524" i="3"/>
  <c r="E524" i="3" s="1"/>
  <c r="D523" i="3"/>
  <c r="E523" i="3" s="1"/>
  <c r="E522" i="3"/>
  <c r="D522" i="3"/>
  <c r="E521" i="3"/>
  <c r="D521" i="3"/>
  <c r="D520" i="3"/>
  <c r="E520" i="3" s="1"/>
  <c r="D519" i="3"/>
  <c r="E519" i="3" s="1"/>
  <c r="G518" i="3"/>
  <c r="G519" i="3" s="1"/>
  <c r="G520" i="3" s="1"/>
  <c r="G521" i="3" s="1"/>
  <c r="G522" i="3" s="1"/>
  <c r="G523" i="3" s="1"/>
  <c r="G524" i="3" s="1"/>
  <c r="G525" i="3" s="1"/>
  <c r="G526" i="3" s="1"/>
  <c r="E518" i="3"/>
  <c r="D518" i="3"/>
  <c r="E517" i="3"/>
  <c r="E527" i="3" s="1"/>
  <c r="D517" i="3"/>
  <c r="F527" i="3" s="1"/>
  <c r="C511" i="3"/>
  <c r="C512" i="3" s="1"/>
  <c r="G516" i="3" s="1"/>
  <c r="G517" i="3" s="1"/>
  <c r="G499" i="3"/>
  <c r="E499" i="3"/>
  <c r="D499" i="3"/>
  <c r="E498" i="3"/>
  <c r="D498" i="3"/>
  <c r="D497" i="3"/>
  <c r="E497" i="3" s="1"/>
  <c r="D496" i="3"/>
  <c r="E496" i="3" s="1"/>
  <c r="E495" i="3"/>
  <c r="D495" i="3"/>
  <c r="E494" i="3"/>
  <c r="D494" i="3"/>
  <c r="D493" i="3"/>
  <c r="E493" i="3" s="1"/>
  <c r="D492" i="3"/>
  <c r="E492" i="3" s="1"/>
  <c r="E491" i="3"/>
  <c r="D491" i="3"/>
  <c r="E490" i="3"/>
  <c r="D490" i="3"/>
  <c r="C484" i="3"/>
  <c r="C485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D473" i="3"/>
  <c r="E472" i="3"/>
  <c r="D472" i="3"/>
  <c r="E471" i="3"/>
  <c r="D471" i="3"/>
  <c r="D470" i="3"/>
  <c r="E470" i="3" s="1"/>
  <c r="D469" i="3"/>
  <c r="E469" i="3" s="1"/>
  <c r="E468" i="3"/>
  <c r="D468" i="3"/>
  <c r="E467" i="3"/>
  <c r="D467" i="3"/>
  <c r="D466" i="3"/>
  <c r="E466" i="3" s="1"/>
  <c r="D465" i="3"/>
  <c r="E465" i="3" s="1"/>
  <c r="G464" i="3"/>
  <c r="G465" i="3" s="1"/>
  <c r="G466" i="3" s="1"/>
  <c r="G467" i="3" s="1"/>
  <c r="G468" i="3" s="1"/>
  <c r="G469" i="3" s="1"/>
  <c r="G470" i="3" s="1"/>
  <c r="G471" i="3" s="1"/>
  <c r="G472" i="3" s="1"/>
  <c r="E464" i="3"/>
  <c r="D464" i="3"/>
  <c r="E463" i="3"/>
  <c r="D463" i="3"/>
  <c r="C457" i="3"/>
  <c r="C458" i="3" s="1"/>
  <c r="G462" i="3" s="1"/>
  <c r="G463" i="3" s="1"/>
  <c r="E445" i="3"/>
  <c r="D445" i="3"/>
  <c r="E444" i="3"/>
  <c r="D444" i="3"/>
  <c r="D443" i="3"/>
  <c r="E443" i="3" s="1"/>
  <c r="D442" i="3"/>
  <c r="E442" i="3" s="1"/>
  <c r="E441" i="3"/>
  <c r="D441" i="3"/>
  <c r="E440" i="3"/>
  <c r="D440" i="3"/>
  <c r="D439" i="3"/>
  <c r="E439" i="3" s="1"/>
  <c r="D438" i="3"/>
  <c r="E438" i="3" s="1"/>
  <c r="G437" i="3"/>
  <c r="G438" i="3" s="1"/>
  <c r="G439" i="3" s="1"/>
  <c r="G440" i="3" s="1"/>
  <c r="G441" i="3" s="1"/>
  <c r="G442" i="3" s="1"/>
  <c r="G443" i="3" s="1"/>
  <c r="G444" i="3" s="1"/>
  <c r="G445" i="3" s="1"/>
  <c r="E437" i="3"/>
  <c r="D437" i="3"/>
  <c r="E436" i="3"/>
  <c r="E446" i="3" s="1"/>
  <c r="D436" i="3"/>
  <c r="F446" i="3" s="1"/>
  <c r="C430" i="3"/>
  <c r="C431" i="3" s="1"/>
  <c r="G435" i="3" s="1"/>
  <c r="G436" i="3" s="1"/>
  <c r="E418" i="3"/>
  <c r="D418" i="3"/>
  <c r="E417" i="3"/>
  <c r="D417" i="3"/>
  <c r="D416" i="3"/>
  <c r="E416" i="3" s="1"/>
  <c r="D415" i="3"/>
  <c r="E415" i="3" s="1"/>
  <c r="E414" i="3"/>
  <c r="D414" i="3"/>
  <c r="E413" i="3"/>
  <c r="D413" i="3"/>
  <c r="D412" i="3"/>
  <c r="E412" i="3" s="1"/>
  <c r="D411" i="3"/>
  <c r="E411" i="3" s="1"/>
  <c r="G410" i="3"/>
  <c r="G411" i="3" s="1"/>
  <c r="G412" i="3" s="1"/>
  <c r="G413" i="3" s="1"/>
  <c r="G414" i="3" s="1"/>
  <c r="G415" i="3" s="1"/>
  <c r="G416" i="3" s="1"/>
  <c r="G417" i="3" s="1"/>
  <c r="G418" i="3" s="1"/>
  <c r="E410" i="3"/>
  <c r="D410" i="3"/>
  <c r="E409" i="3"/>
  <c r="E419" i="3" s="1"/>
  <c r="D409" i="3"/>
  <c r="F419" i="3" s="1"/>
  <c r="C403" i="3"/>
  <c r="C404" i="3" s="1"/>
  <c r="G408" i="3" s="1"/>
  <c r="G409" i="3" s="1"/>
  <c r="G391" i="3"/>
  <c r="E391" i="3"/>
  <c r="D391" i="3"/>
  <c r="E390" i="3"/>
  <c r="D390" i="3"/>
  <c r="D389" i="3"/>
  <c r="E389" i="3" s="1"/>
  <c r="D388" i="3"/>
  <c r="E388" i="3" s="1"/>
  <c r="G387" i="3"/>
  <c r="G388" i="3" s="1"/>
  <c r="G389" i="3" s="1"/>
  <c r="G390" i="3" s="1"/>
  <c r="E387" i="3"/>
  <c r="D387" i="3"/>
  <c r="E386" i="3"/>
  <c r="D386" i="3"/>
  <c r="D385" i="3"/>
  <c r="D384" i="3"/>
  <c r="E384" i="3" s="1"/>
  <c r="E383" i="3"/>
  <c r="D383" i="3"/>
  <c r="E382" i="3"/>
  <c r="D382" i="3"/>
  <c r="C376" i="3"/>
  <c r="C377" i="3" s="1"/>
  <c r="G381" i="3" s="1"/>
  <c r="G382" i="3" s="1"/>
  <c r="G383" i="3" s="1"/>
  <c r="G384" i="3" s="1"/>
  <c r="G385" i="3" s="1"/>
  <c r="G386" i="3" s="1"/>
  <c r="D365" i="3"/>
  <c r="E364" i="3"/>
  <c r="D364" i="3"/>
  <c r="E363" i="3"/>
  <c r="D363" i="3"/>
  <c r="D362" i="3"/>
  <c r="E362" i="3" s="1"/>
  <c r="D361" i="3"/>
  <c r="E361" i="3" s="1"/>
  <c r="E360" i="3"/>
  <c r="D360" i="3"/>
  <c r="E359" i="3"/>
  <c r="D359" i="3"/>
  <c r="D358" i="3"/>
  <c r="E358" i="3" s="1"/>
  <c r="D357" i="3"/>
  <c r="E357" i="3" s="1"/>
  <c r="G356" i="3"/>
  <c r="G357" i="3" s="1"/>
  <c r="G358" i="3" s="1"/>
  <c r="G359" i="3" s="1"/>
  <c r="G360" i="3" s="1"/>
  <c r="G361" i="3" s="1"/>
  <c r="G362" i="3" s="1"/>
  <c r="G363" i="3" s="1"/>
  <c r="G364" i="3" s="1"/>
  <c r="E356" i="3"/>
  <c r="D356" i="3"/>
  <c r="E355" i="3"/>
  <c r="D355" i="3"/>
  <c r="C349" i="3"/>
  <c r="C350" i="3" s="1"/>
  <c r="G354" i="3" s="1"/>
  <c r="G355" i="3" s="1"/>
  <c r="E337" i="3"/>
  <c r="D337" i="3"/>
  <c r="E336" i="3"/>
  <c r="D336" i="3"/>
  <c r="D335" i="3"/>
  <c r="E335" i="3" s="1"/>
  <c r="D334" i="3"/>
  <c r="E334" i="3" s="1"/>
  <c r="E333" i="3"/>
  <c r="D333" i="3"/>
  <c r="E332" i="3"/>
  <c r="D332" i="3"/>
  <c r="D331" i="3"/>
  <c r="E331" i="3" s="1"/>
  <c r="D330" i="3"/>
  <c r="G329" i="3"/>
  <c r="G330" i="3" s="1"/>
  <c r="G331" i="3" s="1"/>
  <c r="G332" i="3" s="1"/>
  <c r="G333" i="3" s="1"/>
  <c r="G334" i="3" s="1"/>
  <c r="G335" i="3" s="1"/>
  <c r="G336" i="3" s="1"/>
  <c r="G337" i="3" s="1"/>
  <c r="E329" i="3"/>
  <c r="D329" i="3"/>
  <c r="E328" i="3"/>
  <c r="D328" i="3"/>
  <c r="C322" i="3"/>
  <c r="C323" i="3" s="1"/>
  <c r="G327" i="3" s="1"/>
  <c r="G328" i="3" s="1"/>
  <c r="E310" i="3"/>
  <c r="D310" i="3"/>
  <c r="E309" i="3"/>
  <c r="D309" i="3"/>
  <c r="D308" i="3"/>
  <c r="E308" i="3" s="1"/>
  <c r="D307" i="3"/>
  <c r="E307" i="3" s="1"/>
  <c r="E306" i="3"/>
  <c r="D306" i="3"/>
  <c r="E305" i="3"/>
  <c r="D305" i="3"/>
  <c r="D304" i="3"/>
  <c r="E304" i="3" s="1"/>
  <c r="D303" i="3"/>
  <c r="G302" i="3"/>
  <c r="G303" i="3" s="1"/>
  <c r="G304" i="3" s="1"/>
  <c r="G305" i="3" s="1"/>
  <c r="G306" i="3" s="1"/>
  <c r="G307" i="3" s="1"/>
  <c r="G308" i="3" s="1"/>
  <c r="G309" i="3" s="1"/>
  <c r="G310" i="3" s="1"/>
  <c r="E302" i="3"/>
  <c r="D302" i="3"/>
  <c r="E301" i="3"/>
  <c r="D301" i="3"/>
  <c r="C295" i="3"/>
  <c r="C296" i="3" s="1"/>
  <c r="G300" i="3" s="1"/>
  <c r="G301" i="3" s="1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G273" i="3"/>
  <c r="G274" i="3" s="1"/>
  <c r="G275" i="3" s="1"/>
  <c r="G276" i="3" s="1"/>
  <c r="G277" i="3" s="1"/>
  <c r="G278" i="3" s="1"/>
  <c r="G279" i="3" s="1"/>
  <c r="G280" i="3" s="1"/>
  <c r="G281" i="3" s="1"/>
  <c r="C269" i="3"/>
  <c r="C268" i="3"/>
  <c r="D256" i="3"/>
  <c r="E256" i="3" s="1"/>
  <c r="E255" i="3"/>
  <c r="D255" i="3"/>
  <c r="E254" i="3"/>
  <c r="D254" i="3"/>
  <c r="E253" i="3"/>
  <c r="D253" i="3"/>
  <c r="D252" i="3"/>
  <c r="E252" i="3" s="1"/>
  <c r="E251" i="3"/>
  <c r="D251" i="3"/>
  <c r="E250" i="3"/>
  <c r="D250" i="3"/>
  <c r="E249" i="3"/>
  <c r="D249" i="3"/>
  <c r="E248" i="3"/>
  <c r="D248" i="3"/>
  <c r="E247" i="3"/>
  <c r="D247" i="3"/>
  <c r="G246" i="3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C242" i="3"/>
  <c r="C241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G220" i="3"/>
  <c r="G221" i="3" s="1"/>
  <c r="G222" i="3" s="1"/>
  <c r="G223" i="3" s="1"/>
  <c r="G224" i="3" s="1"/>
  <c r="G225" i="3" s="1"/>
  <c r="G226" i="3" s="1"/>
  <c r="G227" i="3" s="1"/>
  <c r="G228" i="3" s="1"/>
  <c r="G229" i="3" s="1"/>
  <c r="E220" i="3"/>
  <c r="D220" i="3"/>
  <c r="E219" i="3"/>
  <c r="D219" i="3"/>
  <c r="D218" i="3"/>
  <c r="E218" i="3" s="1"/>
  <c r="E217" i="3"/>
  <c r="D217" i="3"/>
  <c r="E216" i="3"/>
  <c r="D216" i="3"/>
  <c r="E215" i="3"/>
  <c r="D215" i="3"/>
  <c r="D214" i="3"/>
  <c r="E214" i="3" s="1"/>
  <c r="D213" i="3"/>
  <c r="E212" i="3"/>
  <c r="D212" i="3"/>
  <c r="E211" i="3"/>
  <c r="D211" i="3"/>
  <c r="C205" i="3"/>
  <c r="C206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D193" i="3"/>
  <c r="E193" i="3" s="1"/>
  <c r="E192" i="3"/>
  <c r="D192" i="3"/>
  <c r="E191" i="3"/>
  <c r="D191" i="3"/>
  <c r="E190" i="3"/>
  <c r="D190" i="3"/>
  <c r="D189" i="3"/>
  <c r="E189" i="3" s="1"/>
  <c r="E188" i="3"/>
  <c r="D188" i="3"/>
  <c r="E187" i="3"/>
  <c r="D187" i="3"/>
  <c r="D186" i="3"/>
  <c r="E186" i="3" s="1"/>
  <c r="D185" i="3"/>
  <c r="E185" i="3" s="1"/>
  <c r="E184" i="3"/>
  <c r="D184" i="3"/>
  <c r="E183" i="3"/>
  <c r="D183" i="3"/>
  <c r="D182" i="3"/>
  <c r="E182" i="3" s="1"/>
  <c r="D181" i="3"/>
  <c r="E181" i="3" s="1"/>
  <c r="E180" i="3"/>
  <c r="D180" i="3"/>
  <c r="D179" i="3"/>
  <c r="E179" i="3" s="1"/>
  <c r="E178" i="3"/>
  <c r="D178" i="3"/>
  <c r="D194" i="3" s="1"/>
  <c r="G177" i="3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D177" i="3"/>
  <c r="E177" i="3" s="1"/>
  <c r="C172" i="3"/>
  <c r="G176" i="3" s="1"/>
  <c r="C171" i="3"/>
  <c r="E159" i="3"/>
  <c r="D159" i="3"/>
  <c r="E158" i="3"/>
  <c r="D158" i="3"/>
  <c r="E157" i="3"/>
  <c r="D157" i="3"/>
  <c r="D156" i="3"/>
  <c r="E156" i="3" s="1"/>
  <c r="E155" i="3"/>
  <c r="D155" i="3"/>
  <c r="E154" i="3"/>
  <c r="D154" i="3"/>
  <c r="D153" i="3"/>
  <c r="E152" i="3"/>
  <c r="D152" i="3"/>
  <c r="E151" i="3"/>
  <c r="D151" i="3"/>
  <c r="E150" i="3"/>
  <c r="D150" i="3"/>
  <c r="C145" i="3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C144" i="3"/>
  <c r="D133" i="3"/>
  <c r="D132" i="3"/>
  <c r="E132" i="3" s="1"/>
  <c r="D131" i="3"/>
  <c r="E131" i="3" s="1"/>
  <c r="E130" i="3"/>
  <c r="D130" i="3"/>
  <c r="D129" i="3"/>
  <c r="E129" i="3" s="1"/>
  <c r="D128" i="3"/>
  <c r="E128" i="3" s="1"/>
  <c r="D127" i="3"/>
  <c r="E127" i="3" s="1"/>
  <c r="E126" i="3"/>
  <c r="D126" i="3"/>
  <c r="D125" i="3"/>
  <c r="E125" i="3" s="1"/>
  <c r="D124" i="3"/>
  <c r="E124" i="3" s="1"/>
  <c r="D123" i="3"/>
  <c r="C118" i="3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C117" i="3"/>
  <c r="F106" i="3"/>
  <c r="E106" i="3"/>
  <c r="D106" i="3"/>
  <c r="K92" i="3"/>
  <c r="C90" i="3"/>
  <c r="C91" i="3" s="1"/>
  <c r="G95" i="3" s="1"/>
  <c r="G96" i="3" s="1"/>
  <c r="G97" i="3" s="1"/>
  <c r="G98" i="3" s="1"/>
  <c r="G99" i="3" s="1"/>
  <c r="G100" i="3" s="1"/>
  <c r="G101" i="3" s="1"/>
  <c r="G102" i="3" s="1"/>
  <c r="G103" i="3" s="1"/>
  <c r="K77" i="3"/>
  <c r="K76" i="3"/>
  <c r="D76" i="3"/>
  <c r="E76" i="3" s="1"/>
  <c r="E75" i="3"/>
  <c r="D75" i="3"/>
  <c r="E74" i="3"/>
  <c r="D74" i="3"/>
  <c r="E73" i="3"/>
  <c r="D73" i="3"/>
  <c r="D72" i="3"/>
  <c r="E71" i="3"/>
  <c r="D71" i="3"/>
  <c r="G70" i="3"/>
  <c r="G71" i="3" s="1"/>
  <c r="G72" i="3" s="1"/>
  <c r="G73" i="3" s="1"/>
  <c r="G74" i="3" s="1"/>
  <c r="G75" i="3" s="1"/>
  <c r="G76" i="3" s="1"/>
  <c r="E70" i="3"/>
  <c r="D70" i="3"/>
  <c r="E69" i="3"/>
  <c r="D69" i="3"/>
  <c r="C63" i="3"/>
  <c r="C64" i="3" s="1"/>
  <c r="G68" i="3" s="1"/>
  <c r="G69" i="3" s="1"/>
  <c r="D51" i="3"/>
  <c r="E51" i="3" s="1"/>
  <c r="D50" i="3"/>
  <c r="E50" i="3" s="1"/>
  <c r="D49" i="3"/>
  <c r="E49" i="3" s="1"/>
  <c r="E48" i="3"/>
  <c r="D48" i="3"/>
  <c r="D47" i="3"/>
  <c r="E47" i="3" s="1"/>
  <c r="D46" i="3"/>
  <c r="E46" i="3" s="1"/>
  <c r="D45" i="3"/>
  <c r="E45" i="3" s="1"/>
  <c r="E44" i="3"/>
  <c r="D44" i="3"/>
  <c r="E43" i="3"/>
  <c r="E52" i="3" s="1"/>
  <c r="D43" i="3"/>
  <c r="E42" i="3"/>
  <c r="D42" i="3"/>
  <c r="W41" i="3"/>
  <c r="U41" i="3"/>
  <c r="S41" i="3"/>
  <c r="Q41" i="3"/>
  <c r="O41" i="3"/>
  <c r="C36" i="3"/>
  <c r="C37" i="3" s="1"/>
  <c r="G41" i="3" s="1"/>
  <c r="G42" i="3" s="1"/>
  <c r="G43" i="3" s="1"/>
  <c r="G44" i="3" s="1"/>
  <c r="G45" i="3" s="1"/>
  <c r="G46" i="3" s="1"/>
  <c r="G47" i="3" s="1"/>
  <c r="G48" i="3" s="1"/>
  <c r="G49" i="3" s="1"/>
  <c r="W34" i="3"/>
  <c r="U34" i="3"/>
  <c r="S34" i="3"/>
  <c r="Q34" i="3"/>
  <c r="O34" i="3"/>
  <c r="K29" i="3"/>
  <c r="W27" i="3"/>
  <c r="U27" i="3"/>
  <c r="S27" i="3"/>
  <c r="Q27" i="3"/>
  <c r="O27" i="3"/>
  <c r="D24" i="3"/>
  <c r="E24" i="3" s="1"/>
  <c r="Q23" i="3"/>
  <c r="O23" i="3"/>
  <c r="E23" i="3"/>
  <c r="D23" i="3"/>
  <c r="E22" i="3"/>
  <c r="D22" i="3"/>
  <c r="E21" i="3"/>
  <c r="D21" i="3"/>
  <c r="D20" i="3"/>
  <c r="E20" i="3" s="1"/>
  <c r="E19" i="3"/>
  <c r="D19" i="3"/>
  <c r="G18" i="3"/>
  <c r="G19" i="3" s="1"/>
  <c r="G20" i="3" s="1"/>
  <c r="G21" i="3" s="1"/>
  <c r="G22" i="3" s="1"/>
  <c r="G23" i="3" s="1"/>
  <c r="G24" i="3" s="1"/>
  <c r="E18" i="3"/>
  <c r="D18" i="3"/>
  <c r="AG17" i="3"/>
  <c r="AA17" i="3"/>
  <c r="W17" i="3"/>
  <c r="O17" i="3"/>
  <c r="G17" i="3"/>
  <c r="D17" i="3"/>
  <c r="E17" i="3" s="1"/>
  <c r="D16" i="3"/>
  <c r="E16" i="3" s="1"/>
  <c r="E15" i="3"/>
  <c r="D15" i="3"/>
  <c r="K14" i="3"/>
  <c r="D14" i="3"/>
  <c r="E14" i="3" s="1"/>
  <c r="AG13" i="3"/>
  <c r="AE13" i="3"/>
  <c r="AE17" i="3" s="1"/>
  <c r="AC13" i="3"/>
  <c r="AC17" i="3" s="1"/>
  <c r="AA13" i="3"/>
  <c r="Y13" i="3"/>
  <c r="Y17" i="3" s="1"/>
  <c r="W13" i="3"/>
  <c r="U13" i="3"/>
  <c r="U17" i="3" s="1"/>
  <c r="S13" i="3"/>
  <c r="S17" i="3" s="1"/>
  <c r="Q13" i="3"/>
  <c r="Q17" i="3" s="1"/>
  <c r="E13" i="3"/>
  <c r="D13" i="3"/>
  <c r="K11" i="3"/>
  <c r="K9" i="3"/>
  <c r="M8" i="3"/>
  <c r="C8" i="3"/>
  <c r="G12" i="3" s="1"/>
  <c r="G13" i="3" s="1"/>
  <c r="G14" i="3" s="1"/>
  <c r="G15" i="3" s="1"/>
  <c r="G16" i="3" s="1"/>
  <c r="C7" i="3"/>
  <c r="K5" i="3"/>
  <c r="F1225" i="2"/>
  <c r="E1225" i="2"/>
  <c r="D1225" i="2"/>
  <c r="D1224" i="2"/>
  <c r="E1224" i="2" s="1"/>
  <c r="E1223" i="2"/>
  <c r="D1223" i="2"/>
  <c r="D1222" i="2"/>
  <c r="E1222" i="2" s="1"/>
  <c r="D1221" i="2"/>
  <c r="E1221" i="2" s="1"/>
  <c r="D1220" i="2"/>
  <c r="E1220" i="2" s="1"/>
  <c r="E1219" i="2"/>
  <c r="D1219" i="2"/>
  <c r="D1218" i="2"/>
  <c r="E1218" i="2" s="1"/>
  <c r="D1217" i="2"/>
  <c r="E1217" i="2" s="1"/>
  <c r="D1216" i="2"/>
  <c r="E1216" i="2" s="1"/>
  <c r="E1215" i="2"/>
  <c r="D1215" i="2"/>
  <c r="D1214" i="2"/>
  <c r="E1214" i="2" s="1"/>
  <c r="D1213" i="2"/>
  <c r="E1213" i="2" s="1"/>
  <c r="D1206" i="2"/>
  <c r="C1205" i="2"/>
  <c r="C1207" i="2" s="1"/>
  <c r="C1208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F1196" i="2"/>
  <c r="E1196" i="2"/>
  <c r="D1196" i="2"/>
  <c r="E1195" i="2"/>
  <c r="D1195" i="2"/>
  <c r="E1194" i="2"/>
  <c r="D1194" i="2"/>
  <c r="D1193" i="2"/>
  <c r="E1193" i="2" s="1"/>
  <c r="E1192" i="2"/>
  <c r="D1192" i="2"/>
  <c r="E1191" i="2"/>
  <c r="D1191" i="2"/>
  <c r="E1190" i="2"/>
  <c r="D1190" i="2"/>
  <c r="D1189" i="2"/>
  <c r="E1189" i="2" s="1"/>
  <c r="E1188" i="2"/>
  <c r="D1188" i="2"/>
  <c r="E1187" i="2"/>
  <c r="D1187" i="2"/>
  <c r="E1186" i="2"/>
  <c r="D1186" i="2"/>
  <c r="D1185" i="2"/>
  <c r="E1185" i="2" s="1"/>
  <c r="E1184" i="2"/>
  <c r="D1184" i="2"/>
  <c r="C1179" i="2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C1178" i="2"/>
  <c r="F1167" i="2"/>
  <c r="D1166" i="2"/>
  <c r="E1166" i="2" s="1"/>
  <c r="E1165" i="2"/>
  <c r="D1165" i="2"/>
  <c r="G1164" i="2"/>
  <c r="G1165" i="2" s="1"/>
  <c r="G1166" i="2" s="1"/>
  <c r="E1164" i="2"/>
  <c r="D1164" i="2"/>
  <c r="E1163" i="2"/>
  <c r="D1163" i="2"/>
  <c r="D1162" i="2"/>
  <c r="E1162" i="2" s="1"/>
  <c r="E1161" i="2"/>
  <c r="D1161" i="2"/>
  <c r="E1160" i="2"/>
  <c r="D1160" i="2"/>
  <c r="E1159" i="2"/>
  <c r="D1159" i="2"/>
  <c r="D1158" i="2"/>
  <c r="E1158" i="2" s="1"/>
  <c r="E1157" i="2"/>
  <c r="D1157" i="2"/>
  <c r="E1156" i="2"/>
  <c r="D1156" i="2"/>
  <c r="E1155" i="2"/>
  <c r="E1167" i="2" s="1"/>
  <c r="D1155" i="2"/>
  <c r="D1167" i="2" s="1"/>
  <c r="C1149" i="2"/>
  <c r="C1150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F1138" i="2"/>
  <c r="E1136" i="2"/>
  <c r="D1136" i="2"/>
  <c r="E1135" i="2"/>
  <c r="D1135" i="2"/>
  <c r="D1134" i="2"/>
  <c r="E1134" i="2" s="1"/>
  <c r="E1133" i="2"/>
  <c r="D1133" i="2"/>
  <c r="E1132" i="2"/>
  <c r="D1132" i="2"/>
  <c r="E1131" i="2"/>
  <c r="D1131" i="2"/>
  <c r="D1130" i="2"/>
  <c r="E1130" i="2" s="1"/>
  <c r="E1129" i="2"/>
  <c r="D1129" i="2"/>
  <c r="D1138" i="2" s="1"/>
  <c r="E1128" i="2"/>
  <c r="E1138" i="2" s="1"/>
  <c r="D1128" i="2"/>
  <c r="C1123" i="2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C1122" i="2"/>
  <c r="D1111" i="2"/>
  <c r="E1110" i="2"/>
  <c r="D1110" i="2"/>
  <c r="E1109" i="2"/>
  <c r="D1109" i="2"/>
  <c r="E1108" i="2"/>
  <c r="D1108" i="2"/>
  <c r="D1107" i="2"/>
  <c r="E1107" i="2" s="1"/>
  <c r="E1106" i="2"/>
  <c r="D1106" i="2"/>
  <c r="E1105" i="2"/>
  <c r="D1105" i="2"/>
  <c r="E1104" i="2"/>
  <c r="D1104" i="2"/>
  <c r="D1103" i="2"/>
  <c r="E1103" i="2" s="1"/>
  <c r="E1102" i="2"/>
  <c r="D1102" i="2"/>
  <c r="E1101" i="2"/>
  <c r="D1101" i="2"/>
  <c r="E1100" i="2"/>
  <c r="D1100" i="2"/>
  <c r="D1099" i="2"/>
  <c r="E1099" i="2" s="1"/>
  <c r="E1098" i="2"/>
  <c r="D1098" i="2"/>
  <c r="E1097" i="2"/>
  <c r="D1097" i="2"/>
  <c r="E1096" i="2"/>
  <c r="D1096" i="2"/>
  <c r="D1095" i="2"/>
  <c r="E1094" i="2"/>
  <c r="D1094" i="2"/>
  <c r="C1089" i="2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C1088" i="2"/>
  <c r="D1076" i="2"/>
  <c r="E1076" i="2" s="1"/>
  <c r="E1075" i="2"/>
  <c r="D1075" i="2"/>
  <c r="G1074" i="2"/>
  <c r="G1075" i="2" s="1"/>
  <c r="G1076" i="2" s="1"/>
  <c r="E1074" i="2"/>
  <c r="D1074" i="2"/>
  <c r="E1073" i="2"/>
  <c r="D1073" i="2"/>
  <c r="D1072" i="2"/>
  <c r="E1072" i="2" s="1"/>
  <c r="E1071" i="2"/>
  <c r="D1071" i="2"/>
  <c r="E1070" i="2"/>
  <c r="D1070" i="2"/>
  <c r="E1069" i="2"/>
  <c r="D1069" i="2"/>
  <c r="D1068" i="2"/>
  <c r="E1068" i="2" s="1"/>
  <c r="E1067" i="2"/>
  <c r="D1067" i="2"/>
  <c r="E1066" i="2"/>
  <c r="D1066" i="2"/>
  <c r="E1065" i="2"/>
  <c r="D1065" i="2"/>
  <c r="D1064" i="2"/>
  <c r="E1064" i="2" s="1"/>
  <c r="G1063" i="2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E1063" i="2"/>
  <c r="D1063" i="2"/>
  <c r="E1062" i="2"/>
  <c r="D1062" i="2"/>
  <c r="E1061" i="2"/>
  <c r="D1061" i="2"/>
  <c r="D1060" i="2"/>
  <c r="G1059" i="2"/>
  <c r="G1060" i="2" s="1"/>
  <c r="G1061" i="2" s="1"/>
  <c r="G1062" i="2" s="1"/>
  <c r="C1055" i="2"/>
  <c r="C1054" i="2"/>
  <c r="E1042" i="2"/>
  <c r="D1042" i="2"/>
  <c r="D1041" i="2"/>
  <c r="E1041" i="2" s="1"/>
  <c r="E1040" i="2"/>
  <c r="D1040" i="2"/>
  <c r="E1039" i="2"/>
  <c r="D1039" i="2"/>
  <c r="E1038" i="2"/>
  <c r="D1038" i="2"/>
  <c r="D1037" i="2"/>
  <c r="E1037" i="2" s="1"/>
  <c r="E1036" i="2"/>
  <c r="D1036" i="2"/>
  <c r="E1035" i="2"/>
  <c r="D1035" i="2"/>
  <c r="E1034" i="2"/>
  <c r="D1034" i="2"/>
  <c r="D1033" i="2"/>
  <c r="G1032" i="2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C1028" i="2"/>
  <c r="C1027" i="2"/>
  <c r="E1015" i="2"/>
  <c r="D1015" i="2"/>
  <c r="D1014" i="2"/>
  <c r="E1014" i="2" s="1"/>
  <c r="E1013" i="2"/>
  <c r="D1013" i="2"/>
  <c r="E1012" i="2"/>
  <c r="D1012" i="2"/>
  <c r="E1011" i="2"/>
  <c r="D1011" i="2"/>
  <c r="D1010" i="2"/>
  <c r="E1010" i="2" s="1"/>
  <c r="E1009" i="2"/>
  <c r="D1009" i="2"/>
  <c r="E1008" i="2"/>
  <c r="D1008" i="2"/>
  <c r="E1007" i="2"/>
  <c r="D1007" i="2"/>
  <c r="D1006" i="2"/>
  <c r="E1006" i="2" s="1"/>
  <c r="E1005" i="2"/>
  <c r="D1005" i="2"/>
  <c r="E1004" i="2"/>
  <c r="D1004" i="2"/>
  <c r="E1003" i="2"/>
  <c r="D1003" i="2"/>
  <c r="D1002" i="2"/>
  <c r="E1002" i="2" s="1"/>
  <c r="G1001" i="2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E1001" i="2"/>
  <c r="D1001" i="2"/>
  <c r="G1000" i="2"/>
  <c r="E1000" i="2"/>
  <c r="F1016" i="2" s="1"/>
  <c r="D1000" i="2"/>
  <c r="E999" i="2"/>
  <c r="E1016" i="2" s="1"/>
  <c r="D999" i="2"/>
  <c r="C993" i="2"/>
  <c r="C994" i="2" s="1"/>
  <c r="G998" i="2" s="1"/>
  <c r="G999" i="2" s="1"/>
  <c r="E981" i="2"/>
  <c r="D981" i="2"/>
  <c r="E980" i="2"/>
  <c r="D980" i="2"/>
  <c r="D979" i="2"/>
  <c r="E979" i="2" s="1"/>
  <c r="E978" i="2"/>
  <c r="D978" i="2"/>
  <c r="E977" i="2"/>
  <c r="D977" i="2"/>
  <c r="E976" i="2"/>
  <c r="D976" i="2"/>
  <c r="D975" i="2"/>
  <c r="E975" i="2" s="1"/>
  <c r="E974" i="2"/>
  <c r="D974" i="2"/>
  <c r="E973" i="2"/>
  <c r="D973" i="2"/>
  <c r="E972" i="2"/>
  <c r="D972" i="2"/>
  <c r="D971" i="2"/>
  <c r="E971" i="2" s="1"/>
  <c r="E970" i="2"/>
  <c r="D970" i="2"/>
  <c r="E969" i="2"/>
  <c r="D969" i="2"/>
  <c r="E968" i="2"/>
  <c r="D968" i="2"/>
  <c r="D967" i="2"/>
  <c r="E967" i="2" s="1"/>
  <c r="E966" i="2"/>
  <c r="D966" i="2"/>
  <c r="E965" i="2"/>
  <c r="D965" i="2"/>
  <c r="D982" i="2" s="1"/>
  <c r="C960" i="2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C959" i="2"/>
  <c r="E947" i="2"/>
  <c r="D947" i="2"/>
  <c r="E946" i="2"/>
  <c r="D946" i="2"/>
  <c r="E945" i="2"/>
  <c r="D945" i="2"/>
  <c r="D944" i="2"/>
  <c r="E944" i="2" s="1"/>
  <c r="E943" i="2"/>
  <c r="D943" i="2"/>
  <c r="E942" i="2"/>
  <c r="D942" i="2"/>
  <c r="E941" i="2"/>
  <c r="D941" i="2"/>
  <c r="D940" i="2"/>
  <c r="E940" i="2" s="1"/>
  <c r="E939" i="2"/>
  <c r="D939" i="2"/>
  <c r="E938" i="2"/>
  <c r="D938" i="2"/>
  <c r="E937" i="2"/>
  <c r="D937" i="2"/>
  <c r="D936" i="2"/>
  <c r="E936" i="2" s="1"/>
  <c r="E935" i="2"/>
  <c r="D935" i="2"/>
  <c r="E934" i="2"/>
  <c r="D934" i="2"/>
  <c r="E933" i="2"/>
  <c r="D933" i="2"/>
  <c r="D932" i="2"/>
  <c r="G931" i="2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E931" i="2"/>
  <c r="D931" i="2"/>
  <c r="G930" i="2"/>
  <c r="C926" i="2"/>
  <c r="C925" i="2"/>
  <c r="D913" i="2"/>
  <c r="E913" i="2" s="1"/>
  <c r="E912" i="2"/>
  <c r="D912" i="2"/>
  <c r="E911" i="2"/>
  <c r="D911" i="2"/>
  <c r="E910" i="2"/>
  <c r="D910" i="2"/>
  <c r="D909" i="2"/>
  <c r="E909" i="2" s="1"/>
  <c r="E908" i="2"/>
  <c r="D908" i="2"/>
  <c r="E907" i="2"/>
  <c r="D907" i="2"/>
  <c r="E906" i="2"/>
  <c r="D906" i="2"/>
  <c r="D905" i="2"/>
  <c r="E905" i="2" s="1"/>
  <c r="E904" i="2"/>
  <c r="D904" i="2"/>
  <c r="E903" i="2"/>
  <c r="D903" i="2"/>
  <c r="E902" i="2"/>
  <c r="D902" i="2"/>
  <c r="D901" i="2"/>
  <c r="E901" i="2" s="1"/>
  <c r="E900" i="2"/>
  <c r="D900" i="2"/>
  <c r="E899" i="2"/>
  <c r="D899" i="2"/>
  <c r="E898" i="2"/>
  <c r="D898" i="2"/>
  <c r="D897" i="2"/>
  <c r="G896" i="2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C892" i="2"/>
  <c r="C891" i="2"/>
  <c r="E880" i="2"/>
  <c r="E879" i="2"/>
  <c r="D879" i="2"/>
  <c r="D878" i="2"/>
  <c r="E878" i="2" s="1"/>
  <c r="E877" i="2"/>
  <c r="D877" i="2"/>
  <c r="E876" i="2"/>
  <c r="D876" i="2"/>
  <c r="E875" i="2"/>
  <c r="D875" i="2"/>
  <c r="D874" i="2"/>
  <c r="E874" i="2" s="1"/>
  <c r="E873" i="2"/>
  <c r="D873" i="2"/>
  <c r="E872" i="2"/>
  <c r="D872" i="2"/>
  <c r="E871" i="2"/>
  <c r="D871" i="2"/>
  <c r="D870" i="2"/>
  <c r="E870" i="2" s="1"/>
  <c r="E869" i="2"/>
  <c r="D869" i="2"/>
  <c r="E868" i="2"/>
  <c r="D868" i="2"/>
  <c r="E867" i="2"/>
  <c r="D867" i="2"/>
  <c r="D866" i="2"/>
  <c r="E866" i="2" s="1"/>
  <c r="G865" i="2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E865" i="2"/>
  <c r="D865" i="2"/>
  <c r="E864" i="2"/>
  <c r="D864" i="2"/>
  <c r="E863" i="2"/>
  <c r="D863" i="2"/>
  <c r="D880" i="2" s="1"/>
  <c r="C857" i="2"/>
  <c r="C858" i="2" s="1"/>
  <c r="G862" i="2" s="1"/>
  <c r="G863" i="2" s="1"/>
  <c r="G864" i="2" s="1"/>
  <c r="G845" i="2"/>
  <c r="E845" i="2"/>
  <c r="D845" i="2"/>
  <c r="E844" i="2"/>
  <c r="D844" i="2"/>
  <c r="D843" i="2"/>
  <c r="E843" i="2" s="1"/>
  <c r="E842" i="2"/>
  <c r="D842" i="2"/>
  <c r="E841" i="2"/>
  <c r="D841" i="2"/>
  <c r="E840" i="2"/>
  <c r="D840" i="2"/>
  <c r="D839" i="2"/>
  <c r="E839" i="2" s="1"/>
  <c r="E838" i="2"/>
  <c r="D838" i="2"/>
  <c r="E837" i="2"/>
  <c r="D837" i="2"/>
  <c r="E836" i="2"/>
  <c r="D836" i="2"/>
  <c r="D835" i="2"/>
  <c r="E835" i="2" s="1"/>
  <c r="E834" i="2"/>
  <c r="D834" i="2"/>
  <c r="E833" i="2"/>
  <c r="D833" i="2"/>
  <c r="E832" i="2"/>
  <c r="D832" i="2"/>
  <c r="D831" i="2"/>
  <c r="E831" i="2" s="1"/>
  <c r="E830" i="2"/>
  <c r="D830" i="2"/>
  <c r="E829" i="2"/>
  <c r="D829" i="2"/>
  <c r="E828" i="2"/>
  <c r="D828" i="2"/>
  <c r="D827" i="2"/>
  <c r="C822" i="2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C821" i="2"/>
  <c r="F810" i="2"/>
  <c r="E809" i="2"/>
  <c r="D809" i="2"/>
  <c r="D808" i="2"/>
  <c r="E808" i="2" s="1"/>
  <c r="E807" i="2"/>
  <c r="D807" i="2"/>
  <c r="E806" i="2"/>
  <c r="D806" i="2"/>
  <c r="E805" i="2"/>
  <c r="D805" i="2"/>
  <c r="D804" i="2"/>
  <c r="E804" i="2" s="1"/>
  <c r="E803" i="2"/>
  <c r="D803" i="2"/>
  <c r="E802" i="2"/>
  <c r="D802" i="2"/>
  <c r="E801" i="2"/>
  <c r="D801" i="2"/>
  <c r="D800" i="2"/>
  <c r="E800" i="2" s="1"/>
  <c r="E799" i="2"/>
  <c r="D799" i="2"/>
  <c r="E798" i="2"/>
  <c r="D798" i="2"/>
  <c r="E797" i="2"/>
  <c r="D797" i="2"/>
  <c r="D796" i="2"/>
  <c r="E796" i="2" s="1"/>
  <c r="G795" i="2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E795" i="2"/>
  <c r="D795" i="2"/>
  <c r="E794" i="2"/>
  <c r="D794" i="2"/>
  <c r="E793" i="2"/>
  <c r="E810" i="2" s="1"/>
  <c r="D793" i="2"/>
  <c r="D810" i="2" s="1"/>
  <c r="G792" i="2"/>
  <c r="G793" i="2" s="1"/>
  <c r="G794" i="2" s="1"/>
  <c r="C787" i="2"/>
  <c r="C788" i="2" s="1"/>
  <c r="E775" i="2"/>
  <c r="D775" i="2"/>
  <c r="D774" i="2"/>
  <c r="E774" i="2" s="1"/>
  <c r="D773" i="2"/>
  <c r="E773" i="2" s="1"/>
  <c r="E772" i="2"/>
  <c r="D772" i="2"/>
  <c r="D771" i="2"/>
  <c r="E771" i="2" s="1"/>
  <c r="D770" i="2"/>
  <c r="E770" i="2" s="1"/>
  <c r="D769" i="2"/>
  <c r="E769" i="2" s="1"/>
  <c r="D768" i="2"/>
  <c r="E768" i="2" s="1"/>
  <c r="D767" i="2"/>
  <c r="E767" i="2" s="1"/>
  <c r="D766" i="2"/>
  <c r="C760" i="2"/>
  <c r="C761" i="2" s="1"/>
  <c r="G765" i="2" s="1"/>
  <c r="G766" i="2" s="1"/>
  <c r="G767" i="2" s="1"/>
  <c r="G768" i="2" s="1"/>
  <c r="G769" i="2" s="1"/>
  <c r="G770" i="2" s="1"/>
  <c r="G771" i="2" s="1"/>
  <c r="G772" i="2" s="1"/>
  <c r="G773" i="2" s="1"/>
  <c r="D748" i="2"/>
  <c r="E748" i="2" s="1"/>
  <c r="D747" i="2"/>
  <c r="E747" i="2" s="1"/>
  <c r="D746" i="2"/>
  <c r="E746" i="2" s="1"/>
  <c r="E745" i="2"/>
  <c r="D745" i="2"/>
  <c r="D744" i="2"/>
  <c r="E744" i="2" s="1"/>
  <c r="D743" i="2"/>
  <c r="E743" i="2" s="1"/>
  <c r="D742" i="2"/>
  <c r="E742" i="2" s="1"/>
  <c r="D741" i="2"/>
  <c r="E741" i="2" s="1"/>
  <c r="D740" i="2"/>
  <c r="E740" i="2" s="1"/>
  <c r="D739" i="2"/>
  <c r="E739" i="2" s="1"/>
  <c r="D738" i="2"/>
  <c r="E738" i="2" s="1"/>
  <c r="D737" i="2"/>
  <c r="C731" i="2"/>
  <c r="C732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D719" i="2"/>
  <c r="E719" i="2" s="1"/>
  <c r="E718" i="2"/>
  <c r="D718" i="2"/>
  <c r="E717" i="2"/>
  <c r="D717" i="2"/>
  <c r="D716" i="2"/>
  <c r="E716" i="2" s="1"/>
  <c r="D715" i="2"/>
  <c r="E715" i="2" s="1"/>
  <c r="D714" i="2"/>
  <c r="E714" i="2" s="1"/>
  <c r="D713" i="2"/>
  <c r="E713" i="2" s="1"/>
  <c r="E712" i="2"/>
  <c r="D712" i="2"/>
  <c r="G711" i="2"/>
  <c r="G712" i="2" s="1"/>
  <c r="G713" i="2" s="1"/>
  <c r="G714" i="2" s="1"/>
  <c r="G715" i="2" s="1"/>
  <c r="G716" i="2" s="1"/>
  <c r="G717" i="2" s="1"/>
  <c r="G718" i="2" s="1"/>
  <c r="G719" i="2" s="1"/>
  <c r="D711" i="2"/>
  <c r="E711" i="2" s="1"/>
  <c r="E710" i="2"/>
  <c r="D710" i="2"/>
  <c r="D709" i="2"/>
  <c r="E709" i="2" s="1"/>
  <c r="D708" i="2"/>
  <c r="C703" i="2"/>
  <c r="G707" i="2" s="1"/>
  <c r="G708" i="2" s="1"/>
  <c r="G709" i="2" s="1"/>
  <c r="G710" i="2" s="1"/>
  <c r="C702" i="2"/>
  <c r="D690" i="2"/>
  <c r="E690" i="2" s="1"/>
  <c r="D689" i="2"/>
  <c r="E689" i="2" s="1"/>
  <c r="E688" i="2"/>
  <c r="D688" i="2"/>
  <c r="E687" i="2"/>
  <c r="D687" i="2"/>
  <c r="D686" i="2"/>
  <c r="E686" i="2" s="1"/>
  <c r="D685" i="2"/>
  <c r="E685" i="2" s="1"/>
  <c r="E684" i="2"/>
  <c r="D684" i="2"/>
  <c r="E683" i="2"/>
  <c r="D683" i="2"/>
  <c r="D682" i="2"/>
  <c r="E682" i="2" s="1"/>
  <c r="D681" i="2"/>
  <c r="E681" i="2" s="1"/>
  <c r="E680" i="2"/>
  <c r="D680" i="2"/>
  <c r="E679" i="2"/>
  <c r="E691" i="2" s="1"/>
  <c r="D679" i="2"/>
  <c r="C673" i="2"/>
  <c r="C674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E661" i="2"/>
  <c r="D661" i="2"/>
  <c r="E660" i="2"/>
  <c r="D660" i="2"/>
  <c r="D659" i="2"/>
  <c r="E659" i="2" s="1"/>
  <c r="D658" i="2"/>
  <c r="E658" i="2" s="1"/>
  <c r="E657" i="2"/>
  <c r="D657" i="2"/>
  <c r="E656" i="2"/>
  <c r="D656" i="2"/>
  <c r="D655" i="2"/>
  <c r="E655" i="2" s="1"/>
  <c r="D654" i="2"/>
  <c r="E654" i="2" s="1"/>
  <c r="E653" i="2"/>
  <c r="D653" i="2"/>
  <c r="E652" i="2"/>
  <c r="D652" i="2"/>
  <c r="D651" i="2"/>
  <c r="E651" i="2" s="1"/>
  <c r="D650" i="2"/>
  <c r="E650" i="2" s="1"/>
  <c r="E649" i="2"/>
  <c r="D649" i="2"/>
  <c r="E648" i="2"/>
  <c r="D648" i="2"/>
  <c r="D647" i="2"/>
  <c r="E647" i="2" s="1"/>
  <c r="D646" i="2"/>
  <c r="E646" i="2" s="1"/>
  <c r="E645" i="2"/>
  <c r="D645" i="2"/>
  <c r="E644" i="2"/>
  <c r="D644" i="2"/>
  <c r="D643" i="2"/>
  <c r="E643" i="2" s="1"/>
  <c r="D642" i="2"/>
  <c r="C637" i="2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C636" i="2"/>
  <c r="D624" i="2"/>
  <c r="E624" i="2" s="1"/>
  <c r="D623" i="2"/>
  <c r="E623" i="2" s="1"/>
  <c r="E622" i="2"/>
  <c r="D622" i="2"/>
  <c r="E621" i="2"/>
  <c r="D621" i="2"/>
  <c r="D620" i="2"/>
  <c r="E620" i="2" s="1"/>
  <c r="D619" i="2"/>
  <c r="E619" i="2" s="1"/>
  <c r="E618" i="2"/>
  <c r="D618" i="2"/>
  <c r="E617" i="2"/>
  <c r="D617" i="2"/>
  <c r="D616" i="2"/>
  <c r="E616" i="2" s="1"/>
  <c r="D615" i="2"/>
  <c r="E615" i="2" s="1"/>
  <c r="E614" i="2"/>
  <c r="D614" i="2"/>
  <c r="E613" i="2"/>
  <c r="D613" i="2"/>
  <c r="D612" i="2"/>
  <c r="E612" i="2" s="1"/>
  <c r="D611" i="2"/>
  <c r="E611" i="2" s="1"/>
  <c r="E610" i="2"/>
  <c r="D610" i="2"/>
  <c r="E609" i="2"/>
  <c r="D609" i="2"/>
  <c r="C603" i="2"/>
  <c r="C604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E591" i="2"/>
  <c r="D591" i="2"/>
  <c r="E590" i="2"/>
  <c r="D590" i="2"/>
  <c r="D589" i="2"/>
  <c r="E589" i="2" s="1"/>
  <c r="D588" i="2"/>
  <c r="E588" i="2" s="1"/>
  <c r="E587" i="2"/>
  <c r="D587" i="2"/>
  <c r="E586" i="2"/>
  <c r="D586" i="2"/>
  <c r="D585" i="2"/>
  <c r="E585" i="2" s="1"/>
  <c r="D584" i="2"/>
  <c r="E584" i="2" s="1"/>
  <c r="E583" i="2"/>
  <c r="D583" i="2"/>
  <c r="E582" i="2"/>
  <c r="D582" i="2"/>
  <c r="D581" i="2"/>
  <c r="E581" i="2" s="1"/>
  <c r="D580" i="2"/>
  <c r="E579" i="2"/>
  <c r="D579" i="2"/>
  <c r="E578" i="2"/>
  <c r="D578" i="2"/>
  <c r="C572" i="2"/>
  <c r="C573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E560" i="2"/>
  <c r="D560" i="2"/>
  <c r="E559" i="2"/>
  <c r="D559" i="2"/>
  <c r="D558" i="2"/>
  <c r="E558" i="2" s="1"/>
  <c r="D557" i="2"/>
  <c r="E557" i="2" s="1"/>
  <c r="E556" i="2"/>
  <c r="D556" i="2"/>
  <c r="E555" i="2"/>
  <c r="D555" i="2"/>
  <c r="D554" i="2"/>
  <c r="E554" i="2" s="1"/>
  <c r="D553" i="2"/>
  <c r="E552" i="2"/>
  <c r="D552" i="2"/>
  <c r="E551" i="2"/>
  <c r="D551" i="2"/>
  <c r="C545" i="2"/>
  <c r="C546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E533" i="2"/>
  <c r="D533" i="2"/>
  <c r="E532" i="2"/>
  <c r="D532" i="2"/>
  <c r="D531" i="2"/>
  <c r="E531" i="2" s="1"/>
  <c r="D530" i="2"/>
  <c r="E530" i="2" s="1"/>
  <c r="E529" i="2"/>
  <c r="D529" i="2"/>
  <c r="E528" i="2"/>
  <c r="D528" i="2"/>
  <c r="D527" i="2"/>
  <c r="E527" i="2" s="1"/>
  <c r="D526" i="2"/>
  <c r="E526" i="2" s="1"/>
  <c r="E525" i="2"/>
  <c r="D525" i="2"/>
  <c r="E524" i="2"/>
  <c r="D524" i="2"/>
  <c r="D523" i="2"/>
  <c r="E523" i="2" s="1"/>
  <c r="D522" i="2"/>
  <c r="E521" i="2"/>
  <c r="D521" i="2"/>
  <c r="E520" i="2"/>
  <c r="D520" i="2"/>
  <c r="C514" i="2"/>
  <c r="C515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E502" i="2"/>
  <c r="D502" i="2"/>
  <c r="E501" i="2"/>
  <c r="D501" i="2"/>
  <c r="D500" i="2"/>
  <c r="E500" i="2" s="1"/>
  <c r="D499" i="2"/>
  <c r="E499" i="2" s="1"/>
  <c r="E498" i="2"/>
  <c r="D498" i="2"/>
  <c r="E497" i="2"/>
  <c r="D497" i="2"/>
  <c r="D496" i="2"/>
  <c r="E496" i="2" s="1"/>
  <c r="D495" i="2"/>
  <c r="E494" i="2"/>
  <c r="D494" i="2"/>
  <c r="E493" i="2"/>
  <c r="D493" i="2"/>
  <c r="C487" i="2"/>
  <c r="C488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E475" i="2"/>
  <c r="D475" i="2"/>
  <c r="E474" i="2"/>
  <c r="D474" i="2"/>
  <c r="D473" i="2"/>
  <c r="E473" i="2" s="1"/>
  <c r="D472" i="2"/>
  <c r="E472" i="2" s="1"/>
  <c r="E471" i="2"/>
  <c r="D471" i="2"/>
  <c r="E470" i="2"/>
  <c r="D470" i="2"/>
  <c r="D469" i="2"/>
  <c r="E469" i="2" s="1"/>
  <c r="D468" i="2"/>
  <c r="E468" i="2" s="1"/>
  <c r="E467" i="2"/>
  <c r="D467" i="2"/>
  <c r="E466" i="2"/>
  <c r="D466" i="2"/>
  <c r="D465" i="2"/>
  <c r="E465" i="2" s="1"/>
  <c r="D464" i="2"/>
  <c r="E463" i="2"/>
  <c r="D463" i="2"/>
  <c r="E462" i="2"/>
  <c r="D462" i="2"/>
  <c r="C456" i="2"/>
  <c r="C457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E444" i="2"/>
  <c r="D444" i="2"/>
  <c r="E443" i="2"/>
  <c r="D443" i="2"/>
  <c r="D442" i="2"/>
  <c r="E442" i="2" s="1"/>
  <c r="D441" i="2"/>
  <c r="E441" i="2" s="1"/>
  <c r="E440" i="2"/>
  <c r="D440" i="2"/>
  <c r="E439" i="2"/>
  <c r="D439" i="2"/>
  <c r="D438" i="2"/>
  <c r="E438" i="2" s="1"/>
  <c r="D437" i="2"/>
  <c r="E436" i="2"/>
  <c r="D436" i="2"/>
  <c r="E435" i="2"/>
  <c r="D435" i="2"/>
  <c r="C429" i="2"/>
  <c r="C430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E417" i="2"/>
  <c r="D417" i="2"/>
  <c r="E416" i="2"/>
  <c r="D416" i="2"/>
  <c r="D415" i="2"/>
  <c r="E415" i="2" s="1"/>
  <c r="D414" i="2"/>
  <c r="E414" i="2" s="1"/>
  <c r="E413" i="2"/>
  <c r="D413" i="2"/>
  <c r="E412" i="2"/>
  <c r="D412" i="2"/>
  <c r="D411" i="2"/>
  <c r="E411" i="2" s="1"/>
  <c r="D410" i="2"/>
  <c r="E409" i="2"/>
  <c r="D409" i="2"/>
  <c r="E408" i="2"/>
  <c r="D408" i="2"/>
  <c r="C402" i="2"/>
  <c r="C403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E390" i="2"/>
  <c r="D390" i="2"/>
  <c r="E389" i="2"/>
  <c r="D389" i="2"/>
  <c r="D388" i="2"/>
  <c r="E388" i="2" s="1"/>
  <c r="D387" i="2"/>
  <c r="E387" i="2" s="1"/>
  <c r="E386" i="2"/>
  <c r="D386" i="2"/>
  <c r="E385" i="2"/>
  <c r="D385" i="2"/>
  <c r="D384" i="2"/>
  <c r="E384" i="2" s="1"/>
  <c r="D383" i="2"/>
  <c r="E383" i="2" s="1"/>
  <c r="E382" i="2"/>
  <c r="D382" i="2"/>
  <c r="E381" i="2"/>
  <c r="D381" i="2"/>
  <c r="D380" i="2"/>
  <c r="E380" i="2" s="1"/>
  <c r="D379" i="2"/>
  <c r="E379" i="2" s="1"/>
  <c r="E378" i="2"/>
  <c r="D378" i="2"/>
  <c r="E377" i="2"/>
  <c r="D377" i="2"/>
  <c r="D376" i="2"/>
  <c r="E376" i="2" s="1"/>
  <c r="D375" i="2"/>
  <c r="E374" i="2"/>
  <c r="D374" i="2"/>
  <c r="C369" i="2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C368" i="2"/>
  <c r="D356" i="2"/>
  <c r="E356" i="2" s="1"/>
  <c r="E355" i="2"/>
  <c r="D355" i="2"/>
  <c r="E354" i="2"/>
  <c r="D354" i="2"/>
  <c r="D353" i="2"/>
  <c r="E353" i="2" s="1"/>
  <c r="G352" i="2"/>
  <c r="G353" i="2" s="1"/>
  <c r="G354" i="2" s="1"/>
  <c r="G355" i="2" s="1"/>
  <c r="G356" i="2" s="1"/>
  <c r="D352" i="2"/>
  <c r="E352" i="2" s="1"/>
  <c r="E351" i="2"/>
  <c r="D351" i="2"/>
  <c r="E350" i="2"/>
  <c r="D350" i="2"/>
  <c r="D349" i="2"/>
  <c r="E349" i="2" s="1"/>
  <c r="G348" i="2"/>
  <c r="G349" i="2" s="1"/>
  <c r="G350" i="2" s="1"/>
  <c r="G351" i="2" s="1"/>
  <c r="D348" i="2"/>
  <c r="E347" i="2"/>
  <c r="D347" i="2"/>
  <c r="C342" i="2"/>
  <c r="G346" i="2" s="1"/>
  <c r="G347" i="2" s="1"/>
  <c r="C341" i="2"/>
  <c r="D329" i="2"/>
  <c r="E329" i="2" s="1"/>
  <c r="E328" i="2"/>
  <c r="D328" i="2"/>
  <c r="E327" i="2"/>
  <c r="D327" i="2"/>
  <c r="D326" i="2"/>
  <c r="E326" i="2" s="1"/>
  <c r="D325" i="2"/>
  <c r="E325" i="2" s="1"/>
  <c r="E324" i="2"/>
  <c r="D324" i="2"/>
  <c r="E323" i="2"/>
  <c r="D323" i="2"/>
  <c r="D322" i="2"/>
  <c r="E322" i="2" s="1"/>
  <c r="D321" i="2"/>
  <c r="E320" i="2"/>
  <c r="D320" i="2"/>
  <c r="C315" i="2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C314" i="2"/>
  <c r="D302" i="2"/>
  <c r="E302" i="2" s="1"/>
  <c r="E301" i="2"/>
  <c r="D301" i="2"/>
  <c r="E300" i="2"/>
  <c r="D300" i="2"/>
  <c r="D299" i="2"/>
  <c r="E299" i="2" s="1"/>
  <c r="D298" i="2"/>
  <c r="E298" i="2" s="1"/>
  <c r="E297" i="2"/>
  <c r="D297" i="2"/>
  <c r="E296" i="2"/>
  <c r="D296" i="2"/>
  <c r="D295" i="2"/>
  <c r="E295" i="2" s="1"/>
  <c r="D294" i="2"/>
  <c r="E294" i="2" s="1"/>
  <c r="E293" i="2"/>
  <c r="D293" i="2"/>
  <c r="E292" i="2"/>
  <c r="D292" i="2"/>
  <c r="D291" i="2"/>
  <c r="E291" i="2" s="1"/>
  <c r="E290" i="2"/>
  <c r="D290" i="2"/>
  <c r="E289" i="2"/>
  <c r="D289" i="2"/>
  <c r="E288" i="2"/>
  <c r="D288" i="2"/>
  <c r="D287" i="2"/>
  <c r="E287" i="2" s="1"/>
  <c r="E286" i="2"/>
  <c r="D286" i="2"/>
  <c r="C281" i="2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C280" i="2"/>
  <c r="F269" i="2"/>
  <c r="E269" i="2"/>
  <c r="D269" i="2"/>
  <c r="C253" i="2"/>
  <c r="C254" i="2" s="1"/>
  <c r="G258" i="2" s="1"/>
  <c r="G259" i="2" s="1"/>
  <c r="G260" i="2" s="1"/>
  <c r="G261" i="2" s="1"/>
  <c r="G262" i="2" s="1"/>
  <c r="G263" i="2" s="1"/>
  <c r="G264" i="2" s="1"/>
  <c r="G265" i="2" s="1"/>
  <c r="G266" i="2" s="1"/>
  <c r="F242" i="2"/>
  <c r="E242" i="2"/>
  <c r="D242" i="2"/>
  <c r="G231" i="2"/>
  <c r="G232" i="2" s="1"/>
  <c r="G233" i="2" s="1"/>
  <c r="C227" i="2"/>
  <c r="C226" i="2"/>
  <c r="D208" i="2"/>
  <c r="E208" i="2" s="1"/>
  <c r="D207" i="2"/>
  <c r="E207" i="2" s="1"/>
  <c r="F215" i="2" s="1"/>
  <c r="E206" i="2"/>
  <c r="D206" i="2"/>
  <c r="E205" i="2"/>
  <c r="D205" i="2"/>
  <c r="D215" i="2" s="1"/>
  <c r="C199" i="2"/>
  <c r="C200" i="2" s="1"/>
  <c r="G204" i="2" s="1"/>
  <c r="G205" i="2" s="1"/>
  <c r="G206" i="2" s="1"/>
  <c r="G207" i="2" s="1"/>
  <c r="G208" i="2" s="1"/>
  <c r="G209" i="2" s="1"/>
  <c r="G210" i="2" s="1"/>
  <c r="D187" i="2"/>
  <c r="E187" i="2" s="1"/>
  <c r="D186" i="2"/>
  <c r="E186" i="2" s="1"/>
  <c r="D185" i="2"/>
  <c r="E185" i="2" s="1"/>
  <c r="D184" i="2"/>
  <c r="E184" i="2" s="1"/>
  <c r="E183" i="2"/>
  <c r="D183" i="2"/>
  <c r="D182" i="2"/>
  <c r="E182" i="2" s="1"/>
  <c r="D181" i="2"/>
  <c r="E181" i="2" s="1"/>
  <c r="D180" i="2"/>
  <c r="E180" i="2" s="1"/>
  <c r="E188" i="2" s="1"/>
  <c r="E179" i="2"/>
  <c r="D179" i="2"/>
  <c r="D178" i="2"/>
  <c r="E178" i="2" s="1"/>
  <c r="C172" i="2"/>
  <c r="C173" i="2" s="1"/>
  <c r="G177" i="2" s="1"/>
  <c r="G178" i="2" s="1"/>
  <c r="G179" i="2" s="1"/>
  <c r="G180" i="2" s="1"/>
  <c r="G181" i="2" s="1"/>
  <c r="G182" i="2" s="1"/>
  <c r="G183" i="2" s="1"/>
  <c r="G184" i="2" s="1"/>
  <c r="G185" i="2" s="1"/>
  <c r="E160" i="2"/>
  <c r="D160" i="2"/>
  <c r="D159" i="2"/>
  <c r="E159" i="2" s="1"/>
  <c r="D158" i="2"/>
  <c r="E158" i="2" s="1"/>
  <c r="D157" i="2"/>
  <c r="E157" i="2" s="1"/>
  <c r="E156" i="2"/>
  <c r="D156" i="2"/>
  <c r="D155" i="2"/>
  <c r="E155" i="2" s="1"/>
  <c r="D154" i="2"/>
  <c r="E154" i="2" s="1"/>
  <c r="D153" i="2"/>
  <c r="E153" i="2" s="1"/>
  <c r="E152" i="2"/>
  <c r="D152" i="2"/>
  <c r="D151" i="2"/>
  <c r="E151" i="2" s="1"/>
  <c r="D150" i="2"/>
  <c r="C145" i="2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Y13" i="2" s="1"/>
  <c r="C144" i="2"/>
  <c r="D130" i="2"/>
  <c r="E130" i="2" s="1"/>
  <c r="D129" i="2"/>
  <c r="E129" i="2" s="1"/>
  <c r="D128" i="2"/>
  <c r="E128" i="2" s="1"/>
  <c r="E127" i="2"/>
  <c r="D127" i="2"/>
  <c r="D126" i="2"/>
  <c r="E126" i="2" s="1"/>
  <c r="D125" i="2"/>
  <c r="E125" i="2" s="1"/>
  <c r="D124" i="2"/>
  <c r="E124" i="2" s="1"/>
  <c r="F133" i="2" s="1"/>
  <c r="E123" i="2"/>
  <c r="D123" i="2"/>
  <c r="C117" i="2"/>
  <c r="C118" i="2" s="1"/>
  <c r="G122" i="2" s="1"/>
  <c r="G123" i="2" s="1"/>
  <c r="G124" i="2" s="1"/>
  <c r="G125" i="2" s="1"/>
  <c r="G126" i="2" s="1"/>
  <c r="G127" i="2" s="1"/>
  <c r="G128" i="2" s="1"/>
  <c r="G129" i="2" s="1"/>
  <c r="G130" i="2" s="1"/>
  <c r="D101" i="2"/>
  <c r="E101" i="2" s="1"/>
  <c r="E100" i="2"/>
  <c r="D100" i="2"/>
  <c r="D99" i="2"/>
  <c r="E99" i="2" s="1"/>
  <c r="D98" i="2"/>
  <c r="E98" i="2" s="1"/>
  <c r="D97" i="2"/>
  <c r="D106" i="2" s="1"/>
  <c r="E96" i="2"/>
  <c r="D96" i="2"/>
  <c r="C91" i="2"/>
  <c r="G95" i="2" s="1"/>
  <c r="G96" i="2" s="1"/>
  <c r="G97" i="2" s="1"/>
  <c r="G98" i="2" s="1"/>
  <c r="G99" i="2" s="1"/>
  <c r="G100" i="2" s="1"/>
  <c r="G101" i="2" s="1"/>
  <c r="G102" i="2" s="1"/>
  <c r="G103" i="2" s="1"/>
  <c r="C90" i="2"/>
  <c r="E76" i="2"/>
  <c r="D76" i="2"/>
  <c r="E75" i="2"/>
  <c r="D75" i="2"/>
  <c r="D74" i="2"/>
  <c r="E74" i="2" s="1"/>
  <c r="E73" i="2"/>
  <c r="D73" i="2"/>
  <c r="D72" i="2"/>
  <c r="D79" i="2" s="1"/>
  <c r="E71" i="2"/>
  <c r="D71" i="2"/>
  <c r="D70" i="2"/>
  <c r="E70" i="2" s="1"/>
  <c r="E69" i="2"/>
  <c r="D69" i="2"/>
  <c r="C64" i="2"/>
  <c r="G68" i="2" s="1"/>
  <c r="G69" i="2" s="1"/>
  <c r="G70" i="2" s="1"/>
  <c r="G71" i="2" s="1"/>
  <c r="G72" i="2" s="1"/>
  <c r="G73" i="2" s="1"/>
  <c r="G74" i="2" s="1"/>
  <c r="G75" i="2" s="1"/>
  <c r="G76" i="2" s="1"/>
  <c r="C63" i="2"/>
  <c r="D45" i="2"/>
  <c r="E45" i="2" s="1"/>
  <c r="D44" i="2"/>
  <c r="E44" i="2" s="1"/>
  <c r="D43" i="2"/>
  <c r="D52" i="2" s="1"/>
  <c r="E42" i="2"/>
  <c r="D42" i="2"/>
  <c r="C36" i="2"/>
  <c r="C37" i="2" s="1"/>
  <c r="W30" i="2"/>
  <c r="U30" i="2"/>
  <c r="S30" i="2"/>
  <c r="Q30" i="2"/>
  <c r="O30" i="2"/>
  <c r="K26" i="2"/>
  <c r="K45" i="2" s="1"/>
  <c r="K14" i="2" s="1"/>
  <c r="D24" i="2"/>
  <c r="E24" i="2" s="1"/>
  <c r="W23" i="2"/>
  <c r="U23" i="2"/>
  <c r="S23" i="2"/>
  <c r="D23" i="2"/>
  <c r="E23" i="2" s="1"/>
  <c r="E22" i="2"/>
  <c r="D22" i="2"/>
  <c r="D21" i="2"/>
  <c r="E21" i="2" s="1"/>
  <c r="E20" i="2"/>
  <c r="D20" i="2"/>
  <c r="Q19" i="2"/>
  <c r="Q23" i="2" s="1"/>
  <c r="O19" i="2"/>
  <c r="O23" i="2" s="1"/>
  <c r="D19" i="2"/>
  <c r="E19" i="2" s="1"/>
  <c r="E18" i="2"/>
  <c r="D18" i="2"/>
  <c r="E17" i="2"/>
  <c r="D17" i="2"/>
  <c r="AE16" i="2"/>
  <c r="AA16" i="2"/>
  <c r="S16" i="2"/>
  <c r="O16" i="2"/>
  <c r="E16" i="2"/>
  <c r="D16" i="2"/>
  <c r="W15" i="2"/>
  <c r="W16" i="2" s="1"/>
  <c r="E15" i="2"/>
  <c r="D15" i="2"/>
  <c r="D25" i="2" s="1"/>
  <c r="E14" i="2"/>
  <c r="D14" i="2"/>
  <c r="AG13" i="2"/>
  <c r="AG16" i="2" s="1"/>
  <c r="AE13" i="2"/>
  <c r="AC13" i="2"/>
  <c r="AC16" i="2" s="1"/>
  <c r="AA13" i="2"/>
  <c r="W13" i="2"/>
  <c r="U13" i="2"/>
  <c r="U16" i="2" s="1"/>
  <c r="S13" i="2"/>
  <c r="Q13" i="2"/>
  <c r="Q16" i="2" s="1"/>
  <c r="E13" i="2"/>
  <c r="D13" i="2"/>
  <c r="K11" i="2"/>
  <c r="K9" i="2"/>
  <c r="C8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C7" i="2"/>
  <c r="K5" i="2"/>
  <c r="H71" i="1"/>
  <c r="H70" i="1"/>
  <c r="H75" i="1" s="1"/>
  <c r="H76" i="1" s="1"/>
  <c r="E42" i="1"/>
  <c r="D42" i="1"/>
  <c r="C42" i="1"/>
  <c r="G40" i="1"/>
  <c r="F40" i="1"/>
  <c r="G39" i="1"/>
  <c r="F39" i="1"/>
  <c r="F38" i="1"/>
  <c r="G37" i="1"/>
  <c r="F37" i="1"/>
  <c r="G36" i="1"/>
  <c r="F36" i="1"/>
  <c r="G34" i="1"/>
  <c r="F34" i="1"/>
  <c r="G33" i="1"/>
  <c r="G30" i="1"/>
  <c r="F30" i="1"/>
  <c r="G28" i="1"/>
  <c r="F28" i="1"/>
  <c r="G27" i="1"/>
  <c r="F27" i="1"/>
  <c r="F26" i="1"/>
  <c r="G25" i="1"/>
  <c r="F25" i="1"/>
  <c r="F24" i="1"/>
  <c r="F23" i="1"/>
  <c r="G22" i="1"/>
  <c r="F22" i="1"/>
  <c r="G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4" i="1"/>
  <c r="F4" i="1"/>
  <c r="F42" i="1" s="1"/>
  <c r="G3" i="1"/>
  <c r="G42" i="1" s="1"/>
  <c r="F3" i="1"/>
  <c r="G41" i="2" l="1"/>
  <c r="G42" i="2" s="1"/>
  <c r="G43" i="2" s="1"/>
  <c r="G44" i="2" s="1"/>
  <c r="G45" i="2" s="1"/>
  <c r="G46" i="2" s="1"/>
  <c r="G47" i="2" s="1"/>
  <c r="G48" i="2" s="1"/>
  <c r="G49" i="2" s="1"/>
  <c r="K7" i="2"/>
  <c r="E25" i="2"/>
  <c r="Y16" i="2"/>
  <c r="Y12" i="2"/>
  <c r="E133" i="2"/>
  <c r="F25" i="2"/>
  <c r="E72" i="2"/>
  <c r="F79" i="2" s="1"/>
  <c r="F106" i="2"/>
  <c r="D188" i="2"/>
  <c r="F625" i="2"/>
  <c r="F110" i="6"/>
  <c r="D110" i="6"/>
  <c r="E101" i="6"/>
  <c r="E625" i="2"/>
  <c r="E737" i="2"/>
  <c r="E749" i="2" s="1"/>
  <c r="E43" i="2"/>
  <c r="F52" i="2" s="1"/>
  <c r="E150" i="2"/>
  <c r="E161" i="2" s="1"/>
  <c r="F188" i="2"/>
  <c r="F662" i="2"/>
  <c r="E642" i="2"/>
  <c r="E662" i="2" s="1"/>
  <c r="D749" i="2"/>
  <c r="D133" i="2"/>
  <c r="D161" i="2"/>
  <c r="D357" i="2"/>
  <c r="E348" i="2"/>
  <c r="E357" i="2" s="1"/>
  <c r="E476" i="2"/>
  <c r="E25" i="3"/>
  <c r="F25" i="3"/>
  <c r="E194" i="3"/>
  <c r="F194" i="3"/>
  <c r="U12" i="2"/>
  <c r="F418" i="2"/>
  <c r="E410" i="2"/>
  <c r="E418" i="2" s="1"/>
  <c r="D418" i="2"/>
  <c r="E464" i="2"/>
  <c r="F476" i="2" s="1"/>
  <c r="E495" i="2"/>
  <c r="E503" i="2" s="1"/>
  <c r="D503" i="2"/>
  <c r="D534" i="2"/>
  <c r="F592" i="2"/>
  <c r="E580" i="2"/>
  <c r="E592" i="2" s="1"/>
  <c r="E215" i="2"/>
  <c r="E385" i="3"/>
  <c r="E392" i="3" s="1"/>
  <c r="D392" i="3"/>
  <c r="E330" i="2"/>
  <c r="F720" i="2"/>
  <c r="D720" i="2"/>
  <c r="E708" i="2"/>
  <c r="E720" i="2" s="1"/>
  <c r="F303" i="2"/>
  <c r="D303" i="2"/>
  <c r="F330" i="2"/>
  <c r="D330" i="2"/>
  <c r="E321" i="2"/>
  <c r="E445" i="2"/>
  <c r="E303" i="2"/>
  <c r="D662" i="2"/>
  <c r="E1111" i="2"/>
  <c r="E97" i="2"/>
  <c r="E106" i="2" s="1"/>
  <c r="E561" i="2"/>
  <c r="F982" i="2"/>
  <c r="F1111" i="2"/>
  <c r="E1095" i="2"/>
  <c r="E72" i="3"/>
  <c r="F79" i="3"/>
  <c r="F391" i="2"/>
  <c r="E375" i="2"/>
  <c r="E391" i="2" s="1"/>
  <c r="D391" i="2"/>
  <c r="F445" i="2"/>
  <c r="E437" i="2"/>
  <c r="D445" i="2"/>
  <c r="D476" i="2"/>
  <c r="F534" i="2"/>
  <c r="E522" i="2"/>
  <c r="E534" i="2" s="1"/>
  <c r="F561" i="2"/>
  <c r="E553" i="2"/>
  <c r="D561" i="2"/>
  <c r="D592" i="2"/>
  <c r="F691" i="2"/>
  <c r="F880" i="2"/>
  <c r="F948" i="2"/>
  <c r="E932" i="2"/>
  <c r="D948" i="2"/>
  <c r="D500" i="3"/>
  <c r="E827" i="2"/>
  <c r="E846" i="2" s="1"/>
  <c r="D846" i="2"/>
  <c r="D1043" i="2"/>
  <c r="E1033" i="2"/>
  <c r="F52" i="3"/>
  <c r="E284" i="3"/>
  <c r="F914" i="2"/>
  <c r="D914" i="2"/>
  <c r="E897" i="2"/>
  <c r="E914" i="2" s="1"/>
  <c r="E982" i="2"/>
  <c r="F160" i="3"/>
  <c r="E766" i="2"/>
  <c r="D776" i="2"/>
  <c r="D1077" i="2"/>
  <c r="E1060" i="2"/>
  <c r="E1077" i="2" s="1"/>
  <c r="E79" i="3"/>
  <c r="E257" i="3"/>
  <c r="F338" i="3"/>
  <c r="F23" i="4"/>
  <c r="D23" i="4"/>
  <c r="E13" i="4"/>
  <c r="E23" i="4" s="1"/>
  <c r="E536" i="4"/>
  <c r="E546" i="4" s="1"/>
  <c r="F546" i="4"/>
  <c r="D546" i="4"/>
  <c r="E111" i="4"/>
  <c r="D625" i="2"/>
  <c r="D691" i="2"/>
  <c r="E160" i="3"/>
  <c r="D1016" i="2"/>
  <c r="D160" i="3"/>
  <c r="E153" i="3"/>
  <c r="D111" i="4"/>
  <c r="E95" i="4"/>
  <c r="F111" i="4" s="1"/>
  <c r="D79" i="3"/>
  <c r="E948" i="2"/>
  <c r="D25" i="3"/>
  <c r="E330" i="3"/>
  <c r="E338" i="3" s="1"/>
  <c r="D338" i="3"/>
  <c r="D52" i="3"/>
  <c r="F77" i="4"/>
  <c r="D77" i="4"/>
  <c r="D182" i="4"/>
  <c r="E162" i="4"/>
  <c r="E182" i="4" s="1"/>
  <c r="E482" i="4"/>
  <c r="E492" i="4" s="1"/>
  <c r="D492" i="4"/>
  <c r="K7" i="3"/>
  <c r="E145" i="4"/>
  <c r="G12" i="5"/>
  <c r="G13" i="5" s="1"/>
  <c r="G14" i="5" s="1"/>
  <c r="K7" i="5"/>
  <c r="F284" i="3"/>
  <c r="F296" i="4"/>
  <c r="E286" i="4"/>
  <c r="E296" i="4" s="1"/>
  <c r="E376" i="4"/>
  <c r="E384" i="4" s="1"/>
  <c r="E14" i="6"/>
  <c r="F23" i="6" s="1"/>
  <c r="D23" i="6"/>
  <c r="D145" i="4"/>
  <c r="K7" i="7"/>
  <c r="G12" i="7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F392" i="3"/>
  <c r="F500" i="3"/>
  <c r="E130" i="4"/>
  <c r="F145" i="4" s="1"/>
  <c r="F133" i="3"/>
  <c r="D446" i="3"/>
  <c r="E500" i="3"/>
  <c r="D384" i="4"/>
  <c r="E509" i="4"/>
  <c r="E519" i="4" s="1"/>
  <c r="F519" i="4"/>
  <c r="D519" i="4"/>
  <c r="E123" i="3"/>
  <c r="E133" i="3" s="1"/>
  <c r="E303" i="3"/>
  <c r="E311" i="3" s="1"/>
  <c r="K7" i="4"/>
  <c r="D50" i="4"/>
  <c r="E40" i="4"/>
  <c r="E50" i="4" s="1"/>
  <c r="F365" i="3"/>
  <c r="F473" i="3"/>
  <c r="E77" i="5"/>
  <c r="F230" i="3"/>
  <c r="D230" i="3"/>
  <c r="D311" i="3"/>
  <c r="E365" i="3"/>
  <c r="D419" i="3"/>
  <c r="E473" i="3"/>
  <c r="D527" i="3"/>
  <c r="E213" i="3"/>
  <c r="E230" i="3" s="1"/>
  <c r="F257" i="3"/>
  <c r="D257" i="3"/>
  <c r="E52" i="6"/>
  <c r="E41" i="5"/>
  <c r="F50" i="5" s="1"/>
  <c r="E68" i="5"/>
  <c r="F77" i="5" s="1"/>
  <c r="E95" i="5"/>
  <c r="F108" i="5" s="1"/>
  <c r="E23" i="6"/>
  <c r="G153" i="6"/>
  <c r="G154" i="6" s="1"/>
  <c r="G155" i="6" s="1"/>
  <c r="G156" i="6" s="1"/>
  <c r="G157" i="6" s="1"/>
  <c r="G158" i="6" s="1"/>
  <c r="G159" i="6" s="1"/>
  <c r="G160" i="6" s="1"/>
  <c r="G161" i="6" s="1"/>
  <c r="C150" i="6"/>
  <c r="D108" i="5"/>
  <c r="G174" i="7"/>
  <c r="G175" i="7" s="1"/>
  <c r="G176" i="7" s="1"/>
  <c r="G177" i="7" s="1"/>
  <c r="G178" i="7" s="1"/>
  <c r="G179" i="7" s="1"/>
  <c r="G180" i="7" s="1"/>
  <c r="G181" i="7" s="1"/>
  <c r="G182" i="7" s="1"/>
  <c r="C171" i="7"/>
  <c r="F83" i="6"/>
  <c r="D83" i="6"/>
  <c r="F411" i="4"/>
  <c r="F52" i="6"/>
  <c r="E70" i="6"/>
  <c r="E83" i="6" s="1"/>
  <c r="E571" i="3"/>
  <c r="D209" i="4"/>
  <c r="F209" i="4"/>
  <c r="F267" i="4"/>
  <c r="E257" i="4"/>
  <c r="E267" i="4" s="1"/>
  <c r="E357" i="4"/>
  <c r="D357" i="4"/>
  <c r="K7" i="6"/>
  <c r="D240" i="4"/>
  <c r="E226" i="4"/>
  <c r="E240" i="4" s="1"/>
  <c r="F240" i="4"/>
  <c r="D296" i="4"/>
  <c r="E330" i="4"/>
  <c r="F357" i="4"/>
  <c r="F438" i="4"/>
  <c r="D50" i="5"/>
  <c r="D77" i="5"/>
  <c r="D137" i="5"/>
  <c r="D245" i="5"/>
  <c r="E235" i="5"/>
  <c r="E245" i="5" s="1"/>
  <c r="F245" i="5"/>
  <c r="C198" i="7"/>
  <c r="G201" i="7"/>
  <c r="G202" i="7" s="1"/>
  <c r="G203" i="7" s="1"/>
  <c r="G204" i="7" s="1"/>
  <c r="G205" i="7" s="1"/>
  <c r="G206" i="7" s="1"/>
  <c r="G207" i="7" s="1"/>
  <c r="G208" i="7" s="1"/>
  <c r="G209" i="7" s="1"/>
  <c r="D218" i="5"/>
  <c r="E208" i="5"/>
  <c r="E218" i="5" s="1"/>
  <c r="D191" i="5"/>
  <c r="E181" i="5"/>
  <c r="E191" i="5" s="1"/>
  <c r="F191" i="5"/>
  <c r="C177" i="6"/>
  <c r="F465" i="4"/>
  <c r="E455" i="4"/>
  <c r="E465" i="4" s="1"/>
  <c r="D164" i="5"/>
  <c r="E154" i="5"/>
  <c r="E164" i="5" s="1"/>
  <c r="F164" i="5"/>
  <c r="E110" i="6"/>
  <c r="F137" i="5"/>
  <c r="C117" i="7"/>
  <c r="C144" i="7"/>
  <c r="D52" i="6"/>
  <c r="C204" i="6"/>
  <c r="E13" i="7"/>
  <c r="E23" i="7" s="1"/>
  <c r="K12" i="7" s="1"/>
  <c r="D23" i="7"/>
  <c r="E79" i="2" l="1"/>
  <c r="E50" i="5"/>
  <c r="F357" i="2"/>
  <c r="F749" i="2"/>
  <c r="E1043" i="2"/>
  <c r="F1043" i="2"/>
  <c r="E108" i="5"/>
  <c r="F218" i="5"/>
  <c r="K8" i="5" s="1"/>
  <c r="F384" i="4"/>
  <c r="K8" i="4" s="1"/>
  <c r="F492" i="4"/>
  <c r="F581" i="3"/>
  <c r="E581" i="3"/>
  <c r="F50" i="4"/>
  <c r="F1077" i="2"/>
  <c r="F846" i="2"/>
  <c r="K12" i="6"/>
  <c r="E776" i="2"/>
  <c r="F776" i="2"/>
  <c r="E52" i="2"/>
  <c r="K12" i="2" s="1"/>
  <c r="F311" i="3"/>
  <c r="K8" i="3" s="1"/>
  <c r="F182" i="4"/>
  <c r="K12" i="3"/>
  <c r="F23" i="7"/>
  <c r="K8" i="7" s="1"/>
  <c r="K10" i="7" s="1"/>
  <c r="K12" i="4"/>
  <c r="K8" i="6"/>
  <c r="F503" i="2"/>
  <c r="F161" i="2"/>
  <c r="K8" i="2" s="1"/>
  <c r="K10" i="4" l="1"/>
  <c r="K10" i="5"/>
  <c r="K10" i="3"/>
  <c r="K10" i="2"/>
  <c r="M10" i="2" s="1"/>
  <c r="K10" i="6"/>
  <c r="K1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750*3 = 2250
750*3= 2250
500*2=1000
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0 sa express na naging daily
</t>
        </r>
      </text>
    </comment>
    <comment ref="D6" authorId="0" shapeId="0" xr:uid="{00000000-0006-0000-0000-000003000000}">
      <text>
        <r>
          <rPr>
            <sz val="10"/>
            <color rgb="FF000000"/>
            <rFont val="Arial"/>
            <scheme val="minor"/>
          </rPr>
          <t xml:space="preserve">1. 2*1500 = 3000
2.  2*1500 = 3000
3. 2*1200 = 2400
</t>
        </r>
      </text>
    </comment>
    <comment ref="E6" authorId="0" shapeId="0" xr:uid="{00000000-0006-0000-0000-000004000000}">
      <text>
        <r>
          <rPr>
            <sz val="10"/>
            <color rgb="FF000000"/>
            <rFont val="Arial"/>
            <scheme val="minor"/>
          </rPr>
          <t>Express</t>
        </r>
      </text>
    </comment>
    <comment ref="D8" authorId="0" shapeId="0" xr:uid="{00000000-0006-0000-0000-000005000000}">
      <text>
        <r>
          <rPr>
            <sz val="10"/>
            <color rgb="FF000000"/>
            <rFont val="Arial"/>
            <scheme val="minor"/>
          </rPr>
          <t>1. 3150 last payment
2. 9750</t>
        </r>
      </text>
    </comment>
    <comment ref="E9" authorId="0" shapeId="0" xr:uid="{00000000-0006-0000-0000-000006000000}">
      <text>
        <r>
          <rPr>
            <sz val="10"/>
            <color rgb="FF000000"/>
            <rFont val="Arial"/>
            <scheme val="minor"/>
          </rPr>
          <t>4*500</t>
        </r>
      </text>
    </comment>
    <comment ref="D10" authorId="0" shapeId="0" xr:uid="{00000000-0006-0000-0000-000007000000}">
      <text>
        <r>
          <rPr>
            <sz val="10"/>
            <color rgb="FF000000"/>
            <rFont val="Arial"/>
            <scheme val="minor"/>
          </rPr>
          <t>1. 4*2200 =8800
2. 2*2200 = 4400</t>
        </r>
      </text>
    </comment>
    <comment ref="E10" authorId="0" shapeId="0" xr:uid="{00000000-0006-0000-0000-000008000000}">
      <text>
        <r>
          <rPr>
            <sz val="10"/>
            <color rgb="FF000000"/>
            <rFont val="Arial"/>
            <scheme val="minor"/>
          </rPr>
          <t>2*2200</t>
        </r>
      </text>
    </comment>
    <comment ref="E11" authorId="0" shapeId="0" xr:uid="{00000000-0006-0000-0000-000009000000}">
      <text>
        <r>
          <rPr>
            <sz val="10"/>
            <color rgb="FF000000"/>
            <rFont val="Arial"/>
            <scheme val="minor"/>
          </rPr>
          <t>4*500</t>
        </r>
      </text>
    </comment>
    <comment ref="E12" authorId="0" shapeId="0" xr:uid="{00000000-0006-0000-0000-00000A000000}">
      <text>
        <r>
          <rPr>
            <sz val="10"/>
            <color rgb="FF000000"/>
            <rFont val="Arial"/>
            <scheme val="minor"/>
          </rPr>
          <t>2*900</t>
        </r>
      </text>
    </comment>
    <comment ref="D13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1. 500*3 = 1500
2. 250*4 = 1000
nyam
</t>
        </r>
      </text>
    </comment>
    <comment ref="E13" authorId="0" shapeId="0" xr:uid="{00000000-0006-0000-0000-00000C000000}">
      <text>
        <r>
          <rPr>
            <sz val="10"/>
            <color rgb="FF000000"/>
            <rFont val="Arial"/>
            <scheme val="minor"/>
          </rPr>
          <t>2*250
1*500</t>
        </r>
      </text>
    </comment>
    <comment ref="B14" authorId="0" shapeId="0" xr:uid="{00000000-0006-0000-0000-00000D000000}">
      <text>
        <r>
          <rPr>
            <sz val="10"/>
            <color rgb="FF000000"/>
            <rFont val="Arial"/>
            <scheme val="minor"/>
          </rPr>
          <t>First account lang nagbayad + Express 18k</t>
        </r>
      </text>
    </comment>
    <comment ref="D14" authorId="0" shapeId="0" xr:uid="{00000000-0006-0000-0000-00000E000000}">
      <text>
        <r>
          <rPr>
            <sz val="10"/>
            <color rgb="FF000000"/>
            <rFont val="Arial"/>
            <scheme val="minor"/>
          </rPr>
          <t>1. 4*1200
2. 2*1200</t>
        </r>
      </text>
    </comment>
    <comment ref="E14" authorId="0" shapeId="0" xr:uid="{00000000-0006-0000-0000-00000F000000}">
      <text>
        <r>
          <rPr>
            <sz val="10"/>
            <color rgb="FF000000"/>
            <rFont val="Arial"/>
            <scheme val="minor"/>
          </rPr>
          <t>3*1200
2*1200</t>
        </r>
      </text>
    </comment>
    <comment ref="D15" authorId="0" shapeId="0" xr:uid="{00000000-0006-0000-0000-000010000000}">
      <text>
        <r>
          <rPr>
            <sz val="10"/>
            <color rgb="FF000000"/>
            <rFont val="Arial"/>
            <scheme val="minor"/>
          </rPr>
          <t>1. 800*5 = 4000
2. 4*1200 = 4800</t>
        </r>
      </text>
    </comment>
    <comment ref="E15" authorId="0" shapeId="0" xr:uid="{00000000-0006-0000-0000-000011000000}">
      <text>
        <r>
          <rPr>
            <sz val="10"/>
            <color rgb="FF000000"/>
            <rFont val="Arial"/>
            <scheme val="minor"/>
          </rPr>
          <t>3*800
3*1200</t>
        </r>
      </text>
    </comment>
    <comment ref="D16" authorId="0" shapeId="0" xr:uid="{00000000-0006-0000-0000-000012000000}">
      <text>
        <r>
          <rPr>
            <sz val="10"/>
            <color rgb="FF000000"/>
            <rFont val="Arial"/>
            <scheme val="minor"/>
          </rPr>
          <t>1. 6*250 = 1500
2. 4*250 = 1400</t>
        </r>
      </text>
    </comment>
    <comment ref="E16" authorId="0" shapeId="0" xr:uid="{00000000-0006-0000-0000-000013000000}">
      <text>
        <r>
          <rPr>
            <sz val="10"/>
            <color rgb="FF000000"/>
            <rFont val="Arial"/>
            <scheme val="minor"/>
          </rPr>
          <t>2*350
2*350</t>
        </r>
      </text>
    </comment>
    <comment ref="E18" authorId="0" shapeId="0" xr:uid="{00000000-0006-0000-0000-000014000000}">
      <text>
        <r>
          <rPr>
            <sz val="10"/>
            <color rgb="FF000000"/>
            <rFont val="Arial"/>
            <scheme val="minor"/>
          </rPr>
          <t>2*700</t>
        </r>
      </text>
    </comment>
    <comment ref="B19" authorId="0" shapeId="0" xr:uid="{00000000-0006-0000-0000-000015000000}">
      <text>
        <r>
          <rPr>
            <sz val="10"/>
            <color rgb="FF000000"/>
            <rFont val="Arial"/>
            <scheme val="minor"/>
          </rPr>
          <t>May 2 Express (1st half)</t>
        </r>
      </text>
    </comment>
    <comment ref="R19" authorId="0" shapeId="0" xr:uid="{00000000-0006-0000-0000-000016000000}">
      <text>
        <r>
          <rPr>
            <sz val="10"/>
            <color rgb="FF000000"/>
            <rFont val="Arial"/>
            <scheme val="minor"/>
          </rPr>
          <t>₱5,770.00	from Jimmy Express</t>
        </r>
      </text>
    </comment>
    <comment ref="D20" authorId="0" shapeId="0" xr:uid="{00000000-0006-0000-0000-000017000000}">
      <text>
        <r>
          <rPr>
            <sz val="10"/>
            <color rgb="FF000000"/>
            <rFont val="Arial"/>
            <scheme val="minor"/>
          </rPr>
          <t>1. 4*1200 = 4800
2. 4*250 = 1000</t>
        </r>
      </text>
    </comment>
    <comment ref="E20" authorId="0" shapeId="0" xr:uid="{00000000-0006-0000-0000-000018000000}">
      <text>
        <r>
          <rPr>
            <sz val="10"/>
            <color rgb="FF000000"/>
            <rFont val="Arial"/>
            <scheme val="minor"/>
          </rPr>
          <t>4*250
2*1200</t>
        </r>
      </text>
    </comment>
    <comment ref="E24" authorId="0" shapeId="0" xr:uid="{00000000-0006-0000-0000-000019000000}">
      <text>
        <r>
          <rPr>
            <sz val="10"/>
            <color rgb="FF000000"/>
            <rFont val="Arial"/>
            <scheme val="minor"/>
          </rPr>
          <t>2*250
1000 (interest)</t>
        </r>
      </text>
    </comment>
    <comment ref="B25" authorId="0" shapeId="0" xr:uid="{00000000-0006-0000-0000-00001A000000}">
      <text>
        <r>
          <rPr>
            <sz val="10"/>
            <color rgb="FF000000"/>
            <rFont val="Arial"/>
            <scheme val="minor"/>
          </rPr>
          <t xml:space="preserve">2nd loan 15k (don2) hulog next week
</t>
        </r>
      </text>
    </comment>
    <comment ref="D25" authorId="0" shapeId="0" xr:uid="{00000000-0006-0000-0000-00001B000000}">
      <text>
        <r>
          <rPr>
            <sz val="10"/>
            <color rgb="FF000000"/>
            <rFont val="Arial"/>
            <scheme val="minor"/>
          </rPr>
          <t>1. 3*350 = 1050
2. 5*350 = 1750</t>
        </r>
      </text>
    </comment>
    <comment ref="B31" authorId="0" shapeId="0" xr:uid="{00000000-0006-0000-0000-00001C000000}">
      <text>
        <r>
          <rPr>
            <sz val="10"/>
            <color rgb="FF000000"/>
            <rFont val="Arial"/>
            <scheme val="minor"/>
          </rPr>
          <t xml:space="preserve">Hindi pa bumabalik
</t>
        </r>
      </text>
    </comment>
    <comment ref="F44" authorId="0" shapeId="0" xr:uid="{00000000-0006-0000-0000-00001D000000}">
      <text>
        <r>
          <rPr>
            <sz val="10"/>
            <color rgb="FF000000"/>
            <rFont val="Arial"/>
            <scheme val="minor"/>
          </rPr>
          <t>Belmonte last week</t>
        </r>
      </text>
    </comment>
    <comment ref="F45" authorId="0" shapeId="0" xr:uid="{00000000-0006-0000-0000-00001E000000}">
      <text>
        <r>
          <rPr>
            <sz val="10"/>
            <color rgb="FF000000"/>
            <rFont val="Arial"/>
            <scheme val="minor"/>
          </rPr>
          <t>Janet Express last week</t>
        </r>
      </text>
    </comment>
    <comment ref="F47" authorId="0" shapeId="0" xr:uid="{00000000-0006-0000-0000-00001F000000}">
      <text>
        <r>
          <rPr>
            <sz val="10"/>
            <color rgb="FF000000"/>
            <rFont val="Arial"/>
            <scheme val="minor"/>
          </rPr>
          <t>actual amount remitted</t>
        </r>
      </text>
    </comment>
    <comment ref="F48" authorId="0" shapeId="0" xr:uid="{00000000-0006-0000-0000-000020000000}">
      <text>
        <r>
          <rPr>
            <sz val="10"/>
            <color rgb="FF000000"/>
            <rFont val="Arial"/>
            <scheme val="minor"/>
          </rPr>
          <t>to remit later</t>
        </r>
      </text>
    </comment>
  </commentList>
</comments>
</file>

<file path=xl/sharedStrings.xml><?xml version="1.0" encoding="utf-8"?>
<sst xmlns="http://schemas.openxmlformats.org/spreadsheetml/2006/main" count="3952" uniqueCount="359">
  <si>
    <t>Week 1</t>
  </si>
  <si>
    <t>Week 2</t>
  </si>
  <si>
    <t>Week 3</t>
  </si>
  <si>
    <t>Week 4</t>
  </si>
  <si>
    <t>Week 5</t>
  </si>
  <si>
    <t>N/A</t>
  </si>
  <si>
    <t>1. Debtor</t>
  </si>
  <si>
    <t>Principal amount</t>
  </si>
  <si>
    <t>Date Released</t>
  </si>
  <si>
    <t>Jan 3, 2025</t>
  </si>
  <si>
    <t>Remarks</t>
  </si>
  <si>
    <t>SUMMARY</t>
  </si>
  <si>
    <t>Amount</t>
  </si>
  <si>
    <t>Interest per month (at 10%)</t>
  </si>
  <si>
    <t>Sources:</t>
  </si>
  <si>
    <t>New</t>
  </si>
  <si>
    <t>Total investments</t>
  </si>
  <si>
    <t>Loan term (months)</t>
  </si>
  <si>
    <t>Coffers</t>
  </si>
  <si>
    <t>Borrowings</t>
  </si>
  <si>
    <t>Total interest</t>
  </si>
  <si>
    <t>Total amount involved</t>
  </si>
  <si>
    <t>Total Balance</t>
  </si>
  <si>
    <t>Amount Receivables</t>
  </si>
  <si>
    <t>Daily Amortization</t>
  </si>
  <si>
    <t>out of 2k (800 is for MJML)</t>
  </si>
  <si>
    <t>Starting Jan 4</t>
  </si>
  <si>
    <t>Amount rerolled from coffers</t>
  </si>
  <si>
    <t>Frequency of collection</t>
  </si>
  <si>
    <t>weekly</t>
  </si>
  <si>
    <t>Amount in the coffers</t>
  </si>
  <si>
    <t>No.</t>
  </si>
  <si>
    <t>Remittances</t>
  </si>
  <si>
    <t>Amortization</t>
  </si>
  <si>
    <t>Principal</t>
  </si>
  <si>
    <t>Interest</t>
  </si>
  <si>
    <t>amort paid? (Y/N)</t>
  </si>
  <si>
    <t>Balance</t>
  </si>
  <si>
    <t>Total expected interest</t>
  </si>
  <si>
    <t>Interest actually earned so far</t>
  </si>
  <si>
    <t>Jan 11, 2025 (13k)</t>
  </si>
  <si>
    <t>Y</t>
  </si>
  <si>
    <t>Receivable next week</t>
  </si>
  <si>
    <t>Collection Feb 24</t>
  </si>
  <si>
    <t>Collection March 3</t>
  </si>
  <si>
    <t>Collection Mar 10</t>
  </si>
  <si>
    <t>Collection Mar 17</t>
  </si>
  <si>
    <t>Collection Mar 24</t>
  </si>
  <si>
    <t>Collection Mar 31</t>
  </si>
  <si>
    <t>Collection Apr 7</t>
  </si>
  <si>
    <t>Collection Apr 14</t>
  </si>
  <si>
    <t>Collection Apr 21</t>
  </si>
  <si>
    <t>Collection Apr 28</t>
  </si>
  <si>
    <t>Jan 16, 2025 (8k)</t>
  </si>
  <si>
    <t>Total Withdrawals</t>
  </si>
  <si>
    <t>Coffers Feb 17</t>
  </si>
  <si>
    <t>Coffers Feb 24</t>
  </si>
  <si>
    <t>Coffers Mar 3</t>
  </si>
  <si>
    <t>Coffers Mar 10</t>
  </si>
  <si>
    <t>Coffers Mar 17</t>
  </si>
  <si>
    <t>Coffers Mar 24</t>
  </si>
  <si>
    <t>Coffers Mar 31</t>
  </si>
  <si>
    <t>Coffers Apr 7</t>
  </si>
  <si>
    <t>Coffers Apr 14</t>
  </si>
  <si>
    <t>Coffers Apr 21</t>
  </si>
  <si>
    <t>Jan 20, 2025 (6k)</t>
  </si>
  <si>
    <t>Full payment Lailani</t>
  </si>
  <si>
    <t>Full payment Jimmy + Realyn</t>
  </si>
  <si>
    <t>FP Dacpano</t>
  </si>
  <si>
    <t>FP Sagandoy</t>
  </si>
  <si>
    <t>FP Paraan</t>
  </si>
  <si>
    <t>Jan 28, 2025 (12k)</t>
  </si>
  <si>
    <t>Total</t>
  </si>
  <si>
    <t>Feb 3, 2025 (10k)</t>
  </si>
  <si>
    <t>Feb 10, 2025 (12k)</t>
  </si>
  <si>
    <t>Feb 17, 2025 (12k)</t>
  </si>
  <si>
    <t>WITHDRAWALS</t>
  </si>
  <si>
    <t>Collection May 5</t>
  </si>
  <si>
    <t>Collection May 12</t>
  </si>
  <si>
    <t>Collection May 19</t>
  </si>
  <si>
    <t>Collection May 26</t>
  </si>
  <si>
    <t>Feb 24, 2025 (12k)</t>
  </si>
  <si>
    <t>Date</t>
  </si>
  <si>
    <t>Coffers April 28</t>
  </si>
  <si>
    <t>Coffers May 5</t>
  </si>
  <si>
    <t>Coffers May 12</t>
  </si>
  <si>
    <t>Coffers May 19</t>
  </si>
  <si>
    <t>March 3, 2025 (8k)</t>
  </si>
  <si>
    <t>March 10, 2025 (12k)</t>
  </si>
  <si>
    <t>March 17, 2025 (10k)</t>
  </si>
  <si>
    <t>March 24, 2025 (3k)</t>
  </si>
  <si>
    <t>20k to BP</t>
  </si>
  <si>
    <t>Collection June 2</t>
  </si>
  <si>
    <t>Collection June 9</t>
  </si>
  <si>
    <t>Collection June 16</t>
  </si>
  <si>
    <t>Collection June 23</t>
  </si>
  <si>
    <t>Collection June 30</t>
  </si>
  <si>
    <t>Coffers May 26</t>
  </si>
  <si>
    <t>Coffers June 2</t>
  </si>
  <si>
    <t>Coffers June 9</t>
  </si>
  <si>
    <t>Coffers June 16</t>
  </si>
  <si>
    <t>Coffers June 23</t>
  </si>
  <si>
    <t>2. Debtor</t>
  </si>
  <si>
    <t>Interest per month (at 20%)</t>
  </si>
  <si>
    <t>Weekly Amortization</t>
  </si>
  <si>
    <t>Starting Jan 10</t>
  </si>
  <si>
    <t>Due date</t>
  </si>
  <si>
    <t>-</t>
  </si>
  <si>
    <t>3. Debtor</t>
  </si>
  <si>
    <t>Weekly amortization</t>
  </si>
  <si>
    <t>4. Debtor</t>
  </si>
  <si>
    <t>2/5 (30k MJML)</t>
  </si>
  <si>
    <t>Jan 6, 2025</t>
  </si>
  <si>
    <t>out of 1200 (720 is for MJML)</t>
  </si>
  <si>
    <t>Starting Jan 8</t>
  </si>
  <si>
    <t>Jan 11, 2025 (4.8K)</t>
  </si>
  <si>
    <t>Jan 16, 2025 (6K)</t>
  </si>
  <si>
    <t>Jan 20, 2025 (4.8K)</t>
  </si>
  <si>
    <t>Jan 28, 2025 (8.4K)</t>
  </si>
  <si>
    <t>Feb 3, 2025 (7.2K)</t>
  </si>
  <si>
    <t>Feb 3, 2025 (38.8k)</t>
  </si>
  <si>
    <t>5. xxx</t>
  </si>
  <si>
    <t>3/5 (20k Mommy)</t>
  </si>
  <si>
    <t>January 12, 2025</t>
  </si>
  <si>
    <t>Weekly</t>
  </si>
  <si>
    <t>out of 8750</t>
  </si>
  <si>
    <t>Jan 20, 2025 (8750)</t>
  </si>
  <si>
    <t>Jan 28, 2025 (8750)</t>
  </si>
  <si>
    <t>Feb 3, 2025 (8750)</t>
  </si>
  <si>
    <t>Feb 10, 2025 (8750)</t>
  </si>
  <si>
    <t>Feb 17, 2025 (8750)</t>
  </si>
  <si>
    <t>Feb 24, 2025 (8750)</t>
  </si>
  <si>
    <t>Mar 3, 2025 (8750)</t>
  </si>
  <si>
    <t>Mar 10, 2025 (8750)</t>
  </si>
  <si>
    <t>6. aaa</t>
  </si>
  <si>
    <t>starting Jan 14</t>
  </si>
  <si>
    <t>Mar 24, 2025 (2k) Mar 31 (1.5k)</t>
  </si>
  <si>
    <t>7. bbb</t>
  </si>
  <si>
    <t>starting Jan 18</t>
  </si>
  <si>
    <t>8. bbb</t>
  </si>
  <si>
    <t>40 days</t>
  </si>
  <si>
    <t>Starting Jan 19</t>
  </si>
  <si>
    <t>9. ccc</t>
  </si>
  <si>
    <t>2nd contract (EXP)</t>
  </si>
  <si>
    <t>Installment</t>
  </si>
  <si>
    <t>two installments</t>
  </si>
  <si>
    <t>10. ddd</t>
  </si>
  <si>
    <t>(Express)</t>
  </si>
  <si>
    <t>Jan 21, 2025</t>
  </si>
  <si>
    <t>Two installments</t>
  </si>
  <si>
    <t>11. eee</t>
  </si>
  <si>
    <t>January 28, 2025</t>
  </si>
  <si>
    <t>Interest per month (at 15%)</t>
  </si>
  <si>
    <t>100 days</t>
  </si>
  <si>
    <t>Daily</t>
  </si>
  <si>
    <t>Starting Jan 30</t>
  </si>
  <si>
    <t>12. fff</t>
  </si>
  <si>
    <t>starting Feb 5</t>
  </si>
  <si>
    <t>13. ggg</t>
  </si>
  <si>
    <t>14. aaa</t>
  </si>
  <si>
    <t>February 11, 2025</t>
  </si>
  <si>
    <t>Starting Feb 13</t>
  </si>
  <si>
    <t>15. bbb</t>
  </si>
  <si>
    <t>starting Feb 13</t>
  </si>
  <si>
    <t>16. ccc</t>
  </si>
  <si>
    <t>Feb 12, 2025</t>
  </si>
  <si>
    <t>Daily amortization</t>
  </si>
  <si>
    <t>17. ddd</t>
  </si>
  <si>
    <t>N</t>
  </si>
  <si>
    <t>18. eee</t>
  </si>
  <si>
    <t>Starting Feb 14</t>
  </si>
  <si>
    <t>19. fff</t>
  </si>
  <si>
    <t>Starting Feb 19</t>
  </si>
  <si>
    <t>20. aaa</t>
  </si>
  <si>
    <t>Starting Feb 20</t>
  </si>
  <si>
    <t>21. bbb</t>
  </si>
  <si>
    <t>22. ccc</t>
  </si>
  <si>
    <t>23. ddd</t>
  </si>
  <si>
    <t>Starting Feb 26</t>
  </si>
  <si>
    <t>daily</t>
  </si>
  <si>
    <t>24. eee</t>
  </si>
  <si>
    <t>25. fff</t>
  </si>
  <si>
    <t>26. aaa</t>
  </si>
  <si>
    <t>Starting Mar 5</t>
  </si>
  <si>
    <t>27. bbb</t>
  </si>
  <si>
    <t>Express</t>
  </si>
  <si>
    <t>Mar 3, 2025</t>
  </si>
  <si>
    <t>monthly installment</t>
  </si>
  <si>
    <t>2 installments</t>
  </si>
  <si>
    <t>28. ccc</t>
  </si>
  <si>
    <t>0</t>
  </si>
  <si>
    <t>29. ddd</t>
  </si>
  <si>
    <t>Starting Mar 12</t>
  </si>
  <si>
    <t>30. eee</t>
  </si>
  <si>
    <t>31. fff</t>
  </si>
  <si>
    <t>Mar 17, 2025</t>
  </si>
  <si>
    <t>Starting Mar 19</t>
  </si>
  <si>
    <t>32. aaa</t>
  </si>
  <si>
    <t>Starting Mar 26</t>
  </si>
  <si>
    <t>33. bbb</t>
  </si>
  <si>
    <t>Starting Apr 2</t>
  </si>
  <si>
    <t>34. ccc</t>
  </si>
  <si>
    <t>35. ddd</t>
  </si>
  <si>
    <t>Interest per month (at 60%)</t>
  </si>
  <si>
    <t>15 days</t>
  </si>
  <si>
    <t>One installment</t>
  </si>
  <si>
    <t>1 Installment</t>
  </si>
  <si>
    <t>36. eee</t>
  </si>
  <si>
    <t>Starting Apr 9</t>
  </si>
  <si>
    <t>37. fff</t>
  </si>
  <si>
    <t>April 24, 2025</t>
  </si>
  <si>
    <t>38. aaa</t>
  </si>
  <si>
    <t>April 21, 2025</t>
  </si>
  <si>
    <t>Starting Apr 23</t>
  </si>
  <si>
    <t>39. bbb</t>
  </si>
  <si>
    <t>Starting May 5</t>
  </si>
  <si>
    <t>40. ccc</t>
  </si>
  <si>
    <t>Starting May 7</t>
  </si>
  <si>
    <t>41 Daryll</t>
  </si>
  <si>
    <t>Interest per month</t>
  </si>
  <si>
    <t>1. aaa</t>
  </si>
  <si>
    <t>out of 2k (1200 for DPEE)</t>
  </si>
  <si>
    <t>12k erwin unpaid</t>
  </si>
  <si>
    <t>Collection March 10</t>
  </si>
  <si>
    <t>Collection March 17</t>
  </si>
  <si>
    <t>Collection March 24</t>
  </si>
  <si>
    <t>Collection March 31</t>
  </si>
  <si>
    <t>Flora Collection</t>
  </si>
  <si>
    <t>Jan 27, 2025 (12k)</t>
  </si>
  <si>
    <t>Full Payment Matchoc</t>
  </si>
  <si>
    <t>Full payment genie</t>
  </si>
  <si>
    <t>Pang bakasyon hehe</t>
  </si>
  <si>
    <t>Mar 3, 2025 (8k)</t>
  </si>
  <si>
    <t>Metrobank Passbook</t>
  </si>
  <si>
    <t>Mar 10, 2025 (12k)</t>
  </si>
  <si>
    <t>Mar 17, 2025 (10k)</t>
  </si>
  <si>
    <t>Mar 24, 2025 (5.8k)</t>
  </si>
  <si>
    <t>Coffers Apr 28</t>
  </si>
  <si>
    <t>FP Belmonte</t>
  </si>
  <si>
    <t>2. bbb</t>
  </si>
  <si>
    <t>1st Contract</t>
  </si>
  <si>
    <t>3/5 (20k DPEE)</t>
  </si>
  <si>
    <t>out of 1200 (480 is for DPEE)</t>
  </si>
  <si>
    <t>Jan 27, 2025 (8.4K)</t>
  </si>
  <si>
    <t>Feb 3, 2025 (7.2k)</t>
  </si>
  <si>
    <t>as of March 1, 2025</t>
  </si>
  <si>
    <t>3. ccc</t>
  </si>
  <si>
    <t>unpaid commissions</t>
  </si>
  <si>
    <t>erwin 50k (15%) NEW - mommy</t>
  </si>
  <si>
    <t>Jan 12, 2025</t>
  </si>
  <si>
    <t>pacita 10k (20%) NEW - kennie</t>
  </si>
  <si>
    <t>bacolong express 30k (20%) NEW - mjml</t>
  </si>
  <si>
    <t>genie 10k (20%) NEW - mommy</t>
  </si>
  <si>
    <t>cayad 10k (20%) NEW - mommy</t>
  </si>
  <si>
    <t>sucalo 10k (20%) NEW - mommy</t>
  </si>
  <si>
    <t>Starting Jan 20</t>
  </si>
  <si>
    <t>azril 10k (20%) NEW - mommy</t>
  </si>
  <si>
    <t>aboli 10k (20%) NEW - kennie</t>
  </si>
  <si>
    <t>erwin 50k (20%) NEW - mjml</t>
  </si>
  <si>
    <t>aragon 20k (20%) END - mommy</t>
  </si>
  <si>
    <t>bacolong 10k (20%) END - kennie</t>
  </si>
  <si>
    <t>new investments</t>
  </si>
  <si>
    <t>aboli 10k - kennie</t>
  </si>
  <si>
    <t>erwin 50k - mjml</t>
  </si>
  <si>
    <t>sum utang (wow pautang)</t>
  </si>
  <si>
    <t>balance of 15k</t>
  </si>
  <si>
    <t>charlene 300k</t>
  </si>
  <si>
    <t>rent</t>
  </si>
  <si>
    <t>balance</t>
  </si>
  <si>
    <t>4. ddd</t>
  </si>
  <si>
    <t>2nd Contract</t>
  </si>
  <si>
    <t>1/3 (10K KLML, 10K DPEE)</t>
  </si>
  <si>
    <t>charlene 500k</t>
  </si>
  <si>
    <t>damit mommy</t>
  </si>
  <si>
    <t>shoes</t>
  </si>
  <si>
    <t>fossil (13.6k/6=2,267) [check if 3rd]</t>
  </si>
  <si>
    <t>daddy phone (17k/12=1,417) [check if 3rd]</t>
  </si>
  <si>
    <t>dryer</t>
  </si>
  <si>
    <t>Installments</t>
  </si>
  <si>
    <t>Starting Jan 25, 2025</t>
  </si>
  <si>
    <t>Starting Jan 30, 2025</t>
  </si>
  <si>
    <t>40k (RML)</t>
  </si>
  <si>
    <t>out of 15k</t>
  </si>
  <si>
    <t>out of 1500</t>
  </si>
  <si>
    <t>Starting Feb 5</t>
  </si>
  <si>
    <t>Feb 10, 2025 (7.5k)</t>
  </si>
  <si>
    <t>Feb 17, 2025 (9k)</t>
  </si>
  <si>
    <t>Feb 24, 2025 (10.5k)</t>
  </si>
  <si>
    <t>Mar 3, 2025 (9k)</t>
  </si>
  <si>
    <t>Mar 10, 2025 (9k)</t>
  </si>
  <si>
    <t>Mar 17, 2025 (9k)</t>
  </si>
  <si>
    <t>Mar 24, 2025 (6k)</t>
  </si>
  <si>
    <t>Mar 31, 2025 (9k)</t>
  </si>
  <si>
    <t>Apr 7, 2025 (3k)</t>
  </si>
  <si>
    <t>Apr 14, 2025 (3k)</t>
  </si>
  <si>
    <t>Apr 28, 2025 (4.8k)</t>
  </si>
  <si>
    <t>May 5, 2025 (3.2k)</t>
  </si>
  <si>
    <t>May 12, 2025 (4.8k)</t>
  </si>
  <si>
    <t>Feb 18, 2025</t>
  </si>
  <si>
    <t>daily installment</t>
  </si>
  <si>
    <t>Starting Mar 18</t>
  </si>
  <si>
    <t>installment</t>
  </si>
  <si>
    <t>3/9/2025 [Mar 12, 2025]</t>
  </si>
  <si>
    <t>to be paid daily for 1 mo. at 20%</t>
  </si>
  <si>
    <t>P=12k, I=2.4k, daily amort = 500</t>
  </si>
  <si>
    <t>(20k RML)</t>
  </si>
  <si>
    <t>March 10, 2025 (6k)</t>
  </si>
  <si>
    <t>March 17, 2025 (7.2k)</t>
  </si>
  <si>
    <t>March 24, 2025 (3.6k)</t>
  </si>
  <si>
    <t>Mar 31, 2025 (4.8k)</t>
  </si>
  <si>
    <t>Apr 7, 2025 (4.8k)</t>
  </si>
  <si>
    <t>Apr 14, 2025 (4.8k)</t>
  </si>
  <si>
    <t>Apr 21, 2025 (3.6k)</t>
  </si>
  <si>
    <t>May 5, 2025 (3.6k)</t>
  </si>
  <si>
    <t>Mar 12, 2025</t>
  </si>
  <si>
    <t>Starting Mar 14</t>
  </si>
  <si>
    <t>April 7, 2025</t>
  </si>
  <si>
    <t>Apr 14, 2025</t>
  </si>
  <si>
    <t>2/5 (30k DPEE)</t>
  </si>
  <si>
    <t>16200 to be paid by Daryll</t>
  </si>
  <si>
    <t>Collection April 7</t>
  </si>
  <si>
    <t>Collection April 14</t>
  </si>
  <si>
    <t>Collection April 21</t>
  </si>
  <si>
    <t>Collection April 28</t>
  </si>
  <si>
    <t>FP Cayad</t>
  </si>
  <si>
    <t>TOTAL</t>
  </si>
  <si>
    <t>BPI MJML</t>
  </si>
  <si>
    <t>FP Nora Calimquim</t>
  </si>
  <si>
    <t>Starting Jan 22</t>
  </si>
  <si>
    <t>Starting Jan 24</t>
  </si>
  <si>
    <t>1450 (1500)</t>
  </si>
  <si>
    <t>Starting Feb 2</t>
  </si>
  <si>
    <t>60k (MJML)</t>
  </si>
  <si>
    <t>out of 1450</t>
  </si>
  <si>
    <t>(30k MJML)</t>
  </si>
  <si>
    <t>(out of 12k)</t>
  </si>
  <si>
    <t>May 19, 2025 (4.8k)</t>
  </si>
  <si>
    <t>March 17, 2025</t>
  </si>
  <si>
    <t>March 24, 2025</t>
  </si>
  <si>
    <t>March 31, 2025</t>
  </si>
  <si>
    <t>2 Installments</t>
  </si>
  <si>
    <t>Starting April 30</t>
  </si>
  <si>
    <t>1/3 (10K MJML, 10K DPEE)</t>
  </si>
  <si>
    <t>Savings</t>
  </si>
  <si>
    <t>Bluephoenix</t>
  </si>
  <si>
    <t>Full payment Pacita</t>
  </si>
  <si>
    <t>FP Pacita</t>
  </si>
  <si>
    <t>Starting Feb 7</t>
  </si>
  <si>
    <t>April 28, 2025</t>
  </si>
  <si>
    <t>collection feb 24</t>
  </si>
  <si>
    <t>coffers feb 17</t>
  </si>
  <si>
    <t>FP Pacis</t>
  </si>
  <si>
    <t>F. ________________________</t>
  </si>
  <si>
    <t>Monthly Amortization</t>
  </si>
  <si>
    <t>G. ________________________</t>
  </si>
  <si>
    <t>H. ________________________</t>
  </si>
  <si>
    <t>3. ________________________</t>
  </si>
  <si>
    <t>4.  ________________________</t>
  </si>
  <si>
    <t>E. 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</si>
</sst>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₱]#,##0.00"/>
    <numFmt numFmtId="165" formatCode="mmmm\ d"/>
    <numFmt numFmtId="166" formatCode="mm/dd/yyyy"/>
    <numFmt numFmtId="167" formatCode="mmmm\ d\,\ yyyy"/>
    <numFmt numFmtId="168" formatCode="mmm\ d\,\ yyyy"/>
    <numFmt numFmtId="169" formatCode="mmm\ d"/>
  </numFmts>
  <fonts count="2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FF0000"/>
      <name val="Arial"/>
      <scheme val="minor"/>
    </font>
    <font>
      <b/>
      <i/>
      <sz val="10"/>
      <color rgb="FFFF0000"/>
      <name val="Arial"/>
      <scheme val="minor"/>
    </font>
    <font>
      <sz val="10"/>
      <color theme="1"/>
      <name val="Arial"/>
    </font>
    <font>
      <b/>
      <sz val="14"/>
      <color theme="1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i/>
      <sz val="10"/>
      <color rgb="FF6AA84F"/>
      <name val="Arial"/>
      <scheme val="minor"/>
    </font>
    <font>
      <sz val="10"/>
      <color rgb="FF6AA84F"/>
      <name val="Arial"/>
      <scheme val="minor"/>
    </font>
    <font>
      <b/>
      <sz val="10"/>
      <color rgb="FFFF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rgb="FFFFFFFF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b/>
      <i/>
      <sz val="10"/>
      <color rgb="FFFF0000"/>
      <name val="Arial"/>
    </font>
    <font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2" borderId="1" xfId="0" applyFont="1" applyFill="1" applyBorder="1"/>
    <xf numFmtId="164" fontId="1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7" fillId="2" borderId="1" xfId="0" applyFont="1" applyFill="1" applyBorder="1"/>
    <xf numFmtId="0" fontId="2" fillId="0" borderId="0" xfId="0" applyFont="1"/>
    <xf numFmtId="165" fontId="1" fillId="0" borderId="0" xfId="0" applyNumberFormat="1" applyFont="1"/>
    <xf numFmtId="0" fontId="5" fillId="0" borderId="0" xfId="0" applyFont="1"/>
    <xf numFmtId="164" fontId="1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/>
    </xf>
    <xf numFmtId="16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/>
    <xf numFmtId="164" fontId="16" fillId="0" borderId="0" xfId="0" applyNumberFormat="1" applyFont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8" fillId="5" borderId="3" xfId="0" applyFont="1" applyFill="1" applyBorder="1"/>
    <xf numFmtId="0" fontId="8" fillId="5" borderId="4" xfId="0" applyFont="1" applyFill="1" applyBorder="1"/>
    <xf numFmtId="4" fontId="17" fillId="5" borderId="1" xfId="0" applyNumberFormat="1" applyFont="1" applyFill="1" applyBorder="1" applyAlignment="1">
      <alignment horizontal="right"/>
    </xf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8" fillId="5" borderId="7" xfId="0" applyFont="1" applyFill="1" applyBorder="1"/>
    <xf numFmtId="49" fontId="8" fillId="5" borderId="1" xfId="0" applyNumberFormat="1" applyFont="1" applyFill="1" applyBorder="1" applyAlignment="1">
      <alignment horizontal="right"/>
    </xf>
    <xf numFmtId="0" fontId="8" fillId="5" borderId="1" xfId="0" applyFont="1" applyFill="1" applyBorder="1"/>
    <xf numFmtId="0" fontId="8" fillId="5" borderId="8" xfId="0" applyFont="1" applyFill="1" applyBorder="1" applyAlignment="1">
      <alignment horizontal="center" wrapText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/>
    </xf>
    <xf numFmtId="0" fontId="19" fillId="0" borderId="0" xfId="0" applyFont="1"/>
    <xf numFmtId="4" fontId="8" fillId="5" borderId="1" xfId="0" applyNumberFormat="1" applyFont="1" applyFill="1" applyBorder="1" applyAlignment="1">
      <alignment horizontal="right"/>
    </xf>
    <xf numFmtId="4" fontId="8" fillId="5" borderId="0" xfId="0" applyNumberFormat="1" applyFont="1" applyFill="1"/>
    <xf numFmtId="0" fontId="8" fillId="5" borderId="1" xfId="0" applyFont="1" applyFill="1" applyBorder="1" applyAlignment="1">
      <alignment horizontal="center"/>
    </xf>
    <xf numFmtId="0" fontId="8" fillId="5" borderId="8" xfId="0" applyFont="1" applyFill="1" applyBorder="1"/>
    <xf numFmtId="0" fontId="17" fillId="0" borderId="1" xfId="0" applyFont="1" applyBorder="1"/>
    <xf numFmtId="4" fontId="8" fillId="0" borderId="0" xfId="0" applyNumberFormat="1" applyFont="1" applyAlignment="1">
      <alignment horizontal="right"/>
    </xf>
    <xf numFmtId="0" fontId="8" fillId="0" borderId="1" xfId="0" applyFont="1" applyBorder="1"/>
    <xf numFmtId="4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/>
    <xf numFmtId="0" fontId="8" fillId="5" borderId="0" xfId="0" applyFont="1" applyFill="1" applyAlignment="1">
      <alignment vertical="top"/>
    </xf>
    <xf numFmtId="166" fontId="17" fillId="0" borderId="0" xfId="0" applyNumberFormat="1" applyFont="1" applyAlignment="1">
      <alignment horizontal="right"/>
    </xf>
    <xf numFmtId="0" fontId="20" fillId="0" borderId="0" xfId="0" applyFont="1"/>
    <xf numFmtId="2" fontId="17" fillId="5" borderId="1" xfId="0" applyNumberFormat="1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17" fillId="6" borderId="1" xfId="0" applyFont="1" applyFill="1" applyBorder="1"/>
    <xf numFmtId="4" fontId="17" fillId="6" borderId="1" xfId="0" applyNumberFormat="1" applyFont="1" applyFill="1" applyBorder="1" applyAlignment="1">
      <alignment horizontal="right"/>
    </xf>
    <xf numFmtId="4" fontId="17" fillId="0" borderId="0" xfId="0" applyNumberFormat="1" applyFont="1" applyAlignment="1">
      <alignment horizontal="center"/>
    </xf>
    <xf numFmtId="0" fontId="8" fillId="5" borderId="11" xfId="0" applyFont="1" applyFill="1" applyBorder="1" applyAlignment="1">
      <alignment horizontal="center"/>
    </xf>
    <xf numFmtId="4" fontId="8" fillId="5" borderId="1" xfId="0" applyNumberFormat="1" applyFont="1" applyFill="1" applyBorder="1" applyAlignment="1">
      <alignment horizontal="center"/>
    </xf>
    <xf numFmtId="4" fontId="8" fillId="7" borderId="1" xfId="0" applyNumberFormat="1" applyFont="1" applyFill="1" applyBorder="1" applyAlignment="1">
      <alignment horizontal="right"/>
    </xf>
    <xf numFmtId="4" fontId="8" fillId="5" borderId="1" xfId="0" applyNumberFormat="1" applyFont="1" applyFill="1" applyBorder="1"/>
    <xf numFmtId="4" fontId="8" fillId="0" borderId="0" xfId="0" applyNumberFormat="1" applyFont="1"/>
    <xf numFmtId="4" fontId="2" fillId="0" borderId="0" xfId="0" applyNumberFormat="1" applyFont="1"/>
    <xf numFmtId="4" fontId="8" fillId="0" borderId="12" xfId="0" applyNumberFormat="1" applyFont="1" applyBorder="1"/>
    <xf numFmtId="4" fontId="17" fillId="6" borderId="13" xfId="0" applyNumberFormat="1" applyFont="1" applyFill="1" applyBorder="1"/>
    <xf numFmtId="4" fontId="1" fillId="0" borderId="12" xfId="0" applyNumberFormat="1" applyFont="1" applyBorder="1"/>
    <xf numFmtId="4" fontId="17" fillId="0" borderId="13" xfId="0" applyNumberFormat="1" applyFont="1" applyBorder="1"/>
    <xf numFmtId="4" fontId="17" fillId="3" borderId="13" xfId="0" applyNumberFormat="1" applyFont="1" applyFill="1" applyBorder="1"/>
    <xf numFmtId="4" fontId="1" fillId="0" borderId="0" xfId="0" applyNumberFormat="1" applyFont="1"/>
    <xf numFmtId="4" fontId="8" fillId="0" borderId="11" xfId="0" applyNumberFormat="1" applyFont="1" applyBorder="1"/>
    <xf numFmtId="4" fontId="8" fillId="0" borderId="8" xfId="0" applyNumberFormat="1" applyFont="1" applyBorder="1"/>
    <xf numFmtId="4" fontId="1" fillId="0" borderId="11" xfId="0" applyNumberFormat="1" applyFont="1" applyBorder="1"/>
    <xf numFmtId="4" fontId="17" fillId="0" borderId="14" xfId="0" applyNumberFormat="1" applyFont="1" applyBorder="1"/>
    <xf numFmtId="4" fontId="17" fillId="0" borderId="15" xfId="0" applyNumberFormat="1" applyFont="1" applyBorder="1"/>
    <xf numFmtId="165" fontId="17" fillId="0" borderId="0" xfId="0" applyNumberFormat="1" applyFont="1"/>
    <xf numFmtId="0" fontId="17" fillId="0" borderId="0" xfId="0" applyFont="1"/>
    <xf numFmtId="0" fontId="17" fillId="0" borderId="1" xfId="0" applyFont="1" applyBorder="1" applyAlignment="1">
      <alignment horizontal="center"/>
    </xf>
    <xf numFmtId="167" fontId="8" fillId="0" borderId="1" xfId="0" applyNumberFormat="1" applyFont="1" applyBorder="1"/>
    <xf numFmtId="164" fontId="8" fillId="0" borderId="1" xfId="0" applyNumberFormat="1" applyFont="1" applyBorder="1"/>
    <xf numFmtId="0" fontId="8" fillId="5" borderId="1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4" fontId="8" fillId="5" borderId="9" xfId="0" applyNumberFormat="1" applyFont="1" applyFill="1" applyBorder="1"/>
    <xf numFmtId="4" fontId="8" fillId="5" borderId="9" xfId="0" applyNumberFormat="1" applyFont="1" applyFill="1" applyBorder="1" applyAlignment="1">
      <alignment horizontal="right"/>
    </xf>
    <xf numFmtId="164" fontId="8" fillId="0" borderId="0" xfId="0" applyNumberFormat="1" applyFont="1"/>
    <xf numFmtId="0" fontId="8" fillId="5" borderId="17" xfId="0" applyFont="1" applyFill="1" applyBorder="1"/>
    <xf numFmtId="4" fontId="8" fillId="5" borderId="18" xfId="0" applyNumberFormat="1" applyFont="1" applyFill="1" applyBorder="1"/>
    <xf numFmtId="0" fontId="8" fillId="5" borderId="18" xfId="0" applyFont="1" applyFill="1" applyBorder="1"/>
    <xf numFmtId="0" fontId="8" fillId="5" borderId="18" xfId="0" applyFont="1" applyFill="1" applyBorder="1" applyAlignment="1">
      <alignment horizontal="right"/>
    </xf>
    <xf numFmtId="0" fontId="8" fillId="5" borderId="19" xfId="0" applyFont="1" applyFill="1" applyBorder="1"/>
    <xf numFmtId="168" fontId="8" fillId="0" borderId="1" xfId="0" applyNumberFormat="1" applyFont="1" applyBorder="1"/>
    <xf numFmtId="165" fontId="8" fillId="0" borderId="1" xfId="0" applyNumberFormat="1" applyFont="1" applyBorder="1"/>
    <xf numFmtId="167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64" fontId="8" fillId="0" borderId="1" xfId="0" applyNumberFormat="1" applyFont="1" applyBorder="1" applyAlignment="1">
      <alignment horizontal="right"/>
    </xf>
    <xf numFmtId="167" fontId="8" fillId="5" borderId="1" xfId="0" applyNumberFormat="1" applyFont="1" applyFill="1" applyBorder="1" applyAlignment="1">
      <alignment horizontal="center"/>
    </xf>
    <xf numFmtId="0" fontId="21" fillId="0" borderId="1" xfId="0" applyFont="1" applyBorder="1"/>
    <xf numFmtId="164" fontId="17" fillId="0" borderId="1" xfId="0" applyNumberFormat="1" applyFont="1" applyBorder="1"/>
    <xf numFmtId="168" fontId="8" fillId="5" borderId="1" xfId="0" applyNumberFormat="1" applyFont="1" applyFill="1" applyBorder="1" applyAlignment="1">
      <alignment horizontal="center"/>
    </xf>
    <xf numFmtId="0" fontId="22" fillId="0" borderId="0" xfId="0" applyFont="1"/>
    <xf numFmtId="0" fontId="8" fillId="5" borderId="11" xfId="0" applyFont="1" applyFill="1" applyBorder="1"/>
    <xf numFmtId="168" fontId="8" fillId="5" borderId="1" xfId="0" applyNumberFormat="1" applyFont="1" applyFill="1" applyBorder="1"/>
    <xf numFmtId="4" fontId="8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64" fontId="17" fillId="0" borderId="0" xfId="0" applyNumberFormat="1" applyFont="1"/>
    <xf numFmtId="49" fontId="8" fillId="5" borderId="0" xfId="0" applyNumberFormat="1" applyFont="1" applyFill="1" applyAlignment="1">
      <alignment horizontal="center"/>
    </xf>
    <xf numFmtId="4" fontId="8" fillId="5" borderId="18" xfId="0" applyNumberFormat="1" applyFont="1" applyFill="1" applyBorder="1" applyAlignment="1">
      <alignment horizontal="right"/>
    </xf>
    <xf numFmtId="167" fontId="8" fillId="5" borderId="1" xfId="0" applyNumberFormat="1" applyFont="1" applyFill="1" applyBorder="1" applyAlignment="1">
      <alignment horizontal="right"/>
    </xf>
    <xf numFmtId="167" fontId="8" fillId="5" borderId="1" xfId="0" applyNumberFormat="1" applyFont="1" applyFill="1" applyBorder="1"/>
    <xf numFmtId="0" fontId="8" fillId="5" borderId="3" xfId="0" applyFont="1" applyFill="1" applyBorder="1" applyAlignment="1">
      <alignment horizontal="right"/>
    </xf>
    <xf numFmtId="0" fontId="8" fillId="5" borderId="0" xfId="0" applyFont="1" applyFill="1" applyAlignment="1">
      <alignment horizontal="right"/>
    </xf>
    <xf numFmtId="2" fontId="8" fillId="5" borderId="1" xfId="0" applyNumberFormat="1" applyFont="1" applyFill="1" applyBorder="1" applyAlignment="1">
      <alignment horizontal="right"/>
    </xf>
    <xf numFmtId="165" fontId="21" fillId="5" borderId="0" xfId="0" applyNumberFormat="1" applyFont="1" applyFill="1"/>
    <xf numFmtId="0" fontId="8" fillId="0" borderId="3" xfId="0" applyFont="1" applyBorder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4" fontId="17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49" fontId="8" fillId="0" borderId="1" xfId="0" applyNumberFormat="1" applyFont="1" applyBorder="1" applyAlignment="1">
      <alignment horizontal="right"/>
    </xf>
    <xf numFmtId="0" fontId="8" fillId="0" borderId="8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8" xfId="0" applyFont="1" applyBorder="1"/>
    <xf numFmtId="0" fontId="8" fillId="0" borderId="0" xfId="0" applyFont="1" applyAlignment="1">
      <alignment vertical="top"/>
    </xf>
    <xf numFmtId="2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8" borderId="11" xfId="0" applyFont="1" applyFill="1" applyBorder="1" applyAlignment="1">
      <alignment horizontal="center"/>
    </xf>
    <xf numFmtId="4" fontId="8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4" fontId="8" fillId="0" borderId="1" xfId="0" applyNumberFormat="1" applyFont="1" applyBorder="1"/>
    <xf numFmtId="167" fontId="8" fillId="0" borderId="1" xfId="0" applyNumberFormat="1" applyFont="1" applyBorder="1" applyAlignment="1">
      <alignment horizontal="center"/>
    </xf>
    <xf numFmtId="168" fontId="8" fillId="0" borderId="1" xfId="0" applyNumberFormat="1" applyFont="1" applyBorder="1" applyAlignment="1">
      <alignment horizontal="center"/>
    </xf>
    <xf numFmtId="0" fontId="8" fillId="0" borderId="17" xfId="0" applyFont="1" applyBorder="1"/>
    <xf numFmtId="4" fontId="8" fillId="0" borderId="18" xfId="0" applyNumberFormat="1" applyFont="1" applyBorder="1"/>
    <xf numFmtId="0" fontId="8" fillId="0" borderId="18" xfId="0" applyFont="1" applyBorder="1"/>
    <xf numFmtId="4" fontId="8" fillId="0" borderId="18" xfId="0" applyNumberFormat="1" applyFont="1" applyBorder="1" applyAlignment="1">
      <alignment horizontal="right"/>
    </xf>
    <xf numFmtId="4" fontId="8" fillId="7" borderId="18" xfId="0" applyNumberFormat="1" applyFont="1" applyFill="1" applyBorder="1" applyAlignment="1">
      <alignment horizontal="right"/>
    </xf>
    <xf numFmtId="0" fontId="8" fillId="7" borderId="18" xfId="0" applyFont="1" applyFill="1" applyBorder="1" applyAlignment="1">
      <alignment horizontal="right"/>
    </xf>
    <xf numFmtId="0" fontId="8" fillId="0" borderId="19" xfId="0" applyFont="1" applyBorder="1"/>
    <xf numFmtId="169" fontId="8" fillId="5" borderId="0" xfId="0" applyNumberFormat="1" applyFont="1" applyFill="1" applyAlignment="1">
      <alignment horizontal="left"/>
    </xf>
    <xf numFmtId="2" fontId="17" fillId="0" borderId="1" xfId="0" applyNumberFormat="1" applyFont="1" applyBorder="1" applyAlignment="1">
      <alignment horizontal="right"/>
    </xf>
    <xf numFmtId="169" fontId="8" fillId="0" borderId="0" xfId="0" applyNumberFormat="1" applyFont="1" applyAlignment="1">
      <alignment horizontal="left"/>
    </xf>
    <xf numFmtId="4" fontId="17" fillId="0" borderId="1" xfId="0" applyNumberFormat="1" applyFont="1" applyBorder="1"/>
    <xf numFmtId="4" fontId="17" fillId="5" borderId="1" xfId="0" applyNumberFormat="1" applyFont="1" applyFill="1" applyBorder="1"/>
    <xf numFmtId="167" fontId="8" fillId="0" borderId="1" xfId="0" applyNumberFormat="1" applyFont="1" applyBorder="1" applyAlignment="1">
      <alignment horizontal="right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17" fillId="0" borderId="0" xfId="0" applyNumberFormat="1" applyFont="1"/>
    <xf numFmtId="167" fontId="8" fillId="0" borderId="0" xfId="0" applyNumberFormat="1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/>
    </xf>
    <xf numFmtId="4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0" fontId="23" fillId="5" borderId="3" xfId="0" applyFont="1" applyFill="1" applyBorder="1" applyAlignment="1">
      <alignment horizontal="right"/>
    </xf>
    <xf numFmtId="0" fontId="8" fillId="5" borderId="3" xfId="0" applyFont="1" applyFill="1" applyBorder="1" applyAlignment="1">
      <alignment horizontal="center"/>
    </xf>
    <xf numFmtId="4" fontId="8" fillId="5" borderId="0" xfId="0" applyNumberFormat="1" applyFont="1" applyFill="1" applyAlignment="1">
      <alignment horizontal="center"/>
    </xf>
    <xf numFmtId="165" fontId="8" fillId="5" borderId="7" xfId="0" applyNumberFormat="1" applyFont="1" applyFill="1" applyBorder="1"/>
    <xf numFmtId="0" fontId="8" fillId="5" borderId="1" xfId="0" quotePrefix="1" applyFont="1" applyFill="1" applyBorder="1" applyAlignment="1">
      <alignment horizontal="right"/>
    </xf>
    <xf numFmtId="4" fontId="8" fillId="0" borderId="1" xfId="0" applyNumberFormat="1" applyFont="1" applyBorder="1" applyAlignment="1">
      <alignment horizontal="center"/>
    </xf>
    <xf numFmtId="0" fontId="8" fillId="0" borderId="18" xfId="0" applyFont="1" applyBorder="1" applyAlignment="1">
      <alignment horizontal="right"/>
    </xf>
    <xf numFmtId="0" fontId="23" fillId="0" borderId="3" xfId="0" applyFont="1" applyBorder="1" applyAlignment="1">
      <alignment horizontal="center"/>
    </xf>
    <xf numFmtId="4" fontId="8" fillId="7" borderId="0" xfId="0" applyNumberFormat="1" applyFont="1" applyFill="1" applyAlignment="1">
      <alignment horizontal="right"/>
    </xf>
    <xf numFmtId="0" fontId="8" fillId="7" borderId="0" xfId="0" applyFont="1" applyFill="1" applyAlignment="1">
      <alignment horizontal="right"/>
    </xf>
    <xf numFmtId="4" fontId="8" fillId="0" borderId="3" xfId="0" applyNumberFormat="1" applyFont="1" applyBorder="1"/>
    <xf numFmtId="4" fontId="8" fillId="0" borderId="0" xfId="0" applyNumberFormat="1" applyFont="1" applyAlignment="1">
      <alignment vertical="top"/>
    </xf>
    <xf numFmtId="0" fontId="8" fillId="7" borderId="3" xfId="0" applyFont="1" applyFill="1" applyBorder="1"/>
    <xf numFmtId="0" fontId="8" fillId="7" borderId="4" xfId="0" applyFont="1" applyFill="1" applyBorder="1"/>
    <xf numFmtId="4" fontId="17" fillId="7" borderId="1" xfId="0" applyNumberFormat="1" applyFont="1" applyFill="1" applyBorder="1" applyAlignment="1">
      <alignment horizontal="right"/>
    </xf>
    <xf numFmtId="0" fontId="8" fillId="7" borderId="0" xfId="0" applyFont="1" applyFill="1"/>
    <xf numFmtId="0" fontId="8" fillId="7" borderId="7" xfId="0" applyFont="1" applyFill="1" applyBorder="1"/>
    <xf numFmtId="49" fontId="8" fillId="7" borderId="1" xfId="0" applyNumberFormat="1" applyFont="1" applyFill="1" applyBorder="1" applyAlignment="1">
      <alignment horizontal="right"/>
    </xf>
    <xf numFmtId="0" fontId="8" fillId="7" borderId="1" xfId="0" applyFont="1" applyFill="1" applyBorder="1"/>
    <xf numFmtId="0" fontId="8" fillId="7" borderId="8" xfId="0" applyFont="1" applyFill="1" applyBorder="1" applyAlignment="1">
      <alignment horizontal="center" wrapText="1"/>
    </xf>
    <xf numFmtId="4" fontId="8" fillId="7" borderId="0" xfId="0" applyNumberFormat="1" applyFont="1" applyFill="1" applyAlignment="1">
      <alignment horizontal="center"/>
    </xf>
    <xf numFmtId="0" fontId="8" fillId="7" borderId="1" xfId="0" applyFont="1" applyFill="1" applyBorder="1" applyAlignment="1">
      <alignment horizontal="center"/>
    </xf>
    <xf numFmtId="4" fontId="8" fillId="7" borderId="1" xfId="0" applyNumberFormat="1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top"/>
    </xf>
    <xf numFmtId="0" fontId="8" fillId="7" borderId="7" xfId="0" applyFont="1" applyFill="1" applyBorder="1" applyAlignment="1">
      <alignment horizontal="center"/>
    </xf>
    <xf numFmtId="2" fontId="8" fillId="7" borderId="1" xfId="0" applyNumberFormat="1" applyFont="1" applyFill="1" applyBorder="1" applyAlignment="1">
      <alignment horizontal="right"/>
    </xf>
    <xf numFmtId="0" fontId="8" fillId="7" borderId="1" xfId="0" applyFont="1" applyFill="1" applyBorder="1" applyAlignment="1">
      <alignment horizontal="right"/>
    </xf>
    <xf numFmtId="0" fontId="8" fillId="7" borderId="11" xfId="0" applyFont="1" applyFill="1" applyBorder="1" applyAlignment="1">
      <alignment horizontal="center"/>
    </xf>
    <xf numFmtId="4" fontId="8" fillId="7" borderId="1" xfId="0" applyNumberFormat="1" applyFont="1" applyFill="1" applyBorder="1"/>
    <xf numFmtId="0" fontId="8" fillId="7" borderId="17" xfId="0" applyFont="1" applyFill="1" applyBorder="1"/>
    <xf numFmtId="4" fontId="8" fillId="7" borderId="18" xfId="0" applyNumberFormat="1" applyFont="1" applyFill="1" applyBorder="1"/>
    <xf numFmtId="0" fontId="8" fillId="7" borderId="18" xfId="0" applyFont="1" applyFill="1" applyBorder="1"/>
    <xf numFmtId="0" fontId="8" fillId="7" borderId="19" xfId="0" applyFont="1" applyFill="1" applyBorder="1"/>
    <xf numFmtId="9" fontId="8" fillId="0" borderId="5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4" fontId="8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right"/>
    </xf>
    <xf numFmtId="164" fontId="8" fillId="0" borderId="20" xfId="0" applyNumberFormat="1" applyFont="1" applyBorder="1" applyAlignment="1">
      <alignment horizontal="right"/>
    </xf>
    <xf numFmtId="164" fontId="8" fillId="0" borderId="21" xfId="0" applyNumberFormat="1" applyFont="1" applyBorder="1" applyAlignment="1">
      <alignment horizontal="right"/>
    </xf>
    <xf numFmtId="4" fontId="8" fillId="0" borderId="22" xfId="0" applyNumberFormat="1" applyFont="1" applyBorder="1"/>
    <xf numFmtId="164" fontId="1" fillId="0" borderId="23" xfId="0" applyNumberFormat="1" applyFont="1" applyBorder="1"/>
    <xf numFmtId="0" fontId="8" fillId="0" borderId="24" xfId="0" applyFont="1" applyBorder="1"/>
    <xf numFmtId="164" fontId="1" fillId="0" borderId="23" xfId="0" applyNumberFormat="1" applyFont="1" applyBorder="1" applyAlignment="1">
      <alignment horizontal="right"/>
    </xf>
    <xf numFmtId="164" fontId="1" fillId="0" borderId="25" xfId="0" applyNumberFormat="1" applyFont="1" applyBorder="1" applyAlignment="1">
      <alignment horizontal="left"/>
    </xf>
    <xf numFmtId="164" fontId="1" fillId="0" borderId="26" xfId="0" applyNumberFormat="1" applyFont="1" applyBorder="1"/>
    <xf numFmtId="0" fontId="8" fillId="0" borderId="27" xfId="0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0" fontId="8" fillId="0" borderId="22" xfId="0" applyFont="1" applyBorder="1"/>
    <xf numFmtId="0" fontId="1" fillId="0" borderId="23" xfId="0" applyFont="1" applyBorder="1" applyAlignment="1">
      <alignment horizontal="right"/>
    </xf>
    <xf numFmtId="164" fontId="8" fillId="0" borderId="24" xfId="0" applyNumberFormat="1" applyFont="1" applyBorder="1"/>
    <xf numFmtId="0" fontId="8" fillId="0" borderId="23" xfId="0" applyFont="1" applyBorder="1" applyAlignment="1">
      <alignment horizontal="right"/>
    </xf>
    <xf numFmtId="0" fontId="8" fillId="0" borderId="25" xfId="0" applyFont="1" applyBorder="1" applyAlignment="1">
      <alignment horizontal="right"/>
    </xf>
    <xf numFmtId="164" fontId="8" fillId="0" borderId="26" xfId="0" applyNumberFormat="1" applyFont="1" applyBorder="1"/>
    <xf numFmtId="164" fontId="8" fillId="0" borderId="27" xfId="0" applyNumberFormat="1" applyFont="1" applyBorder="1"/>
    <xf numFmtId="0" fontId="8" fillId="5" borderId="8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top"/>
    </xf>
    <xf numFmtId="0" fontId="8" fillId="5" borderId="7" xfId="0" applyFont="1" applyFill="1" applyBorder="1" applyAlignment="1">
      <alignment horizontal="center"/>
    </xf>
    <xf numFmtId="4" fontId="1" fillId="0" borderId="1" xfId="0" applyNumberFormat="1" applyFont="1" applyBorder="1"/>
    <xf numFmtId="0" fontId="8" fillId="7" borderId="3" xfId="0" applyFont="1" applyFill="1" applyBorder="1" applyAlignment="1">
      <alignment horizontal="right"/>
    </xf>
    <xf numFmtId="0" fontId="8" fillId="7" borderId="3" xfId="0" applyFont="1" applyFill="1" applyBorder="1" applyAlignment="1">
      <alignment horizontal="center"/>
    </xf>
    <xf numFmtId="0" fontId="8" fillId="7" borderId="8" xfId="0" applyFont="1" applyFill="1" applyBorder="1"/>
    <xf numFmtId="0" fontId="8" fillId="7" borderId="0" xfId="0" applyFont="1" applyFill="1" applyAlignment="1">
      <alignment vertical="top"/>
    </xf>
    <xf numFmtId="4" fontId="8" fillId="7" borderId="0" xfId="0" applyNumberFormat="1" applyFont="1" applyFill="1"/>
    <xf numFmtId="167" fontId="8" fillId="7" borderId="1" xfId="0" applyNumberFormat="1" applyFont="1" applyFill="1" applyBorder="1" applyAlignment="1">
      <alignment horizontal="center"/>
    </xf>
    <xf numFmtId="168" fontId="8" fillId="7" borderId="1" xfId="0" applyNumberFormat="1" applyFont="1" applyFill="1" applyBorder="1" applyAlignment="1">
      <alignment horizontal="center"/>
    </xf>
    <xf numFmtId="0" fontId="8" fillId="7" borderId="11" xfId="0" applyFont="1" applyFill="1" applyBorder="1"/>
    <xf numFmtId="0" fontId="8" fillId="9" borderId="11" xfId="0" applyFont="1" applyFill="1" applyBorder="1" applyAlignment="1">
      <alignment horizontal="center"/>
    </xf>
    <xf numFmtId="167" fontId="8" fillId="9" borderId="1" xfId="0" applyNumberFormat="1" applyFont="1" applyFill="1" applyBorder="1" applyAlignment="1">
      <alignment horizontal="center"/>
    </xf>
    <xf numFmtId="4" fontId="8" fillId="9" borderId="1" xfId="0" applyNumberFormat="1" applyFont="1" applyFill="1" applyBorder="1"/>
    <xf numFmtId="4" fontId="8" fillId="9" borderId="1" xfId="0" applyNumberFormat="1" applyFont="1" applyFill="1" applyBorder="1" applyAlignment="1">
      <alignment horizontal="right"/>
    </xf>
    <xf numFmtId="168" fontId="8" fillId="9" borderId="1" xfId="0" applyNumberFormat="1" applyFont="1" applyFill="1" applyBorder="1" applyAlignment="1">
      <alignment horizontal="center"/>
    </xf>
    <xf numFmtId="0" fontId="8" fillId="0" borderId="11" xfId="0" applyFont="1" applyBorder="1"/>
    <xf numFmtId="4" fontId="8" fillId="0" borderId="8" xfId="0" applyNumberFormat="1" applyFont="1" applyBorder="1" applyAlignment="1">
      <alignment horizontal="right"/>
    </xf>
    <xf numFmtId="169" fontId="8" fillId="5" borderId="7" xfId="0" applyNumberFormat="1" applyFont="1" applyFill="1" applyBorder="1"/>
    <xf numFmtId="4" fontId="17" fillId="7" borderId="1" xfId="0" applyNumberFormat="1" applyFont="1" applyFill="1" applyBorder="1"/>
    <xf numFmtId="167" fontId="8" fillId="7" borderId="1" xfId="0" applyNumberFormat="1" applyFont="1" applyFill="1" applyBorder="1"/>
    <xf numFmtId="2" fontId="17" fillId="7" borderId="1" xfId="0" applyNumberFormat="1" applyFont="1" applyFill="1" applyBorder="1" applyAlignment="1">
      <alignment horizontal="right"/>
    </xf>
    <xf numFmtId="0" fontId="23" fillId="7" borderId="3" xfId="0" applyFont="1" applyFill="1" applyBorder="1" applyAlignment="1">
      <alignment horizontal="right"/>
    </xf>
    <xf numFmtId="165" fontId="8" fillId="7" borderId="7" xfId="0" applyNumberFormat="1" applyFont="1" applyFill="1" applyBorder="1"/>
    <xf numFmtId="168" fontId="8" fillId="7" borderId="1" xfId="0" applyNumberFormat="1" applyFont="1" applyFill="1" applyBorder="1"/>
    <xf numFmtId="169" fontId="8" fillId="0" borderId="7" xfId="0" applyNumberFormat="1" applyFont="1" applyBorder="1"/>
    <xf numFmtId="4" fontId="8" fillId="10" borderId="13" xfId="0" applyNumberFormat="1" applyFont="1" applyFill="1" applyBorder="1"/>
    <xf numFmtId="0" fontId="1" fillId="0" borderId="12" xfId="0" applyFont="1" applyBorder="1"/>
    <xf numFmtId="0" fontId="17" fillId="0" borderId="14" xfId="0" applyFont="1" applyBorder="1"/>
    <xf numFmtId="0" fontId="17" fillId="0" borderId="15" xfId="0" applyFont="1" applyBorder="1"/>
    <xf numFmtId="165" fontId="8" fillId="0" borderId="0" xfId="0" applyNumberFormat="1" applyFont="1"/>
    <xf numFmtId="4" fontId="8" fillId="5" borderId="8" xfId="0" applyNumberFormat="1" applyFont="1" applyFill="1" applyBorder="1" applyAlignment="1">
      <alignment horizontal="right"/>
    </xf>
    <xf numFmtId="0" fontId="23" fillId="7" borderId="3" xfId="0" applyFont="1" applyFill="1" applyBorder="1" applyAlignment="1">
      <alignment horizontal="center"/>
    </xf>
    <xf numFmtId="169" fontId="8" fillId="7" borderId="7" xfId="0" applyNumberFormat="1" applyFont="1" applyFill="1" applyBorder="1"/>
    <xf numFmtId="4" fontId="8" fillId="0" borderId="13" xfId="0" applyNumberFormat="1" applyFont="1" applyBorder="1"/>
    <xf numFmtId="4" fontId="1" fillId="0" borderId="13" xfId="0" applyNumberFormat="1" applyFont="1" applyBorder="1"/>
    <xf numFmtId="4" fontId="1" fillId="0" borderId="8" xfId="0" applyNumberFormat="1" applyFont="1" applyBorder="1"/>
    <xf numFmtId="0" fontId="17" fillId="4" borderId="2" xfId="0" applyFont="1" applyFill="1" applyBorder="1" applyAlignment="1">
      <alignment horizontal="center"/>
    </xf>
    <xf numFmtId="0" fontId="18" fillId="0" borderId="3" xfId="0" applyFont="1" applyBorder="1"/>
    <xf numFmtId="0" fontId="8" fillId="0" borderId="5" xfId="0" applyFont="1" applyBorder="1" applyAlignment="1">
      <alignment horizontal="center"/>
    </xf>
    <xf numFmtId="0" fontId="18" fillId="0" borderId="6" xfId="0" applyFont="1" applyBorder="1"/>
    <xf numFmtId="0" fontId="8" fillId="0" borderId="9" xfId="0" applyFont="1" applyBorder="1" applyAlignment="1">
      <alignment horizontal="center" vertical="top"/>
    </xf>
    <xf numFmtId="0" fontId="18" fillId="0" borderId="10" xfId="0" applyFont="1" applyBorder="1"/>
    <xf numFmtId="4" fontId="8" fillId="0" borderId="9" xfId="0" applyNumberFormat="1" applyFont="1" applyBorder="1" applyAlignment="1">
      <alignment horizontal="center" vertical="top"/>
    </xf>
    <xf numFmtId="0" fontId="8" fillId="7" borderId="5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 vertical="top"/>
    </xf>
    <xf numFmtId="0" fontId="17" fillId="4" borderId="28" xfId="0" applyFont="1" applyFill="1" applyBorder="1" applyAlignment="1">
      <alignment horizontal="center"/>
    </xf>
    <xf numFmtId="0" fontId="18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7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 x14ac:dyDescent="0.2"/>
  <cols>
    <col min="1" max="1" width="4.42578125" customWidth="1"/>
    <col min="2" max="2" width="22.42578125" customWidth="1"/>
    <col min="3" max="3" width="19" customWidth="1"/>
    <col min="4" max="4" width="14.5703125" customWidth="1"/>
    <col min="5" max="5" width="15.140625" customWidth="1"/>
    <col min="6" max="6" width="16.5703125" customWidth="1"/>
    <col min="7" max="7" width="16.85546875" customWidth="1"/>
    <col min="8" max="8" width="40.85546875" customWidth="1"/>
    <col min="9" max="10" width="16.42578125" customWidth="1"/>
    <col min="11" max="11" width="14.42578125" customWidth="1"/>
    <col min="15" max="15" width="26" customWidth="1"/>
    <col min="16" max="16" width="16.42578125" customWidth="1"/>
  </cols>
  <sheetData>
    <row r="1" spans="1:28" x14ac:dyDescent="0.2">
      <c r="A1" s="1"/>
      <c r="B1" s="1"/>
      <c r="C1" s="2" t="s">
        <v>0</v>
      </c>
      <c r="D1" s="2" t="s">
        <v>1</v>
      </c>
      <c r="E1" s="3" t="s">
        <v>2</v>
      </c>
      <c r="F1" s="2" t="s">
        <v>3</v>
      </c>
      <c r="G1" s="4" t="s">
        <v>4</v>
      </c>
      <c r="H1" s="5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E2" s="6"/>
      <c r="G2" s="1"/>
      <c r="H2" s="7"/>
    </row>
    <row r="3" spans="1:28" x14ac:dyDescent="0.2">
      <c r="A3" s="8">
        <v>1</v>
      </c>
      <c r="B3" s="9"/>
      <c r="C3" s="10">
        <v>7500</v>
      </c>
      <c r="D3" s="11">
        <v>0</v>
      </c>
      <c r="E3" s="11">
        <v>0</v>
      </c>
      <c r="F3" s="10">
        <f>750*3+750*3+500*2</f>
        <v>5500</v>
      </c>
      <c r="G3" s="10">
        <f>2250+2250+1000</f>
        <v>5500</v>
      </c>
      <c r="H3" s="7"/>
      <c r="K3" s="6"/>
      <c r="L3" s="6"/>
    </row>
    <row r="4" spans="1:28" x14ac:dyDescent="0.2">
      <c r="A4" s="8">
        <v>2</v>
      </c>
      <c r="B4" s="12"/>
      <c r="C4" s="10">
        <v>9000</v>
      </c>
      <c r="D4" s="10">
        <v>12000</v>
      </c>
      <c r="E4" s="10">
        <v>3000</v>
      </c>
      <c r="F4" s="10">
        <f>3000*2</f>
        <v>6000</v>
      </c>
      <c r="G4" s="10">
        <f>3000</f>
        <v>3000</v>
      </c>
      <c r="H4" s="7"/>
      <c r="K4" s="6"/>
      <c r="L4" s="6"/>
    </row>
    <row r="5" spans="1:28" x14ac:dyDescent="0.2">
      <c r="A5" s="8">
        <v>3</v>
      </c>
      <c r="B5" s="9"/>
      <c r="C5" s="10">
        <v>3000</v>
      </c>
      <c r="D5" s="10">
        <v>3500</v>
      </c>
      <c r="E5" s="10">
        <v>2500</v>
      </c>
      <c r="F5" s="10">
        <v>3000</v>
      </c>
      <c r="G5" s="10">
        <v>3000</v>
      </c>
      <c r="H5" s="7"/>
      <c r="K5" s="6"/>
      <c r="L5" s="6"/>
    </row>
    <row r="6" spans="1:28" x14ac:dyDescent="0.2">
      <c r="A6" s="8">
        <v>4</v>
      </c>
      <c r="B6" s="9"/>
      <c r="C6" s="10">
        <v>9600</v>
      </c>
      <c r="D6" s="10">
        <v>8400</v>
      </c>
      <c r="E6" s="10">
        <v>1200</v>
      </c>
      <c r="F6" s="10">
        <f>4000+4800</f>
        <v>8800</v>
      </c>
      <c r="G6" s="10">
        <f>3200+4000+1200</f>
        <v>8400</v>
      </c>
      <c r="H6" s="7"/>
      <c r="K6" s="6"/>
      <c r="L6" s="6"/>
      <c r="M6" s="6"/>
    </row>
    <row r="7" spans="1:28" x14ac:dyDescent="0.2">
      <c r="A7" s="8">
        <v>5</v>
      </c>
      <c r="B7" s="9"/>
      <c r="C7" s="10">
        <v>8750</v>
      </c>
      <c r="D7" s="10">
        <v>8750</v>
      </c>
      <c r="E7" s="10">
        <v>10900</v>
      </c>
      <c r="F7" s="10">
        <f>8750+10900</f>
        <v>19650</v>
      </c>
      <c r="G7" s="10">
        <f>10900</f>
        <v>10900</v>
      </c>
      <c r="H7" s="7"/>
      <c r="K7" s="6"/>
      <c r="L7" s="6"/>
      <c r="M7" s="6"/>
    </row>
    <row r="8" spans="1:28" x14ac:dyDescent="0.2">
      <c r="A8" s="8">
        <v>6</v>
      </c>
      <c r="B8" s="9"/>
      <c r="C8" s="10">
        <v>15000</v>
      </c>
      <c r="D8" s="10">
        <v>12900</v>
      </c>
      <c r="E8" s="10">
        <v>9750</v>
      </c>
      <c r="F8" s="10">
        <f t="shared" ref="F8:G8" si="0">9750</f>
        <v>9750</v>
      </c>
      <c r="G8" s="10">
        <f t="shared" si="0"/>
        <v>9750</v>
      </c>
      <c r="H8" s="7"/>
    </row>
    <row r="9" spans="1:28" x14ac:dyDescent="0.2">
      <c r="A9" s="8">
        <v>7</v>
      </c>
      <c r="B9" s="9"/>
      <c r="C9" s="10" t="s">
        <v>5</v>
      </c>
      <c r="D9" s="10">
        <v>2000</v>
      </c>
      <c r="E9" s="10">
        <v>2000</v>
      </c>
      <c r="F9" s="10">
        <f>5*500</f>
        <v>2500</v>
      </c>
      <c r="G9" s="10">
        <f>500*6</f>
        <v>3000</v>
      </c>
      <c r="H9" s="7"/>
    </row>
    <row r="10" spans="1:28" x14ac:dyDescent="0.2">
      <c r="A10" s="8">
        <v>8</v>
      </c>
      <c r="B10" s="9"/>
      <c r="C10" s="10">
        <v>17600</v>
      </c>
      <c r="D10" s="10">
        <v>13200</v>
      </c>
      <c r="E10" s="10">
        <v>4400</v>
      </c>
      <c r="F10" s="10">
        <f>2200+2200</f>
        <v>4400</v>
      </c>
      <c r="G10" s="10">
        <f>3200+3200</f>
        <v>6400</v>
      </c>
      <c r="H10" s="7"/>
    </row>
    <row r="11" spans="1:28" x14ac:dyDescent="0.2">
      <c r="A11" s="8">
        <v>9</v>
      </c>
      <c r="B11" s="9"/>
      <c r="C11" s="10">
        <v>4200</v>
      </c>
      <c r="D11" s="10">
        <v>3700</v>
      </c>
      <c r="E11" s="10">
        <v>2000</v>
      </c>
      <c r="F11" s="10">
        <f>7*500</f>
        <v>3500</v>
      </c>
      <c r="G11" s="10">
        <f>6*500</f>
        <v>3000</v>
      </c>
      <c r="H11" s="7"/>
    </row>
    <row r="12" spans="1:28" x14ac:dyDescent="0.2">
      <c r="A12" s="8">
        <v>10</v>
      </c>
      <c r="B12" s="9"/>
      <c r="C12" s="10">
        <v>4500</v>
      </c>
      <c r="D12" s="10">
        <v>4500</v>
      </c>
      <c r="E12" s="10">
        <v>1800</v>
      </c>
      <c r="F12" s="10">
        <f>4*900</f>
        <v>3600</v>
      </c>
      <c r="G12" s="10">
        <v>3900</v>
      </c>
      <c r="H12" s="7"/>
    </row>
    <row r="13" spans="1:28" x14ac:dyDescent="0.2">
      <c r="A13" s="8">
        <v>11</v>
      </c>
      <c r="B13" s="9"/>
      <c r="C13" s="10">
        <v>3350</v>
      </c>
      <c r="D13" s="10">
        <v>2500</v>
      </c>
      <c r="E13" s="10">
        <v>1000</v>
      </c>
      <c r="F13" s="10">
        <f>1000+1200</f>
        <v>2200</v>
      </c>
      <c r="G13" s="10">
        <f>1000+1000</f>
        <v>2000</v>
      </c>
      <c r="H13" s="7"/>
    </row>
    <row r="14" spans="1:28" x14ac:dyDescent="0.2">
      <c r="A14" s="8">
        <v>12</v>
      </c>
      <c r="B14" s="12"/>
      <c r="C14" s="10">
        <v>8400</v>
      </c>
      <c r="D14" s="10">
        <v>7200</v>
      </c>
      <c r="E14" s="10">
        <v>6000</v>
      </c>
      <c r="F14" s="10">
        <f>1200*4</f>
        <v>4800</v>
      </c>
      <c r="G14" s="10">
        <f>1200*3+1200*2</f>
        <v>6000</v>
      </c>
      <c r="H14" s="7"/>
    </row>
    <row r="15" spans="1:28" x14ac:dyDescent="0.2">
      <c r="A15" s="8">
        <v>13</v>
      </c>
      <c r="B15" s="9"/>
      <c r="C15" s="10">
        <v>9000</v>
      </c>
      <c r="D15" s="10">
        <v>8800</v>
      </c>
      <c r="E15" s="10">
        <v>6000</v>
      </c>
      <c r="F15" s="10">
        <f t="shared" ref="F15:G15" si="1">800*4+1200*4</f>
        <v>8000</v>
      </c>
      <c r="G15" s="10">
        <f t="shared" si="1"/>
        <v>8000</v>
      </c>
      <c r="H15" s="7"/>
      <c r="J15" s="13"/>
      <c r="K15" s="14"/>
    </row>
    <row r="16" spans="1:28" x14ac:dyDescent="0.2">
      <c r="A16" s="8">
        <v>14</v>
      </c>
      <c r="B16" s="9"/>
      <c r="C16" s="10">
        <v>2650</v>
      </c>
      <c r="D16" s="10">
        <v>2900</v>
      </c>
      <c r="E16" s="10">
        <v>1400</v>
      </c>
      <c r="F16" s="10">
        <f>350*2+350*3</f>
        <v>1750</v>
      </c>
      <c r="G16" s="10">
        <f>350*3+350*3</f>
        <v>2100</v>
      </c>
      <c r="H16" s="7"/>
    </row>
    <row r="17" spans="1:19" x14ac:dyDescent="0.2">
      <c r="A17" s="8">
        <v>15</v>
      </c>
      <c r="B17" s="9"/>
      <c r="C17" s="10">
        <v>4800</v>
      </c>
      <c r="D17" s="10">
        <v>3600</v>
      </c>
      <c r="E17" s="10">
        <v>1200</v>
      </c>
      <c r="F17" s="10">
        <f t="shared" ref="F17:G17" si="2">1200*3</f>
        <v>3600</v>
      </c>
      <c r="G17" s="10">
        <f t="shared" si="2"/>
        <v>3600</v>
      </c>
      <c r="H17" s="7"/>
      <c r="K17" s="15"/>
      <c r="L17" s="15"/>
      <c r="M17" s="15"/>
      <c r="N17" s="15"/>
      <c r="O17" s="15"/>
      <c r="P17" s="1"/>
    </row>
    <row r="18" spans="1:19" x14ac:dyDescent="0.2">
      <c r="A18" s="8">
        <v>16</v>
      </c>
      <c r="B18" s="9"/>
      <c r="C18" s="10">
        <v>3500</v>
      </c>
      <c r="D18" s="10">
        <v>2800</v>
      </c>
      <c r="E18" s="10">
        <v>1400</v>
      </c>
      <c r="F18" s="10">
        <f>700*3</f>
        <v>2100</v>
      </c>
      <c r="G18" s="10">
        <f>3*700</f>
        <v>2100</v>
      </c>
      <c r="H18" s="7"/>
      <c r="I18" s="15"/>
      <c r="J18" s="15"/>
      <c r="K18" s="16"/>
      <c r="L18" s="16"/>
      <c r="M18" s="16"/>
      <c r="N18" s="16"/>
      <c r="O18" s="16"/>
      <c r="P18" s="6"/>
    </row>
    <row r="19" spans="1:19" x14ac:dyDescent="0.2">
      <c r="A19" s="8">
        <v>17</v>
      </c>
      <c r="B19" s="9"/>
      <c r="C19" s="10">
        <v>7500</v>
      </c>
      <c r="D19" s="10">
        <v>6000</v>
      </c>
      <c r="E19" s="10">
        <v>6000</v>
      </c>
      <c r="F19" s="10">
        <f t="shared" ref="F19:G19" si="3">1500*3</f>
        <v>4500</v>
      </c>
      <c r="G19" s="10">
        <f t="shared" si="3"/>
        <v>4500</v>
      </c>
      <c r="H19" s="7"/>
      <c r="I19" s="15"/>
      <c r="J19" s="15"/>
      <c r="K19" s="16"/>
      <c r="L19" s="16"/>
      <c r="M19" s="16"/>
      <c r="N19" s="16"/>
      <c r="O19" s="16"/>
      <c r="P19" s="6"/>
      <c r="Q19" s="6"/>
      <c r="R19" s="6"/>
      <c r="S19" s="6"/>
    </row>
    <row r="20" spans="1:19" x14ac:dyDescent="0.2">
      <c r="A20" s="8">
        <v>18</v>
      </c>
      <c r="B20" s="9"/>
      <c r="C20" s="10">
        <v>6050</v>
      </c>
      <c r="D20" s="10">
        <v>5800</v>
      </c>
      <c r="E20" s="10">
        <v>3400</v>
      </c>
      <c r="F20" s="10">
        <f>250*3+1200*2</f>
        <v>3150</v>
      </c>
      <c r="G20" s="10">
        <f>250*4+1200*3</f>
        <v>4600</v>
      </c>
      <c r="H20" s="7"/>
      <c r="I20" s="15"/>
      <c r="J20" s="15"/>
      <c r="K20" s="16"/>
      <c r="L20" s="16"/>
      <c r="M20" s="16"/>
      <c r="N20" s="16"/>
      <c r="O20" s="16"/>
      <c r="P20" s="6"/>
      <c r="Q20" s="6"/>
      <c r="R20" s="6"/>
      <c r="S20" s="6"/>
    </row>
    <row r="21" spans="1:19" x14ac:dyDescent="0.2">
      <c r="A21" s="8">
        <v>19</v>
      </c>
      <c r="B21" s="9"/>
      <c r="C21" s="10">
        <v>1500</v>
      </c>
      <c r="D21" s="10">
        <v>1500</v>
      </c>
      <c r="E21" s="11">
        <v>0</v>
      </c>
      <c r="F21" s="10">
        <v>1000</v>
      </c>
      <c r="G21" s="10">
        <f>1000</f>
        <v>1000</v>
      </c>
      <c r="H21" s="7"/>
      <c r="I21" s="15"/>
      <c r="J21" s="15"/>
      <c r="K21" s="16"/>
      <c r="L21" s="17"/>
      <c r="M21" s="17"/>
      <c r="N21" s="16"/>
      <c r="O21" s="16"/>
      <c r="P21" s="6"/>
      <c r="Q21" s="6"/>
      <c r="R21" s="6"/>
      <c r="S21" s="6"/>
    </row>
    <row r="22" spans="1:19" x14ac:dyDescent="0.2">
      <c r="A22" s="8">
        <v>20</v>
      </c>
      <c r="B22" s="9"/>
      <c r="C22" s="10">
        <v>2800</v>
      </c>
      <c r="D22" s="10">
        <v>4200</v>
      </c>
      <c r="E22" s="10">
        <v>1400</v>
      </c>
      <c r="F22" s="10">
        <f>700*4</f>
        <v>2800</v>
      </c>
      <c r="G22" s="10">
        <f>4*700+250*4</f>
        <v>3800</v>
      </c>
      <c r="H22" s="7"/>
      <c r="I22" s="15"/>
      <c r="J22" s="15"/>
      <c r="K22" s="16"/>
      <c r="L22" s="16"/>
      <c r="M22" s="16"/>
      <c r="N22" s="16"/>
      <c r="O22" s="16"/>
      <c r="P22" s="6"/>
      <c r="Q22" s="6"/>
      <c r="R22" s="6"/>
      <c r="S22" s="6"/>
    </row>
    <row r="23" spans="1:19" x14ac:dyDescent="0.2">
      <c r="A23" s="8">
        <v>21</v>
      </c>
      <c r="B23" s="9"/>
      <c r="C23" s="10">
        <v>1500</v>
      </c>
      <c r="D23" s="10">
        <v>750</v>
      </c>
      <c r="E23" s="10">
        <v>1500</v>
      </c>
      <c r="F23" s="10">
        <f>500*3</f>
        <v>1500</v>
      </c>
      <c r="G23" s="10">
        <v>1000</v>
      </c>
      <c r="H23" s="7"/>
      <c r="K23" s="16"/>
      <c r="L23" s="16"/>
      <c r="M23" s="16"/>
      <c r="N23" s="16"/>
      <c r="O23" s="16"/>
      <c r="P23" s="6"/>
      <c r="Q23" s="6"/>
      <c r="R23" s="6"/>
      <c r="S23" s="6"/>
    </row>
    <row r="24" spans="1:19" x14ac:dyDescent="0.2">
      <c r="A24" s="8">
        <v>22</v>
      </c>
      <c r="B24" s="9"/>
      <c r="C24" s="10">
        <v>1250</v>
      </c>
      <c r="D24" s="10">
        <v>1000</v>
      </c>
      <c r="E24" s="10">
        <v>1500</v>
      </c>
      <c r="F24" s="10">
        <f>250*3</f>
        <v>750</v>
      </c>
      <c r="G24" s="10">
        <v>1100</v>
      </c>
      <c r="H24" s="7"/>
      <c r="K24" s="16"/>
      <c r="L24" s="16"/>
      <c r="M24" s="16"/>
      <c r="N24" s="16"/>
      <c r="O24" s="16"/>
      <c r="P24" s="6"/>
      <c r="Q24" s="6"/>
      <c r="R24" s="6"/>
      <c r="S24" s="6"/>
    </row>
    <row r="25" spans="1:19" x14ac:dyDescent="0.2">
      <c r="A25" s="8">
        <v>23</v>
      </c>
      <c r="B25" s="12"/>
      <c r="C25" s="10">
        <v>2450</v>
      </c>
      <c r="D25" s="10">
        <v>2880</v>
      </c>
      <c r="E25" s="10">
        <v>1050</v>
      </c>
      <c r="F25" s="10">
        <f>3*500</f>
        <v>1500</v>
      </c>
      <c r="G25" s="10">
        <f>1050+1050</f>
        <v>2100</v>
      </c>
      <c r="H25" s="7"/>
      <c r="K25" s="1"/>
      <c r="L25" s="1"/>
      <c r="M25" s="1"/>
      <c r="N25" s="1"/>
      <c r="O25" s="1"/>
      <c r="Q25" s="6"/>
      <c r="R25" s="6"/>
      <c r="S25" s="6"/>
    </row>
    <row r="26" spans="1:19" x14ac:dyDescent="0.2">
      <c r="A26" s="8">
        <v>24</v>
      </c>
      <c r="B26" s="9"/>
      <c r="C26" s="10">
        <v>1250</v>
      </c>
      <c r="D26" s="10">
        <v>1500</v>
      </c>
      <c r="E26" s="10">
        <v>750</v>
      </c>
      <c r="F26" s="10">
        <f>4*250</f>
        <v>1000</v>
      </c>
      <c r="G26" s="10">
        <v>1000</v>
      </c>
      <c r="H26" s="7"/>
      <c r="K26" s="1"/>
      <c r="L26" s="1"/>
      <c r="M26" s="1"/>
      <c r="N26" s="1"/>
      <c r="O26" s="1"/>
    </row>
    <row r="27" spans="1:19" x14ac:dyDescent="0.2">
      <c r="A27" s="8">
        <v>25</v>
      </c>
      <c r="B27" s="9"/>
      <c r="C27" s="10">
        <v>1250</v>
      </c>
      <c r="D27" s="10">
        <v>1250</v>
      </c>
      <c r="E27" s="10">
        <v>750</v>
      </c>
      <c r="F27" s="10">
        <f>700*4</f>
        <v>2800</v>
      </c>
      <c r="G27" s="10">
        <f>700*3</f>
        <v>2100</v>
      </c>
      <c r="H27" s="7"/>
    </row>
    <row r="28" spans="1:19" x14ac:dyDescent="0.2">
      <c r="A28" s="8">
        <v>26</v>
      </c>
      <c r="B28" s="9"/>
      <c r="C28" s="10">
        <v>5800</v>
      </c>
      <c r="D28" s="10">
        <v>5800</v>
      </c>
      <c r="E28" s="11">
        <v>0</v>
      </c>
      <c r="F28" s="10">
        <f>3*1450</f>
        <v>4350</v>
      </c>
      <c r="G28" s="10">
        <f>2*1450</f>
        <v>2900</v>
      </c>
      <c r="H28" s="7"/>
    </row>
    <row r="29" spans="1:19" x14ac:dyDescent="0.2">
      <c r="A29" s="8">
        <v>27</v>
      </c>
      <c r="B29" s="9"/>
      <c r="C29" s="10">
        <v>1000</v>
      </c>
      <c r="D29" s="10">
        <v>1000</v>
      </c>
      <c r="E29" s="10">
        <v>500</v>
      </c>
      <c r="F29" s="10">
        <v>1000</v>
      </c>
      <c r="G29" s="10">
        <v>1000</v>
      </c>
      <c r="H29" s="7"/>
    </row>
    <row r="30" spans="1:19" x14ac:dyDescent="0.2">
      <c r="A30" s="8">
        <v>28</v>
      </c>
      <c r="B30" s="9"/>
      <c r="C30" s="10">
        <v>2050</v>
      </c>
      <c r="D30" s="10">
        <v>3000</v>
      </c>
      <c r="E30" s="10">
        <v>1000</v>
      </c>
      <c r="F30" s="10">
        <f>3*500</f>
        <v>1500</v>
      </c>
      <c r="G30" s="10">
        <f>500*4</f>
        <v>2000</v>
      </c>
      <c r="H30" s="7"/>
    </row>
    <row r="31" spans="1:19" x14ac:dyDescent="0.2">
      <c r="A31" s="8">
        <v>29</v>
      </c>
      <c r="B31" s="12"/>
      <c r="C31" s="10">
        <v>1250</v>
      </c>
      <c r="D31" s="10">
        <v>1000</v>
      </c>
      <c r="E31" s="11">
        <v>0</v>
      </c>
      <c r="F31" s="11">
        <v>0</v>
      </c>
      <c r="G31" s="10">
        <v>1000</v>
      </c>
      <c r="H31" s="7"/>
    </row>
    <row r="32" spans="1:19" x14ac:dyDescent="0.2">
      <c r="A32" s="8">
        <v>30</v>
      </c>
      <c r="B32" s="9"/>
      <c r="C32" s="10">
        <v>1250</v>
      </c>
      <c r="D32" s="10">
        <v>1000</v>
      </c>
      <c r="E32" s="10">
        <v>750</v>
      </c>
      <c r="F32" s="10">
        <v>1000</v>
      </c>
      <c r="G32" s="10">
        <v>1000</v>
      </c>
      <c r="H32" s="7"/>
    </row>
    <row r="33" spans="1:10" x14ac:dyDescent="0.2">
      <c r="A33" s="8">
        <v>31</v>
      </c>
      <c r="B33" s="9"/>
      <c r="C33" s="10">
        <v>1250</v>
      </c>
      <c r="D33" s="10">
        <v>1000</v>
      </c>
      <c r="E33" s="10">
        <v>750</v>
      </c>
      <c r="F33" s="10">
        <v>1000</v>
      </c>
      <c r="G33" s="10">
        <f>1000</f>
        <v>1000</v>
      </c>
      <c r="H33" s="7"/>
    </row>
    <row r="34" spans="1:10" x14ac:dyDescent="0.2">
      <c r="A34" s="8">
        <v>32</v>
      </c>
      <c r="B34" s="9"/>
      <c r="C34" s="10">
        <v>13200</v>
      </c>
      <c r="D34" s="10">
        <v>13200</v>
      </c>
      <c r="E34" s="10">
        <v>4400</v>
      </c>
      <c r="F34" s="10">
        <f>7*2200</f>
        <v>15400</v>
      </c>
      <c r="G34" s="10">
        <f>2200*5+1000*4</f>
        <v>15000</v>
      </c>
      <c r="H34" s="7"/>
    </row>
    <row r="35" spans="1:10" x14ac:dyDescent="0.2">
      <c r="A35" s="18">
        <v>33</v>
      </c>
      <c r="B35" s="12"/>
      <c r="C35" s="10">
        <v>2000</v>
      </c>
      <c r="D35" s="11">
        <v>0</v>
      </c>
      <c r="E35" s="11">
        <v>0</v>
      </c>
      <c r="F35" s="10">
        <v>2000</v>
      </c>
      <c r="G35" s="11">
        <v>0</v>
      </c>
      <c r="H35" s="7"/>
    </row>
    <row r="36" spans="1:10" x14ac:dyDescent="0.2">
      <c r="A36" s="8">
        <v>34</v>
      </c>
      <c r="B36" s="9"/>
      <c r="C36" s="10">
        <v>4200</v>
      </c>
      <c r="D36" s="10">
        <v>4200</v>
      </c>
      <c r="E36" s="10">
        <v>2100</v>
      </c>
      <c r="F36" s="10">
        <f t="shared" ref="F36:G36" si="4">6*700</f>
        <v>4200</v>
      </c>
      <c r="G36" s="10">
        <f t="shared" si="4"/>
        <v>4200</v>
      </c>
      <c r="H36" s="7"/>
    </row>
    <row r="37" spans="1:10" x14ac:dyDescent="0.2">
      <c r="A37" s="8">
        <v>35</v>
      </c>
      <c r="B37" s="9"/>
      <c r="C37" s="10" t="s">
        <v>5</v>
      </c>
      <c r="D37" s="10">
        <v>3500</v>
      </c>
      <c r="E37" s="10">
        <v>2800</v>
      </c>
      <c r="F37" s="10">
        <f>700*4</f>
        <v>2800</v>
      </c>
      <c r="G37" s="10">
        <f>4*700</f>
        <v>2800</v>
      </c>
      <c r="H37" s="7"/>
    </row>
    <row r="38" spans="1:10" x14ac:dyDescent="0.2">
      <c r="A38" s="8">
        <v>36</v>
      </c>
      <c r="B38" s="9"/>
      <c r="C38" s="10" t="s">
        <v>5</v>
      </c>
      <c r="D38" s="10">
        <v>1250</v>
      </c>
      <c r="E38" s="10">
        <v>750</v>
      </c>
      <c r="F38" s="10">
        <f>4*250</f>
        <v>1000</v>
      </c>
      <c r="G38" s="10">
        <v>1000</v>
      </c>
      <c r="H38" s="7"/>
    </row>
    <row r="39" spans="1:10" x14ac:dyDescent="0.2">
      <c r="A39" s="8">
        <v>37</v>
      </c>
      <c r="B39" s="9"/>
      <c r="C39" s="10" t="s">
        <v>5</v>
      </c>
      <c r="D39" s="10" t="s">
        <v>5</v>
      </c>
      <c r="E39" s="10" t="s">
        <v>5</v>
      </c>
      <c r="F39" s="10">
        <f t="shared" ref="F39:F40" si="5">4*500</f>
        <v>2000</v>
      </c>
      <c r="G39" s="10">
        <f>5*500</f>
        <v>2500</v>
      </c>
      <c r="H39" s="7"/>
    </row>
    <row r="40" spans="1:10" x14ac:dyDescent="0.2">
      <c r="A40" s="8">
        <v>38</v>
      </c>
      <c r="B40" s="9"/>
      <c r="C40" s="10" t="s">
        <v>5</v>
      </c>
      <c r="D40" s="10" t="s">
        <v>5</v>
      </c>
      <c r="E40" s="10" t="s">
        <v>5</v>
      </c>
      <c r="F40" s="10">
        <f t="shared" si="5"/>
        <v>2000</v>
      </c>
      <c r="G40" s="10">
        <f>3*700</f>
        <v>2100</v>
      </c>
      <c r="H40" s="7"/>
    </row>
    <row r="41" spans="1:10" ht="15.75" customHeight="1" x14ac:dyDescent="0.25">
      <c r="A41" s="1"/>
      <c r="C41" s="19"/>
      <c r="D41" s="20"/>
      <c r="E41" s="19"/>
      <c r="F41" s="16"/>
      <c r="G41" s="1"/>
      <c r="H41" s="7"/>
    </row>
    <row r="42" spans="1:10" ht="15.75" customHeight="1" x14ac:dyDescent="0.25">
      <c r="A42" s="1"/>
      <c r="C42" s="19">
        <f>SUM(C3:C36)</f>
        <v>168400</v>
      </c>
      <c r="D42" s="20">
        <f t="shared" ref="D42:E42" si="6">SUM(D3:D38)</f>
        <v>156580</v>
      </c>
      <c r="E42" s="19">
        <f t="shared" si="6"/>
        <v>83950</v>
      </c>
      <c r="F42" s="19">
        <f>SUM(F3:F41)</f>
        <v>146400</v>
      </c>
      <c r="G42" s="21">
        <f>SUM(G3:G40)</f>
        <v>138350</v>
      </c>
      <c r="H42" s="7"/>
    </row>
    <row r="43" spans="1:10" x14ac:dyDescent="0.2">
      <c r="A43" s="1"/>
      <c r="C43" s="6"/>
      <c r="D43" s="6"/>
      <c r="E43" s="6"/>
      <c r="F43" s="22"/>
      <c r="G43" s="22"/>
      <c r="H43" s="23"/>
    </row>
    <row r="44" spans="1:10" x14ac:dyDescent="0.2">
      <c r="A44" s="1"/>
      <c r="C44" s="6"/>
      <c r="D44" s="6"/>
      <c r="E44" s="6"/>
      <c r="F44" s="22">
        <v>8750</v>
      </c>
      <c r="G44" s="22">
        <v>150</v>
      </c>
      <c r="H44" s="23"/>
    </row>
    <row r="45" spans="1:10" x14ac:dyDescent="0.2">
      <c r="A45" s="1"/>
      <c r="C45" s="6"/>
      <c r="D45" s="6"/>
      <c r="E45" s="6"/>
      <c r="F45" s="22">
        <v>18000</v>
      </c>
      <c r="G45" s="22"/>
      <c r="H45" s="23"/>
    </row>
    <row r="46" spans="1:10" x14ac:dyDescent="0.2">
      <c r="A46" s="1"/>
      <c r="C46" s="6"/>
      <c r="D46" s="6"/>
      <c r="E46" s="6"/>
      <c r="F46" s="6"/>
      <c r="G46" s="16"/>
      <c r="H46" s="7"/>
    </row>
    <row r="47" spans="1:10" x14ac:dyDescent="0.2">
      <c r="A47" s="1"/>
      <c r="C47" s="6"/>
      <c r="D47" s="6"/>
      <c r="E47" s="6"/>
      <c r="F47" s="24"/>
      <c r="G47" s="24"/>
      <c r="H47" s="25"/>
      <c r="I47" s="26"/>
      <c r="J47" s="26"/>
    </row>
    <row r="48" spans="1:10" x14ac:dyDescent="0.2">
      <c r="A48" s="1"/>
      <c r="C48" s="6"/>
      <c r="D48" s="6"/>
      <c r="E48" s="6"/>
      <c r="F48" s="27"/>
      <c r="G48" s="27"/>
      <c r="H48" s="28"/>
    </row>
    <row r="49" spans="1:8" x14ac:dyDescent="0.2">
      <c r="A49" s="1"/>
      <c r="C49" s="6"/>
      <c r="D49" s="6"/>
      <c r="E49" s="6"/>
      <c r="F49" s="6"/>
      <c r="G49" s="16"/>
      <c r="H49" s="7"/>
    </row>
    <row r="50" spans="1:8" x14ac:dyDescent="0.2">
      <c r="A50" s="1"/>
      <c r="C50" s="6"/>
      <c r="D50" s="6"/>
      <c r="E50" s="6"/>
      <c r="F50" s="6"/>
      <c r="G50" s="16"/>
      <c r="H50" s="7"/>
    </row>
    <row r="51" spans="1:8" x14ac:dyDescent="0.2">
      <c r="A51" s="1"/>
      <c r="E51" s="6"/>
      <c r="G51" s="1"/>
      <c r="H51" s="7"/>
    </row>
    <row r="52" spans="1:8" x14ac:dyDescent="0.2">
      <c r="A52" s="1"/>
      <c r="E52" s="6"/>
      <c r="G52" s="1"/>
      <c r="H52" s="7"/>
    </row>
    <row r="53" spans="1:8" x14ac:dyDescent="0.2">
      <c r="A53" s="1"/>
      <c r="E53" s="6"/>
      <c r="G53" s="1"/>
      <c r="H53" s="7"/>
    </row>
    <row r="54" spans="1:8" x14ac:dyDescent="0.2">
      <c r="A54" s="1"/>
      <c r="E54" s="6"/>
      <c r="G54" s="1"/>
      <c r="H54" s="7"/>
    </row>
    <row r="55" spans="1:8" x14ac:dyDescent="0.2">
      <c r="A55" s="1"/>
      <c r="E55" s="6"/>
      <c r="G55" s="1"/>
      <c r="H55" s="7"/>
    </row>
    <row r="56" spans="1:8" x14ac:dyDescent="0.2">
      <c r="A56" s="1"/>
      <c r="E56" s="6"/>
      <c r="G56" s="1"/>
      <c r="H56" s="7"/>
    </row>
    <row r="57" spans="1:8" x14ac:dyDescent="0.2">
      <c r="A57" s="1"/>
      <c r="E57" s="6"/>
      <c r="G57" s="1"/>
      <c r="H57" s="7"/>
    </row>
    <row r="58" spans="1:8" x14ac:dyDescent="0.2">
      <c r="A58" s="1"/>
      <c r="E58" s="6"/>
      <c r="G58" s="1"/>
      <c r="H58" s="7"/>
    </row>
    <row r="59" spans="1:8" x14ac:dyDescent="0.2">
      <c r="A59" s="1"/>
      <c r="E59" s="6"/>
      <c r="G59" s="1"/>
      <c r="H59" s="7"/>
    </row>
    <row r="60" spans="1:8" x14ac:dyDescent="0.2">
      <c r="A60" s="1"/>
      <c r="E60" s="6"/>
      <c r="G60" s="1"/>
      <c r="H60" s="7"/>
    </row>
    <row r="61" spans="1:8" x14ac:dyDescent="0.2">
      <c r="A61" s="1"/>
      <c r="E61" s="6"/>
      <c r="G61" s="1"/>
      <c r="H61" s="7"/>
    </row>
    <row r="62" spans="1:8" x14ac:dyDescent="0.2">
      <c r="A62" s="1"/>
      <c r="E62" s="6"/>
      <c r="G62" s="1"/>
      <c r="H62" s="7"/>
    </row>
    <row r="63" spans="1:8" x14ac:dyDescent="0.2">
      <c r="A63" s="1"/>
      <c r="E63" s="6"/>
      <c r="G63" s="1"/>
      <c r="H63" s="7"/>
    </row>
    <row r="64" spans="1:8" x14ac:dyDescent="0.2">
      <c r="A64" s="1"/>
      <c r="E64" s="6"/>
      <c r="G64" s="1"/>
      <c r="H64" s="7"/>
    </row>
    <row r="65" spans="1:8" x14ac:dyDescent="0.2">
      <c r="A65" s="1"/>
      <c r="E65" s="6"/>
      <c r="G65" s="1"/>
      <c r="H65" s="7"/>
    </row>
    <row r="66" spans="1:8" x14ac:dyDescent="0.2">
      <c r="A66" s="1"/>
      <c r="E66" s="6"/>
      <c r="G66" s="1"/>
      <c r="H66" s="7"/>
    </row>
    <row r="67" spans="1:8" x14ac:dyDescent="0.2">
      <c r="A67" s="1"/>
      <c r="E67" s="6"/>
      <c r="G67" s="1"/>
      <c r="H67" s="7"/>
    </row>
    <row r="68" spans="1:8" x14ac:dyDescent="0.2">
      <c r="A68" s="1"/>
      <c r="E68" s="6"/>
      <c r="G68" s="1"/>
      <c r="H68" s="7"/>
    </row>
    <row r="69" spans="1:8" x14ac:dyDescent="0.2">
      <c r="A69" s="1"/>
      <c r="E69" s="6"/>
      <c r="G69" s="1"/>
      <c r="H69" s="7"/>
    </row>
    <row r="70" spans="1:8" x14ac:dyDescent="0.2">
      <c r="A70" s="1"/>
      <c r="E70" s="6"/>
      <c r="F70" s="29">
        <v>1000</v>
      </c>
      <c r="G70" s="1">
        <v>111</v>
      </c>
      <c r="H70" s="7">
        <f t="shared" ref="H70:H71" si="7">F70*G70</f>
        <v>111000</v>
      </c>
    </row>
    <row r="71" spans="1:8" x14ac:dyDescent="0.2">
      <c r="A71" s="1"/>
      <c r="E71" s="6"/>
      <c r="F71" s="29">
        <v>500</v>
      </c>
      <c r="G71" s="1">
        <v>49</v>
      </c>
      <c r="H71" s="7">
        <f t="shared" si="7"/>
        <v>24500</v>
      </c>
    </row>
    <row r="72" spans="1:8" x14ac:dyDescent="0.2">
      <c r="A72" s="1"/>
      <c r="E72" s="6"/>
      <c r="G72" s="1"/>
      <c r="H72" s="7"/>
    </row>
    <row r="73" spans="1:8" x14ac:dyDescent="0.2">
      <c r="A73" s="1"/>
      <c r="E73" s="6"/>
      <c r="G73" s="1"/>
      <c r="H73" s="7"/>
    </row>
    <row r="74" spans="1:8" x14ac:dyDescent="0.2">
      <c r="A74" s="1"/>
      <c r="E74" s="6"/>
      <c r="G74" s="1"/>
      <c r="H74" s="7"/>
    </row>
    <row r="75" spans="1:8" x14ac:dyDescent="0.2">
      <c r="A75" s="1"/>
      <c r="E75" s="6"/>
      <c r="G75" s="1"/>
      <c r="H75" s="7">
        <f>SUM(H70:H71)</f>
        <v>135500</v>
      </c>
    </row>
    <row r="76" spans="1:8" x14ac:dyDescent="0.2">
      <c r="A76" s="1"/>
      <c r="E76" s="6"/>
      <c r="G76" s="1"/>
      <c r="H76" s="7">
        <f>H75-138500</f>
        <v>-3000</v>
      </c>
    </row>
    <row r="77" spans="1:8" x14ac:dyDescent="0.2">
      <c r="A77" s="1"/>
      <c r="E77" s="6"/>
      <c r="G77" s="1"/>
      <c r="H77" s="7"/>
    </row>
    <row r="78" spans="1:8" x14ac:dyDescent="0.2">
      <c r="A78" s="1"/>
      <c r="E78" s="6"/>
      <c r="G78" s="1"/>
      <c r="H78" s="7"/>
    </row>
    <row r="79" spans="1:8" x14ac:dyDescent="0.2">
      <c r="A79" s="1"/>
      <c r="E79" s="6"/>
      <c r="G79" s="1"/>
      <c r="H79" s="7"/>
    </row>
    <row r="80" spans="1:8" x14ac:dyDescent="0.2">
      <c r="A80" s="1"/>
      <c r="E80" s="6"/>
      <c r="G80" s="1"/>
      <c r="H80" s="7"/>
    </row>
    <row r="81" spans="1:8" x14ac:dyDescent="0.2">
      <c r="A81" s="1"/>
      <c r="E81" s="6"/>
      <c r="G81" s="1"/>
      <c r="H81" s="7"/>
    </row>
    <row r="82" spans="1:8" x14ac:dyDescent="0.2">
      <c r="A82" s="1"/>
      <c r="E82" s="6"/>
      <c r="G82" s="1"/>
      <c r="H82" s="7"/>
    </row>
    <row r="83" spans="1:8" x14ac:dyDescent="0.2">
      <c r="A83" s="1"/>
      <c r="E83" s="6"/>
      <c r="G83" s="1"/>
      <c r="H83" s="7"/>
    </row>
    <row r="84" spans="1:8" x14ac:dyDescent="0.2">
      <c r="A84" s="1"/>
      <c r="E84" s="6"/>
      <c r="G84" s="1"/>
      <c r="H84" s="7"/>
    </row>
    <row r="85" spans="1:8" x14ac:dyDescent="0.2">
      <c r="A85" s="1"/>
      <c r="E85" s="6"/>
      <c r="G85" s="1"/>
      <c r="H85" s="7"/>
    </row>
    <row r="86" spans="1:8" x14ac:dyDescent="0.2">
      <c r="A86" s="1"/>
      <c r="E86" s="6"/>
      <c r="G86" s="1"/>
      <c r="H86" s="7"/>
    </row>
    <row r="87" spans="1:8" x14ac:dyDescent="0.2">
      <c r="A87" s="1"/>
      <c r="E87" s="6"/>
      <c r="G87" s="1"/>
      <c r="H87" s="7"/>
    </row>
    <row r="88" spans="1:8" x14ac:dyDescent="0.2">
      <c r="A88" s="1"/>
      <c r="E88" s="6"/>
      <c r="G88" s="1"/>
      <c r="H88" s="7"/>
    </row>
    <row r="89" spans="1:8" x14ac:dyDescent="0.2">
      <c r="A89" s="1"/>
      <c r="E89" s="6"/>
      <c r="G89" s="1"/>
      <c r="H89" s="7"/>
    </row>
    <row r="90" spans="1:8" x14ac:dyDescent="0.2">
      <c r="A90" s="1"/>
      <c r="E90" s="6"/>
      <c r="G90" s="1"/>
      <c r="H90" s="7"/>
    </row>
    <row r="91" spans="1:8" x14ac:dyDescent="0.2">
      <c r="A91" s="1"/>
      <c r="E91" s="6"/>
      <c r="G91" s="1"/>
      <c r="H91" s="7"/>
    </row>
    <row r="92" spans="1:8" x14ac:dyDescent="0.2">
      <c r="A92" s="1"/>
      <c r="E92" s="6"/>
      <c r="G92" s="1"/>
      <c r="H92" s="7"/>
    </row>
    <row r="93" spans="1:8" x14ac:dyDescent="0.2">
      <c r="A93" s="1"/>
      <c r="E93" s="6"/>
      <c r="G93" s="1"/>
      <c r="H93" s="7"/>
    </row>
    <row r="94" spans="1:8" x14ac:dyDescent="0.2">
      <c r="A94" s="1"/>
      <c r="E94" s="6"/>
      <c r="G94" s="1"/>
      <c r="H94" s="7"/>
    </row>
    <row r="95" spans="1:8" x14ac:dyDescent="0.2">
      <c r="A95" s="1"/>
      <c r="E95" s="6"/>
      <c r="G95" s="1"/>
      <c r="H95" s="7"/>
    </row>
    <row r="96" spans="1:8" x14ac:dyDescent="0.2">
      <c r="A96" s="1"/>
      <c r="E96" s="6"/>
      <c r="G96" s="1"/>
      <c r="H96" s="7"/>
    </row>
    <row r="97" spans="1:8" x14ac:dyDescent="0.2">
      <c r="A97" s="1"/>
      <c r="E97" s="6"/>
      <c r="G97" s="1"/>
      <c r="H97" s="7"/>
    </row>
    <row r="98" spans="1:8" x14ac:dyDescent="0.2">
      <c r="A98" s="1"/>
      <c r="E98" s="6"/>
      <c r="G98" s="1"/>
      <c r="H98" s="7"/>
    </row>
    <row r="99" spans="1:8" x14ac:dyDescent="0.2">
      <c r="A99" s="1"/>
      <c r="E99" s="6"/>
      <c r="G99" s="1"/>
      <c r="H99" s="7"/>
    </row>
    <row r="100" spans="1:8" x14ac:dyDescent="0.2">
      <c r="A100" s="1"/>
      <c r="E100" s="6"/>
      <c r="G100" s="1"/>
      <c r="H100" s="7"/>
    </row>
    <row r="101" spans="1:8" x14ac:dyDescent="0.2">
      <c r="A101" s="1"/>
      <c r="E101" s="6"/>
      <c r="G101" s="1"/>
      <c r="H101" s="7"/>
    </row>
    <row r="102" spans="1:8" x14ac:dyDescent="0.2">
      <c r="A102" s="1"/>
      <c r="E102" s="6"/>
      <c r="G102" s="1"/>
      <c r="H102" s="7"/>
    </row>
    <row r="103" spans="1:8" x14ac:dyDescent="0.2">
      <c r="A103" s="1"/>
      <c r="E103" s="6"/>
      <c r="G103" s="1"/>
      <c r="H103" s="7"/>
    </row>
    <row r="104" spans="1:8" x14ac:dyDescent="0.2">
      <c r="A104" s="1"/>
      <c r="E104" s="6"/>
      <c r="G104" s="1"/>
      <c r="H104" s="7"/>
    </row>
    <row r="105" spans="1:8" x14ac:dyDescent="0.2">
      <c r="A105" s="1"/>
      <c r="E105" s="6"/>
      <c r="G105" s="1"/>
      <c r="H105" s="7"/>
    </row>
    <row r="106" spans="1:8" x14ac:dyDescent="0.2">
      <c r="A106" s="1"/>
      <c r="E106" s="6"/>
      <c r="G106" s="1"/>
      <c r="H106" s="7"/>
    </row>
    <row r="107" spans="1:8" x14ac:dyDescent="0.2">
      <c r="A107" s="1"/>
      <c r="E107" s="6"/>
      <c r="G107" s="1"/>
      <c r="H107" s="7"/>
    </row>
    <row r="108" spans="1:8" x14ac:dyDescent="0.2">
      <c r="A108" s="1"/>
      <c r="E108" s="6"/>
      <c r="G108" s="1"/>
      <c r="H108" s="7"/>
    </row>
    <row r="109" spans="1:8" x14ac:dyDescent="0.2">
      <c r="A109" s="1"/>
      <c r="E109" s="6"/>
      <c r="G109" s="1"/>
      <c r="H109" s="7"/>
    </row>
    <row r="110" spans="1:8" x14ac:dyDescent="0.2">
      <c r="A110" s="1"/>
      <c r="E110" s="6"/>
      <c r="G110" s="1"/>
      <c r="H110" s="7"/>
    </row>
    <row r="111" spans="1:8" x14ac:dyDescent="0.2">
      <c r="A111" s="1"/>
      <c r="E111" s="6"/>
      <c r="G111" s="1"/>
      <c r="H111" s="7"/>
    </row>
    <row r="112" spans="1:8" x14ac:dyDescent="0.2">
      <c r="A112" s="1"/>
      <c r="E112" s="6"/>
      <c r="G112" s="1"/>
      <c r="H112" s="7"/>
    </row>
    <row r="113" spans="1:8" x14ac:dyDescent="0.2">
      <c r="A113" s="1"/>
      <c r="E113" s="6"/>
      <c r="G113" s="1"/>
      <c r="H113" s="7"/>
    </row>
    <row r="114" spans="1:8" x14ac:dyDescent="0.2">
      <c r="A114" s="1"/>
      <c r="E114" s="6"/>
      <c r="G114" s="1"/>
      <c r="H114" s="7"/>
    </row>
    <row r="115" spans="1:8" x14ac:dyDescent="0.2">
      <c r="A115" s="1"/>
      <c r="E115" s="6"/>
      <c r="G115" s="1"/>
      <c r="H115" s="7"/>
    </row>
    <row r="116" spans="1:8" x14ac:dyDescent="0.2">
      <c r="A116" s="1"/>
      <c r="E116" s="6"/>
      <c r="G116" s="1"/>
      <c r="H116" s="7"/>
    </row>
    <row r="117" spans="1:8" x14ac:dyDescent="0.2">
      <c r="A117" s="1"/>
      <c r="E117" s="6"/>
      <c r="G117" s="1"/>
      <c r="H117" s="7"/>
    </row>
    <row r="118" spans="1:8" x14ac:dyDescent="0.2">
      <c r="A118" s="1"/>
      <c r="E118" s="6"/>
      <c r="G118" s="1"/>
      <c r="H118" s="7"/>
    </row>
    <row r="119" spans="1:8" x14ac:dyDescent="0.2">
      <c r="A119" s="1"/>
      <c r="E119" s="6"/>
      <c r="G119" s="1"/>
      <c r="H119" s="7"/>
    </row>
    <row r="120" spans="1:8" x14ac:dyDescent="0.2">
      <c r="A120" s="1"/>
      <c r="E120" s="6"/>
      <c r="G120" s="1"/>
      <c r="H120" s="7"/>
    </row>
    <row r="121" spans="1:8" x14ac:dyDescent="0.2">
      <c r="A121" s="1"/>
      <c r="E121" s="6"/>
      <c r="G121" s="1"/>
      <c r="H121" s="7"/>
    </row>
    <row r="122" spans="1:8" x14ac:dyDescent="0.2">
      <c r="A122" s="1"/>
      <c r="E122" s="6"/>
      <c r="G122" s="1"/>
      <c r="H122" s="7"/>
    </row>
    <row r="123" spans="1:8" x14ac:dyDescent="0.2">
      <c r="A123" s="1"/>
      <c r="E123" s="6"/>
      <c r="G123" s="1"/>
      <c r="H123" s="7"/>
    </row>
    <row r="124" spans="1:8" x14ac:dyDescent="0.2">
      <c r="A124" s="1"/>
      <c r="E124" s="6"/>
      <c r="G124" s="1"/>
      <c r="H124" s="7"/>
    </row>
    <row r="125" spans="1:8" x14ac:dyDescent="0.2">
      <c r="A125" s="1"/>
      <c r="E125" s="6"/>
      <c r="G125" s="1"/>
      <c r="H125" s="7"/>
    </row>
    <row r="126" spans="1:8" x14ac:dyDescent="0.2">
      <c r="A126" s="1"/>
      <c r="E126" s="6"/>
      <c r="G126" s="1"/>
      <c r="H126" s="7"/>
    </row>
    <row r="127" spans="1:8" x14ac:dyDescent="0.2">
      <c r="A127" s="1"/>
      <c r="E127" s="6"/>
      <c r="G127" s="1"/>
      <c r="H127" s="7"/>
    </row>
    <row r="128" spans="1:8" x14ac:dyDescent="0.2">
      <c r="A128" s="1"/>
      <c r="E128" s="6"/>
      <c r="G128" s="1"/>
      <c r="H128" s="7"/>
    </row>
    <row r="129" spans="1:8" x14ac:dyDescent="0.2">
      <c r="A129" s="1"/>
      <c r="E129" s="6"/>
      <c r="G129" s="1"/>
      <c r="H129" s="7"/>
    </row>
    <row r="130" spans="1:8" x14ac:dyDescent="0.2">
      <c r="A130" s="1"/>
      <c r="E130" s="6"/>
      <c r="G130" s="1"/>
      <c r="H130" s="7"/>
    </row>
    <row r="131" spans="1:8" x14ac:dyDescent="0.2">
      <c r="A131" s="1"/>
      <c r="E131" s="6"/>
      <c r="G131" s="1"/>
      <c r="H131" s="7"/>
    </row>
    <row r="132" spans="1:8" x14ac:dyDescent="0.2">
      <c r="A132" s="1"/>
      <c r="E132" s="6"/>
      <c r="G132" s="1"/>
      <c r="H132" s="7"/>
    </row>
    <row r="133" spans="1:8" x14ac:dyDescent="0.2">
      <c r="A133" s="1"/>
      <c r="E133" s="6"/>
      <c r="G133" s="1"/>
      <c r="H133" s="7"/>
    </row>
    <row r="134" spans="1:8" x14ac:dyDescent="0.2">
      <c r="A134" s="1"/>
      <c r="E134" s="6"/>
      <c r="G134" s="1"/>
      <c r="H134" s="7"/>
    </row>
    <row r="135" spans="1:8" x14ac:dyDescent="0.2">
      <c r="A135" s="1"/>
      <c r="E135" s="6"/>
      <c r="G135" s="1"/>
      <c r="H135" s="7"/>
    </row>
    <row r="136" spans="1:8" x14ac:dyDescent="0.2">
      <c r="A136" s="1"/>
      <c r="E136" s="6"/>
      <c r="G136" s="1"/>
      <c r="H136" s="7"/>
    </row>
    <row r="137" spans="1:8" x14ac:dyDescent="0.2">
      <c r="A137" s="1"/>
      <c r="E137" s="6"/>
      <c r="G137" s="1"/>
      <c r="H137" s="7"/>
    </row>
    <row r="138" spans="1:8" x14ac:dyDescent="0.2">
      <c r="A138" s="1"/>
      <c r="E138" s="6"/>
      <c r="G138" s="1"/>
      <c r="H138" s="7"/>
    </row>
    <row r="139" spans="1:8" x14ac:dyDescent="0.2">
      <c r="A139" s="1"/>
      <c r="E139" s="6"/>
      <c r="G139" s="1"/>
      <c r="H139" s="7"/>
    </row>
    <row r="140" spans="1:8" x14ac:dyDescent="0.2">
      <c r="A140" s="1"/>
      <c r="E140" s="6"/>
      <c r="G140" s="1"/>
      <c r="H140" s="7"/>
    </row>
    <row r="141" spans="1:8" x14ac:dyDescent="0.2">
      <c r="A141" s="1"/>
      <c r="E141" s="6"/>
      <c r="G141" s="1"/>
      <c r="H141" s="7"/>
    </row>
    <row r="142" spans="1:8" x14ac:dyDescent="0.2">
      <c r="A142" s="1"/>
      <c r="E142" s="6"/>
      <c r="G142" s="1"/>
      <c r="H142" s="7"/>
    </row>
    <row r="143" spans="1:8" x14ac:dyDescent="0.2">
      <c r="A143" s="1"/>
      <c r="E143" s="6"/>
      <c r="G143" s="1"/>
      <c r="H143" s="7"/>
    </row>
    <row r="144" spans="1:8" x14ac:dyDescent="0.2">
      <c r="A144" s="1"/>
      <c r="E144" s="6"/>
      <c r="G144" s="1"/>
      <c r="H144" s="7"/>
    </row>
    <row r="145" spans="1:8" x14ac:dyDescent="0.2">
      <c r="A145" s="1"/>
      <c r="E145" s="6"/>
      <c r="G145" s="1"/>
      <c r="H145" s="7"/>
    </row>
    <row r="146" spans="1:8" x14ac:dyDescent="0.2">
      <c r="A146" s="1"/>
      <c r="E146" s="6"/>
      <c r="G146" s="1"/>
      <c r="H146" s="7"/>
    </row>
    <row r="147" spans="1:8" x14ac:dyDescent="0.2">
      <c r="A147" s="1"/>
      <c r="E147" s="6"/>
      <c r="G147" s="1"/>
      <c r="H147" s="7"/>
    </row>
    <row r="148" spans="1:8" x14ac:dyDescent="0.2">
      <c r="A148" s="1"/>
      <c r="E148" s="6"/>
      <c r="G148" s="1"/>
      <c r="H148" s="7"/>
    </row>
    <row r="149" spans="1:8" x14ac:dyDescent="0.2">
      <c r="A149" s="1"/>
      <c r="E149" s="6"/>
      <c r="G149" s="1"/>
      <c r="H149" s="7"/>
    </row>
    <row r="150" spans="1:8" x14ac:dyDescent="0.2">
      <c r="A150" s="1"/>
      <c r="E150" s="6"/>
      <c r="G150" s="1"/>
      <c r="H150" s="7"/>
    </row>
    <row r="151" spans="1:8" x14ac:dyDescent="0.2">
      <c r="A151" s="1"/>
      <c r="E151" s="6"/>
      <c r="G151" s="1"/>
      <c r="H151" s="7"/>
    </row>
    <row r="152" spans="1:8" x14ac:dyDescent="0.2">
      <c r="A152" s="1"/>
      <c r="E152" s="6"/>
      <c r="G152" s="1"/>
      <c r="H152" s="7"/>
    </row>
    <row r="153" spans="1:8" x14ac:dyDescent="0.2">
      <c r="A153" s="1"/>
      <c r="E153" s="6"/>
      <c r="G153" s="1"/>
      <c r="H153" s="7"/>
    </row>
    <row r="154" spans="1:8" x14ac:dyDescent="0.2">
      <c r="A154" s="1"/>
      <c r="E154" s="6"/>
      <c r="G154" s="1"/>
      <c r="H154" s="7"/>
    </row>
    <row r="155" spans="1:8" x14ac:dyDescent="0.2">
      <c r="A155" s="1"/>
      <c r="E155" s="6"/>
      <c r="G155" s="1"/>
      <c r="H155" s="7"/>
    </row>
    <row r="156" spans="1:8" x14ac:dyDescent="0.2">
      <c r="A156" s="1"/>
      <c r="E156" s="6"/>
      <c r="G156" s="1"/>
      <c r="H156" s="7"/>
    </row>
    <row r="157" spans="1:8" x14ac:dyDescent="0.2">
      <c r="A157" s="1"/>
      <c r="E157" s="6"/>
      <c r="G157" s="1"/>
      <c r="H157" s="7"/>
    </row>
    <row r="158" spans="1:8" x14ac:dyDescent="0.2">
      <c r="A158" s="1"/>
      <c r="E158" s="6"/>
      <c r="G158" s="1"/>
      <c r="H158" s="7"/>
    </row>
    <row r="159" spans="1:8" x14ac:dyDescent="0.2">
      <c r="A159" s="1"/>
      <c r="E159" s="6"/>
      <c r="G159" s="1"/>
      <c r="H159" s="7"/>
    </row>
    <row r="160" spans="1:8" x14ac:dyDescent="0.2">
      <c r="A160" s="1"/>
      <c r="E160" s="6"/>
      <c r="G160" s="1"/>
      <c r="H160" s="7"/>
    </row>
    <row r="161" spans="1:8" x14ac:dyDescent="0.2">
      <c r="A161" s="1"/>
      <c r="E161" s="6"/>
      <c r="G161" s="1"/>
      <c r="H161" s="7"/>
    </row>
    <row r="162" spans="1:8" x14ac:dyDescent="0.2">
      <c r="A162" s="1"/>
      <c r="E162" s="6"/>
      <c r="G162" s="1"/>
      <c r="H162" s="7"/>
    </row>
    <row r="163" spans="1:8" x14ac:dyDescent="0.2">
      <c r="A163" s="1"/>
      <c r="E163" s="6"/>
      <c r="G163" s="1"/>
      <c r="H163" s="7"/>
    </row>
    <row r="164" spans="1:8" x14ac:dyDescent="0.2">
      <c r="A164" s="1"/>
      <c r="E164" s="6"/>
      <c r="G164" s="1"/>
      <c r="H164" s="7"/>
    </row>
    <row r="165" spans="1:8" x14ac:dyDescent="0.2">
      <c r="A165" s="1"/>
      <c r="E165" s="6"/>
      <c r="G165" s="1"/>
      <c r="H165" s="7"/>
    </row>
    <row r="166" spans="1:8" x14ac:dyDescent="0.2">
      <c r="A166" s="1"/>
      <c r="E166" s="6"/>
      <c r="G166" s="1"/>
      <c r="H166" s="7"/>
    </row>
    <row r="167" spans="1:8" x14ac:dyDescent="0.2">
      <c r="A167" s="1"/>
      <c r="E167" s="6"/>
      <c r="G167" s="1"/>
      <c r="H167" s="7"/>
    </row>
    <row r="168" spans="1:8" x14ac:dyDescent="0.2">
      <c r="A168" s="1"/>
      <c r="E168" s="6"/>
      <c r="G168" s="1"/>
      <c r="H168" s="7"/>
    </row>
    <row r="169" spans="1:8" x14ac:dyDescent="0.2">
      <c r="A169" s="1"/>
      <c r="E169" s="6"/>
      <c r="G169" s="1"/>
      <c r="H169" s="7"/>
    </row>
    <row r="170" spans="1:8" x14ac:dyDescent="0.2">
      <c r="A170" s="1"/>
      <c r="E170" s="6"/>
      <c r="G170" s="1"/>
      <c r="H170" s="7"/>
    </row>
    <row r="171" spans="1:8" x14ac:dyDescent="0.2">
      <c r="A171" s="1"/>
      <c r="E171" s="6"/>
      <c r="G171" s="1"/>
      <c r="H171" s="7"/>
    </row>
    <row r="172" spans="1:8" x14ac:dyDescent="0.2">
      <c r="A172" s="1"/>
      <c r="E172" s="6"/>
      <c r="G172" s="1"/>
      <c r="H172" s="7"/>
    </row>
    <row r="173" spans="1:8" x14ac:dyDescent="0.2">
      <c r="A173" s="1"/>
      <c r="E173" s="6"/>
      <c r="G173" s="1"/>
      <c r="H173" s="7"/>
    </row>
    <row r="174" spans="1:8" x14ac:dyDescent="0.2">
      <c r="A174" s="1"/>
      <c r="E174" s="6"/>
      <c r="G174" s="1"/>
      <c r="H174" s="7"/>
    </row>
    <row r="175" spans="1:8" x14ac:dyDescent="0.2">
      <c r="A175" s="1"/>
      <c r="E175" s="6"/>
      <c r="G175" s="1"/>
      <c r="H175" s="7"/>
    </row>
    <row r="176" spans="1:8" x14ac:dyDescent="0.2">
      <c r="A176" s="1"/>
      <c r="E176" s="6"/>
      <c r="G176" s="1"/>
      <c r="H176" s="7"/>
    </row>
    <row r="177" spans="1:8" x14ac:dyDescent="0.2">
      <c r="A177" s="1"/>
      <c r="E177" s="6"/>
      <c r="G177" s="1"/>
      <c r="H177" s="7"/>
    </row>
    <row r="178" spans="1:8" x14ac:dyDescent="0.2">
      <c r="A178" s="1"/>
      <c r="E178" s="6"/>
      <c r="G178" s="1"/>
      <c r="H178" s="7"/>
    </row>
    <row r="179" spans="1:8" x14ac:dyDescent="0.2">
      <c r="A179" s="1"/>
      <c r="E179" s="6"/>
      <c r="G179" s="1"/>
      <c r="H179" s="7"/>
    </row>
    <row r="180" spans="1:8" x14ac:dyDescent="0.2">
      <c r="A180" s="1"/>
      <c r="E180" s="6"/>
      <c r="G180" s="1"/>
      <c r="H180" s="7"/>
    </row>
    <row r="181" spans="1:8" x14ac:dyDescent="0.2">
      <c r="A181" s="1"/>
      <c r="E181" s="6"/>
      <c r="G181" s="1"/>
      <c r="H181" s="7"/>
    </row>
    <row r="182" spans="1:8" x14ac:dyDescent="0.2">
      <c r="A182" s="1"/>
      <c r="E182" s="6"/>
      <c r="G182" s="1"/>
      <c r="H182" s="7"/>
    </row>
    <row r="183" spans="1:8" x14ac:dyDescent="0.2">
      <c r="A183" s="1"/>
      <c r="E183" s="6"/>
      <c r="G183" s="1"/>
      <c r="H183" s="7"/>
    </row>
    <row r="184" spans="1:8" x14ac:dyDescent="0.2">
      <c r="A184" s="1"/>
      <c r="E184" s="6"/>
      <c r="G184" s="1"/>
      <c r="H184" s="7"/>
    </row>
    <row r="185" spans="1:8" x14ac:dyDescent="0.2">
      <c r="A185" s="1"/>
      <c r="E185" s="6"/>
      <c r="G185" s="1"/>
      <c r="H185" s="7"/>
    </row>
    <row r="186" spans="1:8" x14ac:dyDescent="0.2">
      <c r="A186" s="1"/>
      <c r="E186" s="6"/>
      <c r="G186" s="1"/>
      <c r="H186" s="7"/>
    </row>
    <row r="187" spans="1:8" x14ac:dyDescent="0.2">
      <c r="A187" s="1"/>
      <c r="E187" s="6"/>
      <c r="G187" s="1"/>
      <c r="H187" s="7"/>
    </row>
    <row r="188" spans="1:8" x14ac:dyDescent="0.2">
      <c r="A188" s="1"/>
      <c r="E188" s="6"/>
      <c r="G188" s="1"/>
      <c r="H188" s="7"/>
    </row>
    <row r="189" spans="1:8" x14ac:dyDescent="0.2">
      <c r="A189" s="1"/>
      <c r="E189" s="6"/>
      <c r="G189" s="1"/>
      <c r="H189" s="7"/>
    </row>
    <row r="190" spans="1:8" x14ac:dyDescent="0.2">
      <c r="A190" s="1"/>
      <c r="E190" s="6"/>
      <c r="G190" s="1"/>
      <c r="H190" s="7"/>
    </row>
    <row r="191" spans="1:8" x14ac:dyDescent="0.2">
      <c r="A191" s="1"/>
      <c r="E191" s="6"/>
      <c r="G191" s="1"/>
      <c r="H191" s="7"/>
    </row>
    <row r="192" spans="1:8" x14ac:dyDescent="0.2">
      <c r="A192" s="1"/>
      <c r="E192" s="6"/>
      <c r="G192" s="1"/>
      <c r="H192" s="7"/>
    </row>
    <row r="193" spans="1:8" x14ac:dyDescent="0.2">
      <c r="A193" s="1"/>
      <c r="E193" s="6"/>
      <c r="G193" s="1"/>
      <c r="H193" s="7"/>
    </row>
    <row r="194" spans="1:8" x14ac:dyDescent="0.2">
      <c r="A194" s="1"/>
      <c r="E194" s="6"/>
      <c r="G194" s="1"/>
      <c r="H194" s="7"/>
    </row>
    <row r="195" spans="1:8" x14ac:dyDescent="0.2">
      <c r="A195" s="1"/>
      <c r="E195" s="6"/>
      <c r="G195" s="1"/>
      <c r="H195" s="7"/>
    </row>
    <row r="196" spans="1:8" x14ac:dyDescent="0.2">
      <c r="A196" s="1"/>
      <c r="E196" s="6"/>
      <c r="G196" s="1"/>
      <c r="H196" s="7"/>
    </row>
    <row r="197" spans="1:8" x14ac:dyDescent="0.2">
      <c r="A197" s="1"/>
      <c r="E197" s="6"/>
      <c r="G197" s="1"/>
      <c r="H197" s="7"/>
    </row>
    <row r="198" spans="1:8" x14ac:dyDescent="0.2">
      <c r="A198" s="1"/>
      <c r="E198" s="6"/>
      <c r="G198" s="1"/>
      <c r="H198" s="7"/>
    </row>
    <row r="199" spans="1:8" x14ac:dyDescent="0.2">
      <c r="A199" s="1"/>
      <c r="E199" s="6"/>
      <c r="G199" s="1"/>
      <c r="H199" s="7"/>
    </row>
    <row r="200" spans="1:8" x14ac:dyDescent="0.2">
      <c r="A200" s="1"/>
      <c r="E200" s="6"/>
      <c r="G200" s="1"/>
      <c r="H200" s="7"/>
    </row>
    <row r="201" spans="1:8" x14ac:dyDescent="0.2">
      <c r="A201" s="1"/>
      <c r="E201" s="6"/>
      <c r="G201" s="1"/>
      <c r="H201" s="7"/>
    </row>
    <row r="202" spans="1:8" x14ac:dyDescent="0.2">
      <c r="A202" s="1"/>
      <c r="E202" s="6"/>
      <c r="G202" s="1"/>
      <c r="H202" s="7"/>
    </row>
    <row r="203" spans="1:8" x14ac:dyDescent="0.2">
      <c r="A203" s="1"/>
      <c r="E203" s="6"/>
      <c r="G203" s="1"/>
      <c r="H203" s="7"/>
    </row>
    <row r="204" spans="1:8" x14ac:dyDescent="0.2">
      <c r="A204" s="1"/>
      <c r="E204" s="6"/>
      <c r="G204" s="1"/>
      <c r="H204" s="7"/>
    </row>
    <row r="205" spans="1:8" x14ac:dyDescent="0.2">
      <c r="A205" s="1"/>
      <c r="E205" s="6"/>
      <c r="G205" s="1"/>
      <c r="H205" s="7"/>
    </row>
    <row r="206" spans="1:8" x14ac:dyDescent="0.2">
      <c r="A206" s="1"/>
      <c r="E206" s="6"/>
      <c r="G206" s="1"/>
      <c r="H206" s="7"/>
    </row>
    <row r="207" spans="1:8" x14ac:dyDescent="0.2">
      <c r="A207" s="1"/>
      <c r="E207" s="6"/>
      <c r="G207" s="1"/>
      <c r="H207" s="7"/>
    </row>
    <row r="208" spans="1:8" x14ac:dyDescent="0.2">
      <c r="A208" s="1"/>
      <c r="E208" s="6"/>
      <c r="G208" s="1"/>
      <c r="H208" s="7"/>
    </row>
    <row r="209" spans="1:8" x14ac:dyDescent="0.2">
      <c r="A209" s="1"/>
      <c r="E209" s="6"/>
      <c r="G209" s="1"/>
      <c r="H209" s="7"/>
    </row>
    <row r="210" spans="1:8" x14ac:dyDescent="0.2">
      <c r="A210" s="1"/>
      <c r="E210" s="6"/>
      <c r="G210" s="1"/>
      <c r="H210" s="7"/>
    </row>
    <row r="211" spans="1:8" x14ac:dyDescent="0.2">
      <c r="A211" s="1"/>
      <c r="E211" s="6"/>
      <c r="G211" s="1"/>
      <c r="H211" s="7"/>
    </row>
    <row r="212" spans="1:8" x14ac:dyDescent="0.2">
      <c r="A212" s="1"/>
      <c r="E212" s="6"/>
      <c r="G212" s="1"/>
      <c r="H212" s="7"/>
    </row>
    <row r="213" spans="1:8" x14ac:dyDescent="0.2">
      <c r="A213" s="1"/>
      <c r="E213" s="6"/>
      <c r="G213" s="1"/>
      <c r="H213" s="7"/>
    </row>
    <row r="214" spans="1:8" x14ac:dyDescent="0.2">
      <c r="A214" s="1"/>
      <c r="E214" s="6"/>
      <c r="G214" s="1"/>
      <c r="H214" s="7"/>
    </row>
    <row r="215" spans="1:8" x14ac:dyDescent="0.2">
      <c r="A215" s="1"/>
      <c r="E215" s="6"/>
      <c r="G215" s="1"/>
      <c r="H215" s="7"/>
    </row>
    <row r="216" spans="1:8" x14ac:dyDescent="0.2">
      <c r="A216" s="1"/>
      <c r="E216" s="6"/>
      <c r="G216" s="1"/>
      <c r="H216" s="7"/>
    </row>
    <row r="217" spans="1:8" x14ac:dyDescent="0.2">
      <c r="A217" s="1"/>
      <c r="E217" s="6"/>
      <c r="G217" s="1"/>
      <c r="H217" s="7"/>
    </row>
    <row r="218" spans="1:8" x14ac:dyDescent="0.2">
      <c r="A218" s="1"/>
      <c r="E218" s="6"/>
      <c r="G218" s="1"/>
      <c r="H218" s="7"/>
    </row>
    <row r="219" spans="1:8" x14ac:dyDescent="0.2">
      <c r="A219" s="1"/>
      <c r="E219" s="6"/>
      <c r="G219" s="1"/>
      <c r="H219" s="7"/>
    </row>
    <row r="220" spans="1:8" x14ac:dyDescent="0.2">
      <c r="A220" s="1"/>
      <c r="E220" s="6"/>
      <c r="G220" s="1"/>
      <c r="H220" s="7"/>
    </row>
    <row r="221" spans="1:8" x14ac:dyDescent="0.2">
      <c r="A221" s="1"/>
      <c r="E221" s="6"/>
      <c r="G221" s="1"/>
      <c r="H221" s="7"/>
    </row>
    <row r="222" spans="1:8" x14ac:dyDescent="0.2">
      <c r="A222" s="1"/>
      <c r="E222" s="6"/>
      <c r="G222" s="1"/>
      <c r="H222" s="7"/>
    </row>
    <row r="223" spans="1:8" x14ac:dyDescent="0.2">
      <c r="A223" s="1"/>
      <c r="E223" s="6"/>
      <c r="G223" s="1"/>
      <c r="H223" s="7"/>
    </row>
    <row r="224" spans="1:8" x14ac:dyDescent="0.2">
      <c r="A224" s="1"/>
      <c r="E224" s="6"/>
      <c r="G224" s="1"/>
      <c r="H224" s="7"/>
    </row>
    <row r="225" spans="1:8" x14ac:dyDescent="0.2">
      <c r="A225" s="1"/>
      <c r="E225" s="6"/>
      <c r="G225" s="1"/>
      <c r="H225" s="7"/>
    </row>
    <row r="226" spans="1:8" x14ac:dyDescent="0.2">
      <c r="A226" s="1"/>
      <c r="E226" s="6"/>
      <c r="G226" s="1"/>
      <c r="H226" s="7"/>
    </row>
    <row r="227" spans="1:8" x14ac:dyDescent="0.2">
      <c r="A227" s="1"/>
      <c r="E227" s="6"/>
      <c r="G227" s="1"/>
      <c r="H227" s="7"/>
    </row>
    <row r="228" spans="1:8" x14ac:dyDescent="0.2">
      <c r="A228" s="1"/>
      <c r="E228" s="6"/>
      <c r="G228" s="1"/>
      <c r="H228" s="7"/>
    </row>
    <row r="229" spans="1:8" x14ac:dyDescent="0.2">
      <c r="A229" s="1"/>
      <c r="E229" s="6"/>
      <c r="G229" s="1"/>
      <c r="H229" s="7"/>
    </row>
    <row r="230" spans="1:8" x14ac:dyDescent="0.2">
      <c r="A230" s="1"/>
      <c r="E230" s="6"/>
      <c r="G230" s="1"/>
      <c r="H230" s="7"/>
    </row>
    <row r="231" spans="1:8" x14ac:dyDescent="0.2">
      <c r="A231" s="1"/>
      <c r="E231" s="6"/>
      <c r="G231" s="1"/>
      <c r="H231" s="7"/>
    </row>
    <row r="232" spans="1:8" x14ac:dyDescent="0.2">
      <c r="A232" s="1"/>
      <c r="E232" s="6"/>
      <c r="G232" s="1"/>
      <c r="H232" s="7"/>
    </row>
    <row r="233" spans="1:8" x14ac:dyDescent="0.2">
      <c r="A233" s="1"/>
      <c r="E233" s="6"/>
      <c r="G233" s="1"/>
      <c r="H233" s="7"/>
    </row>
    <row r="234" spans="1:8" x14ac:dyDescent="0.2">
      <c r="A234" s="1"/>
      <c r="E234" s="6"/>
      <c r="G234" s="1"/>
      <c r="H234" s="7"/>
    </row>
    <row r="235" spans="1:8" x14ac:dyDescent="0.2">
      <c r="A235" s="1"/>
      <c r="E235" s="6"/>
      <c r="G235" s="1"/>
      <c r="H235" s="7"/>
    </row>
    <row r="236" spans="1:8" x14ac:dyDescent="0.2">
      <c r="A236" s="1"/>
      <c r="E236" s="6"/>
      <c r="G236" s="1"/>
      <c r="H236" s="7"/>
    </row>
    <row r="237" spans="1:8" x14ac:dyDescent="0.2">
      <c r="A237" s="1"/>
      <c r="E237" s="6"/>
      <c r="G237" s="1"/>
      <c r="H237" s="7"/>
    </row>
    <row r="238" spans="1:8" x14ac:dyDescent="0.2">
      <c r="A238" s="1"/>
      <c r="E238" s="6"/>
      <c r="G238" s="1"/>
      <c r="H238" s="7"/>
    </row>
    <row r="239" spans="1:8" x14ac:dyDescent="0.2">
      <c r="A239" s="1"/>
      <c r="E239" s="6"/>
      <c r="G239" s="1"/>
      <c r="H239" s="7"/>
    </row>
    <row r="240" spans="1:8" x14ac:dyDescent="0.2">
      <c r="A240" s="1"/>
      <c r="E240" s="6"/>
      <c r="G240" s="1"/>
      <c r="H240" s="7"/>
    </row>
    <row r="241" spans="1:8" x14ac:dyDescent="0.2">
      <c r="A241" s="1"/>
      <c r="E241" s="6"/>
      <c r="G241" s="1"/>
      <c r="H241" s="7"/>
    </row>
    <row r="242" spans="1:8" x14ac:dyDescent="0.2">
      <c r="A242" s="1"/>
      <c r="E242" s="6"/>
      <c r="G242" s="1"/>
      <c r="H242" s="7"/>
    </row>
    <row r="243" spans="1:8" x14ac:dyDescent="0.2">
      <c r="A243" s="1"/>
      <c r="E243" s="6"/>
      <c r="G243" s="1"/>
      <c r="H243" s="7"/>
    </row>
    <row r="244" spans="1:8" x14ac:dyDescent="0.2">
      <c r="A244" s="1"/>
      <c r="E244" s="6"/>
      <c r="G244" s="1"/>
      <c r="H244" s="7"/>
    </row>
    <row r="245" spans="1:8" x14ac:dyDescent="0.2">
      <c r="A245" s="1"/>
      <c r="E245" s="6"/>
      <c r="G245" s="1"/>
      <c r="H245" s="7"/>
    </row>
    <row r="246" spans="1:8" x14ac:dyDescent="0.2">
      <c r="A246" s="1"/>
      <c r="E246" s="6"/>
      <c r="G246" s="1"/>
      <c r="H246" s="7"/>
    </row>
    <row r="247" spans="1:8" x14ac:dyDescent="0.2">
      <c r="A247" s="1"/>
      <c r="E247" s="6"/>
      <c r="G247" s="1"/>
      <c r="H247" s="7"/>
    </row>
    <row r="248" spans="1:8" x14ac:dyDescent="0.2">
      <c r="A248" s="1"/>
      <c r="E248" s="6"/>
      <c r="G248" s="1"/>
      <c r="H248" s="7"/>
    </row>
    <row r="249" spans="1:8" x14ac:dyDescent="0.2">
      <c r="A249" s="1"/>
      <c r="E249" s="6"/>
      <c r="G249" s="1"/>
      <c r="H249" s="7"/>
    </row>
    <row r="250" spans="1:8" x14ac:dyDescent="0.2">
      <c r="A250" s="1"/>
      <c r="E250" s="6"/>
      <c r="G250" s="1"/>
      <c r="H250" s="7"/>
    </row>
    <row r="251" spans="1:8" x14ac:dyDescent="0.2">
      <c r="A251" s="1"/>
      <c r="E251" s="6"/>
      <c r="G251" s="1"/>
      <c r="H251" s="7"/>
    </row>
    <row r="252" spans="1:8" x14ac:dyDescent="0.2">
      <c r="A252" s="1"/>
      <c r="E252" s="6"/>
      <c r="G252" s="1"/>
      <c r="H252" s="7"/>
    </row>
    <row r="253" spans="1:8" x14ac:dyDescent="0.2">
      <c r="A253" s="1"/>
      <c r="E253" s="6"/>
      <c r="G253" s="1"/>
      <c r="H253" s="7"/>
    </row>
    <row r="254" spans="1:8" x14ac:dyDescent="0.2">
      <c r="A254" s="1"/>
      <c r="E254" s="6"/>
      <c r="G254" s="1"/>
      <c r="H254" s="7"/>
    </row>
    <row r="255" spans="1:8" x14ac:dyDescent="0.2">
      <c r="A255" s="1"/>
      <c r="E255" s="6"/>
      <c r="G255" s="1"/>
      <c r="H255" s="7"/>
    </row>
    <row r="256" spans="1:8" x14ac:dyDescent="0.2">
      <c r="A256" s="1"/>
      <c r="E256" s="6"/>
      <c r="G256" s="1"/>
      <c r="H256" s="7"/>
    </row>
    <row r="257" spans="1:8" x14ac:dyDescent="0.2">
      <c r="A257" s="1"/>
      <c r="E257" s="6"/>
      <c r="G257" s="1"/>
      <c r="H257" s="7"/>
    </row>
    <row r="258" spans="1:8" x14ac:dyDescent="0.2">
      <c r="A258" s="1"/>
      <c r="E258" s="6"/>
      <c r="G258" s="1"/>
      <c r="H258" s="7"/>
    </row>
    <row r="259" spans="1:8" x14ac:dyDescent="0.2">
      <c r="A259" s="1"/>
      <c r="E259" s="6"/>
      <c r="G259" s="1"/>
      <c r="H259" s="7"/>
    </row>
    <row r="260" spans="1:8" x14ac:dyDescent="0.2">
      <c r="A260" s="1"/>
      <c r="E260" s="6"/>
      <c r="G260" s="1"/>
      <c r="H260" s="7"/>
    </row>
    <row r="261" spans="1:8" x14ac:dyDescent="0.2">
      <c r="A261" s="1"/>
      <c r="E261" s="6"/>
      <c r="G261" s="1"/>
      <c r="H261" s="7"/>
    </row>
    <row r="262" spans="1:8" x14ac:dyDescent="0.2">
      <c r="A262" s="1"/>
      <c r="E262" s="6"/>
      <c r="G262" s="1"/>
      <c r="H262" s="7"/>
    </row>
    <row r="263" spans="1:8" x14ac:dyDescent="0.2">
      <c r="A263" s="1"/>
      <c r="E263" s="6"/>
      <c r="G263" s="1"/>
      <c r="H263" s="7"/>
    </row>
    <row r="264" spans="1:8" x14ac:dyDescent="0.2">
      <c r="A264" s="1"/>
      <c r="E264" s="6"/>
      <c r="G264" s="1"/>
      <c r="H264" s="7"/>
    </row>
    <row r="265" spans="1:8" x14ac:dyDescent="0.2">
      <c r="A265" s="1"/>
      <c r="E265" s="6"/>
      <c r="G265" s="1"/>
      <c r="H265" s="7"/>
    </row>
    <row r="266" spans="1:8" x14ac:dyDescent="0.2">
      <c r="A266" s="1"/>
      <c r="E266" s="6"/>
      <c r="G266" s="1"/>
      <c r="H266" s="7"/>
    </row>
    <row r="267" spans="1:8" x14ac:dyDescent="0.2">
      <c r="A267" s="1"/>
      <c r="E267" s="6"/>
      <c r="G267" s="1"/>
      <c r="H267" s="7"/>
    </row>
    <row r="268" spans="1:8" x14ac:dyDescent="0.2">
      <c r="A268" s="1"/>
      <c r="E268" s="6"/>
      <c r="G268" s="1"/>
      <c r="H268" s="7"/>
    </row>
    <row r="269" spans="1:8" x14ac:dyDescent="0.2">
      <c r="A269" s="1"/>
      <c r="E269" s="6"/>
      <c r="G269" s="1"/>
      <c r="H269" s="7"/>
    </row>
    <row r="270" spans="1:8" x14ac:dyDescent="0.2">
      <c r="A270" s="1"/>
      <c r="E270" s="6"/>
      <c r="G270" s="1"/>
      <c r="H270" s="7"/>
    </row>
    <row r="271" spans="1:8" x14ac:dyDescent="0.2">
      <c r="A271" s="1"/>
      <c r="E271" s="6"/>
      <c r="G271" s="1"/>
      <c r="H271" s="7"/>
    </row>
    <row r="272" spans="1:8" x14ac:dyDescent="0.2">
      <c r="A272" s="1"/>
      <c r="E272" s="6"/>
      <c r="G272" s="1"/>
      <c r="H272" s="7"/>
    </row>
    <row r="273" spans="1:8" x14ac:dyDescent="0.2">
      <c r="A273" s="1"/>
      <c r="E273" s="6"/>
      <c r="G273" s="1"/>
      <c r="H273" s="7"/>
    </row>
    <row r="274" spans="1:8" x14ac:dyDescent="0.2">
      <c r="A274" s="1"/>
      <c r="E274" s="6"/>
      <c r="G274" s="1"/>
      <c r="H274" s="7"/>
    </row>
    <row r="275" spans="1:8" x14ac:dyDescent="0.2">
      <c r="A275" s="1"/>
      <c r="E275" s="6"/>
      <c r="G275" s="1"/>
      <c r="H275" s="7"/>
    </row>
    <row r="276" spans="1:8" x14ac:dyDescent="0.2">
      <c r="A276" s="1"/>
      <c r="E276" s="6"/>
      <c r="G276" s="1"/>
      <c r="H276" s="7"/>
    </row>
    <row r="277" spans="1:8" x14ac:dyDescent="0.2">
      <c r="A277" s="1"/>
      <c r="E277" s="6"/>
      <c r="G277" s="1"/>
      <c r="H277" s="7"/>
    </row>
    <row r="278" spans="1:8" x14ac:dyDescent="0.2">
      <c r="A278" s="1"/>
      <c r="E278" s="6"/>
      <c r="G278" s="1"/>
      <c r="H278" s="7"/>
    </row>
    <row r="279" spans="1:8" x14ac:dyDescent="0.2">
      <c r="A279" s="1"/>
      <c r="E279" s="6"/>
      <c r="G279" s="1"/>
      <c r="H279" s="7"/>
    </row>
    <row r="280" spans="1:8" x14ac:dyDescent="0.2">
      <c r="A280" s="1"/>
      <c r="E280" s="6"/>
      <c r="G280" s="1"/>
      <c r="H280" s="7"/>
    </row>
    <row r="281" spans="1:8" x14ac:dyDescent="0.2">
      <c r="A281" s="1"/>
      <c r="E281" s="6"/>
      <c r="G281" s="1"/>
      <c r="H281" s="7"/>
    </row>
    <row r="282" spans="1:8" x14ac:dyDescent="0.2">
      <c r="A282" s="1"/>
      <c r="E282" s="6"/>
      <c r="G282" s="1"/>
      <c r="H282" s="7"/>
    </row>
    <row r="283" spans="1:8" x14ac:dyDescent="0.2">
      <c r="A283" s="1"/>
      <c r="E283" s="6"/>
      <c r="G283" s="1"/>
      <c r="H283" s="7"/>
    </row>
    <row r="284" spans="1:8" x14ac:dyDescent="0.2">
      <c r="A284" s="1"/>
      <c r="E284" s="6"/>
      <c r="G284" s="1"/>
      <c r="H284" s="7"/>
    </row>
    <row r="285" spans="1:8" x14ac:dyDescent="0.2">
      <c r="A285" s="1"/>
      <c r="E285" s="6"/>
      <c r="G285" s="1"/>
      <c r="H285" s="7"/>
    </row>
    <row r="286" spans="1:8" x14ac:dyDescent="0.2">
      <c r="A286" s="1"/>
      <c r="E286" s="6"/>
      <c r="G286" s="1"/>
      <c r="H286" s="7"/>
    </row>
    <row r="287" spans="1:8" x14ac:dyDescent="0.2">
      <c r="A287" s="1"/>
      <c r="E287" s="6"/>
      <c r="G287" s="1"/>
      <c r="H287" s="7"/>
    </row>
    <row r="288" spans="1:8" x14ac:dyDescent="0.2">
      <c r="A288" s="1"/>
      <c r="E288" s="6"/>
      <c r="G288" s="1"/>
      <c r="H288" s="7"/>
    </row>
    <row r="289" spans="1:8" x14ac:dyDescent="0.2">
      <c r="A289" s="1"/>
      <c r="E289" s="6"/>
      <c r="G289" s="1"/>
      <c r="H289" s="7"/>
    </row>
    <row r="290" spans="1:8" x14ac:dyDescent="0.2">
      <c r="A290" s="1"/>
      <c r="E290" s="6"/>
      <c r="G290" s="1"/>
      <c r="H290" s="7"/>
    </row>
    <row r="291" spans="1:8" x14ac:dyDescent="0.2">
      <c r="A291" s="1"/>
      <c r="E291" s="6"/>
      <c r="G291" s="1"/>
      <c r="H291" s="7"/>
    </row>
    <row r="292" spans="1:8" x14ac:dyDescent="0.2">
      <c r="A292" s="1"/>
      <c r="E292" s="6"/>
      <c r="G292" s="1"/>
      <c r="H292" s="7"/>
    </row>
    <row r="293" spans="1:8" x14ac:dyDescent="0.2">
      <c r="A293" s="1"/>
      <c r="E293" s="6"/>
      <c r="G293" s="1"/>
      <c r="H293" s="7"/>
    </row>
    <row r="294" spans="1:8" x14ac:dyDescent="0.2">
      <c r="A294" s="1"/>
      <c r="E294" s="6"/>
      <c r="G294" s="1"/>
      <c r="H294" s="7"/>
    </row>
    <row r="295" spans="1:8" x14ac:dyDescent="0.2">
      <c r="A295" s="1"/>
      <c r="E295" s="6"/>
      <c r="G295" s="1"/>
      <c r="H295" s="7"/>
    </row>
    <row r="296" spans="1:8" x14ac:dyDescent="0.2">
      <c r="A296" s="1"/>
      <c r="E296" s="6"/>
      <c r="G296" s="1"/>
      <c r="H296" s="7"/>
    </row>
    <row r="297" spans="1:8" x14ac:dyDescent="0.2">
      <c r="A297" s="1"/>
      <c r="E297" s="6"/>
      <c r="G297" s="1"/>
      <c r="H297" s="7"/>
    </row>
    <row r="298" spans="1:8" x14ac:dyDescent="0.2">
      <c r="A298" s="1"/>
      <c r="E298" s="6"/>
      <c r="G298" s="1"/>
      <c r="H298" s="7"/>
    </row>
    <row r="299" spans="1:8" x14ac:dyDescent="0.2">
      <c r="A299" s="1"/>
      <c r="E299" s="6"/>
      <c r="G299" s="1"/>
      <c r="H299" s="7"/>
    </row>
    <row r="300" spans="1:8" x14ac:dyDescent="0.2">
      <c r="A300" s="1"/>
      <c r="E300" s="6"/>
      <c r="G300" s="1"/>
      <c r="H300" s="7"/>
    </row>
    <row r="301" spans="1:8" x14ac:dyDescent="0.2">
      <c r="A301" s="1"/>
      <c r="E301" s="6"/>
      <c r="G301" s="1"/>
      <c r="H301" s="7"/>
    </row>
    <row r="302" spans="1:8" x14ac:dyDescent="0.2">
      <c r="A302" s="1"/>
      <c r="E302" s="6"/>
      <c r="G302" s="1"/>
      <c r="H302" s="7"/>
    </row>
    <row r="303" spans="1:8" x14ac:dyDescent="0.2">
      <c r="A303" s="1"/>
      <c r="E303" s="6"/>
      <c r="G303" s="1"/>
      <c r="H303" s="7"/>
    </row>
    <row r="304" spans="1:8" x14ac:dyDescent="0.2">
      <c r="A304" s="1"/>
      <c r="E304" s="6"/>
      <c r="G304" s="1"/>
      <c r="H304" s="7"/>
    </row>
    <row r="305" spans="1:8" x14ac:dyDescent="0.2">
      <c r="A305" s="1"/>
      <c r="E305" s="6"/>
      <c r="G305" s="1"/>
      <c r="H305" s="7"/>
    </row>
    <row r="306" spans="1:8" x14ac:dyDescent="0.2">
      <c r="A306" s="1"/>
      <c r="E306" s="6"/>
      <c r="G306" s="1"/>
      <c r="H306" s="7"/>
    </row>
    <row r="307" spans="1:8" x14ac:dyDescent="0.2">
      <c r="A307" s="1"/>
      <c r="E307" s="6"/>
      <c r="G307" s="1"/>
      <c r="H307" s="7"/>
    </row>
    <row r="308" spans="1:8" x14ac:dyDescent="0.2">
      <c r="A308" s="1"/>
      <c r="E308" s="6"/>
      <c r="G308" s="1"/>
      <c r="H308" s="7"/>
    </row>
    <row r="309" spans="1:8" x14ac:dyDescent="0.2">
      <c r="A309" s="1"/>
      <c r="E309" s="6"/>
      <c r="G309" s="1"/>
      <c r="H309" s="7"/>
    </row>
    <row r="310" spans="1:8" x14ac:dyDescent="0.2">
      <c r="A310" s="1"/>
      <c r="E310" s="6"/>
      <c r="G310" s="1"/>
      <c r="H310" s="7"/>
    </row>
    <row r="311" spans="1:8" x14ac:dyDescent="0.2">
      <c r="A311" s="1"/>
      <c r="E311" s="6"/>
      <c r="G311" s="1"/>
      <c r="H311" s="7"/>
    </row>
    <row r="312" spans="1:8" x14ac:dyDescent="0.2">
      <c r="A312" s="1"/>
      <c r="E312" s="6"/>
      <c r="G312" s="1"/>
      <c r="H312" s="7"/>
    </row>
    <row r="313" spans="1:8" x14ac:dyDescent="0.2">
      <c r="A313" s="1"/>
      <c r="E313" s="6"/>
      <c r="G313" s="1"/>
      <c r="H313" s="7"/>
    </row>
    <row r="314" spans="1:8" x14ac:dyDescent="0.2">
      <c r="A314" s="1"/>
      <c r="E314" s="6"/>
      <c r="G314" s="1"/>
      <c r="H314" s="7"/>
    </row>
    <row r="315" spans="1:8" x14ac:dyDescent="0.2">
      <c r="A315" s="1"/>
      <c r="E315" s="6"/>
      <c r="G315" s="1"/>
      <c r="H315" s="7"/>
    </row>
    <row r="316" spans="1:8" x14ac:dyDescent="0.2">
      <c r="A316" s="1"/>
      <c r="E316" s="6"/>
      <c r="G316" s="1"/>
      <c r="H316" s="7"/>
    </row>
    <row r="317" spans="1:8" x14ac:dyDescent="0.2">
      <c r="A317" s="1"/>
      <c r="E317" s="6"/>
      <c r="G317" s="1"/>
      <c r="H317" s="7"/>
    </row>
    <row r="318" spans="1:8" x14ac:dyDescent="0.2">
      <c r="A318" s="1"/>
      <c r="E318" s="6"/>
      <c r="G318" s="1"/>
      <c r="H318" s="7"/>
    </row>
    <row r="319" spans="1:8" x14ac:dyDescent="0.2">
      <c r="A319" s="1"/>
      <c r="E319" s="6"/>
      <c r="G319" s="1"/>
      <c r="H319" s="7"/>
    </row>
    <row r="320" spans="1:8" x14ac:dyDescent="0.2">
      <c r="A320" s="1"/>
      <c r="E320" s="6"/>
      <c r="G320" s="1"/>
      <c r="H320" s="7"/>
    </row>
    <row r="321" spans="1:8" x14ac:dyDescent="0.2">
      <c r="A321" s="1"/>
      <c r="E321" s="6"/>
      <c r="G321" s="1"/>
      <c r="H321" s="7"/>
    </row>
    <row r="322" spans="1:8" x14ac:dyDescent="0.2">
      <c r="A322" s="1"/>
      <c r="E322" s="6"/>
      <c r="G322" s="1"/>
      <c r="H322" s="7"/>
    </row>
    <row r="323" spans="1:8" x14ac:dyDescent="0.2">
      <c r="A323" s="1"/>
      <c r="E323" s="6"/>
      <c r="G323" s="1"/>
      <c r="H323" s="7"/>
    </row>
    <row r="324" spans="1:8" x14ac:dyDescent="0.2">
      <c r="A324" s="1"/>
      <c r="E324" s="6"/>
      <c r="G324" s="1"/>
      <c r="H324" s="7"/>
    </row>
    <row r="325" spans="1:8" x14ac:dyDescent="0.2">
      <c r="A325" s="1"/>
      <c r="E325" s="6"/>
      <c r="G325" s="1"/>
      <c r="H325" s="7"/>
    </row>
    <row r="326" spans="1:8" x14ac:dyDescent="0.2">
      <c r="A326" s="1"/>
      <c r="E326" s="6"/>
      <c r="G326" s="1"/>
      <c r="H326" s="7"/>
    </row>
    <row r="327" spans="1:8" x14ac:dyDescent="0.2">
      <c r="A327" s="1"/>
      <c r="E327" s="6"/>
      <c r="G327" s="1"/>
      <c r="H327" s="7"/>
    </row>
    <row r="328" spans="1:8" x14ac:dyDescent="0.2">
      <c r="A328" s="1"/>
      <c r="E328" s="6"/>
      <c r="G328" s="1"/>
      <c r="H328" s="7"/>
    </row>
    <row r="329" spans="1:8" x14ac:dyDescent="0.2">
      <c r="A329" s="1"/>
      <c r="E329" s="6"/>
      <c r="G329" s="1"/>
      <c r="H329" s="7"/>
    </row>
    <row r="330" spans="1:8" x14ac:dyDescent="0.2">
      <c r="A330" s="1"/>
      <c r="E330" s="6"/>
      <c r="G330" s="1"/>
      <c r="H330" s="7"/>
    </row>
    <row r="331" spans="1:8" x14ac:dyDescent="0.2">
      <c r="A331" s="1"/>
      <c r="E331" s="6"/>
      <c r="G331" s="1"/>
      <c r="H331" s="7"/>
    </row>
    <row r="332" spans="1:8" x14ac:dyDescent="0.2">
      <c r="A332" s="1"/>
      <c r="E332" s="6"/>
      <c r="G332" s="1"/>
      <c r="H332" s="7"/>
    </row>
    <row r="333" spans="1:8" x14ac:dyDescent="0.2">
      <c r="A333" s="1"/>
      <c r="E333" s="6"/>
      <c r="G333" s="1"/>
      <c r="H333" s="7"/>
    </row>
    <row r="334" spans="1:8" x14ac:dyDescent="0.2">
      <c r="A334" s="1"/>
      <c r="E334" s="6"/>
      <c r="G334" s="1"/>
      <c r="H334" s="7"/>
    </row>
    <row r="335" spans="1:8" x14ac:dyDescent="0.2">
      <c r="A335" s="1"/>
      <c r="E335" s="6"/>
      <c r="G335" s="1"/>
      <c r="H335" s="7"/>
    </row>
    <row r="336" spans="1:8" x14ac:dyDescent="0.2">
      <c r="A336" s="1"/>
      <c r="E336" s="6"/>
      <c r="G336" s="1"/>
      <c r="H336" s="7"/>
    </row>
    <row r="337" spans="1:8" x14ac:dyDescent="0.2">
      <c r="A337" s="1"/>
      <c r="E337" s="6"/>
      <c r="G337" s="1"/>
      <c r="H337" s="7"/>
    </row>
    <row r="338" spans="1:8" x14ac:dyDescent="0.2">
      <c r="A338" s="1"/>
      <c r="E338" s="6"/>
      <c r="G338" s="1"/>
      <c r="H338" s="7"/>
    </row>
    <row r="339" spans="1:8" x14ac:dyDescent="0.2">
      <c r="A339" s="1"/>
      <c r="E339" s="6"/>
      <c r="G339" s="1"/>
      <c r="H339" s="7"/>
    </row>
    <row r="340" spans="1:8" x14ac:dyDescent="0.2">
      <c r="A340" s="1"/>
      <c r="E340" s="6"/>
      <c r="G340" s="1"/>
      <c r="H340" s="7"/>
    </row>
    <row r="341" spans="1:8" x14ac:dyDescent="0.2">
      <c r="A341" s="1"/>
      <c r="E341" s="6"/>
      <c r="G341" s="1"/>
      <c r="H341" s="7"/>
    </row>
    <row r="342" spans="1:8" x14ac:dyDescent="0.2">
      <c r="A342" s="1"/>
      <c r="E342" s="6"/>
      <c r="G342" s="1"/>
      <c r="H342" s="7"/>
    </row>
    <row r="343" spans="1:8" x14ac:dyDescent="0.2">
      <c r="A343" s="1"/>
      <c r="E343" s="6"/>
      <c r="G343" s="1"/>
      <c r="H343" s="7"/>
    </row>
    <row r="344" spans="1:8" x14ac:dyDescent="0.2">
      <c r="A344" s="1"/>
      <c r="E344" s="6"/>
      <c r="G344" s="1"/>
      <c r="H344" s="7"/>
    </row>
    <row r="345" spans="1:8" x14ac:dyDescent="0.2">
      <c r="A345" s="1"/>
      <c r="E345" s="6"/>
      <c r="G345" s="1"/>
      <c r="H345" s="7"/>
    </row>
    <row r="346" spans="1:8" x14ac:dyDescent="0.2">
      <c r="A346" s="1"/>
      <c r="E346" s="6"/>
      <c r="G346" s="1"/>
      <c r="H346" s="7"/>
    </row>
    <row r="347" spans="1:8" x14ac:dyDescent="0.2">
      <c r="A347" s="1"/>
      <c r="E347" s="6"/>
      <c r="G347" s="1"/>
      <c r="H347" s="7"/>
    </row>
    <row r="348" spans="1:8" x14ac:dyDescent="0.2">
      <c r="A348" s="1"/>
      <c r="E348" s="6"/>
      <c r="G348" s="1"/>
      <c r="H348" s="7"/>
    </row>
    <row r="349" spans="1:8" x14ac:dyDescent="0.2">
      <c r="A349" s="1"/>
      <c r="E349" s="6"/>
      <c r="G349" s="1"/>
      <c r="H349" s="7"/>
    </row>
    <row r="350" spans="1:8" x14ac:dyDescent="0.2">
      <c r="A350" s="1"/>
      <c r="E350" s="6"/>
      <c r="G350" s="1"/>
      <c r="H350" s="7"/>
    </row>
    <row r="351" spans="1:8" x14ac:dyDescent="0.2">
      <c r="A351" s="1"/>
      <c r="E351" s="6"/>
      <c r="G351" s="1"/>
      <c r="H351" s="7"/>
    </row>
    <row r="352" spans="1:8" x14ac:dyDescent="0.2">
      <c r="A352" s="1"/>
      <c r="E352" s="6"/>
      <c r="G352" s="1"/>
      <c r="H352" s="7"/>
    </row>
    <row r="353" spans="1:8" x14ac:dyDescent="0.2">
      <c r="A353" s="1"/>
      <c r="E353" s="6"/>
      <c r="G353" s="1"/>
      <c r="H353" s="7"/>
    </row>
    <row r="354" spans="1:8" x14ac:dyDescent="0.2">
      <c r="A354" s="1"/>
      <c r="E354" s="6"/>
      <c r="G354" s="1"/>
      <c r="H354" s="7"/>
    </row>
    <row r="355" spans="1:8" x14ac:dyDescent="0.2">
      <c r="A355" s="1"/>
      <c r="E355" s="6"/>
      <c r="G355" s="1"/>
      <c r="H355" s="7"/>
    </row>
    <row r="356" spans="1:8" x14ac:dyDescent="0.2">
      <c r="A356" s="1"/>
      <c r="E356" s="6"/>
      <c r="G356" s="1"/>
      <c r="H356" s="7"/>
    </row>
    <row r="357" spans="1:8" x14ac:dyDescent="0.2">
      <c r="A357" s="1"/>
      <c r="E357" s="6"/>
      <c r="G357" s="1"/>
      <c r="H357" s="7"/>
    </row>
    <row r="358" spans="1:8" x14ac:dyDescent="0.2">
      <c r="A358" s="1"/>
      <c r="E358" s="6"/>
      <c r="G358" s="1"/>
      <c r="H358" s="7"/>
    </row>
    <row r="359" spans="1:8" x14ac:dyDescent="0.2">
      <c r="A359" s="1"/>
      <c r="E359" s="6"/>
      <c r="G359" s="1"/>
      <c r="H359" s="7"/>
    </row>
    <row r="360" spans="1:8" x14ac:dyDescent="0.2">
      <c r="A360" s="1"/>
      <c r="E360" s="6"/>
      <c r="G360" s="1"/>
      <c r="H360" s="7"/>
    </row>
    <row r="361" spans="1:8" x14ac:dyDescent="0.2">
      <c r="A361" s="1"/>
      <c r="E361" s="6"/>
      <c r="G361" s="1"/>
      <c r="H361" s="7"/>
    </row>
    <row r="362" spans="1:8" x14ac:dyDescent="0.2">
      <c r="A362" s="1"/>
      <c r="E362" s="6"/>
      <c r="G362" s="1"/>
      <c r="H362" s="7"/>
    </row>
    <row r="363" spans="1:8" x14ac:dyDescent="0.2">
      <c r="A363" s="1"/>
      <c r="E363" s="6"/>
      <c r="G363" s="1"/>
      <c r="H363" s="7"/>
    </row>
    <row r="364" spans="1:8" x14ac:dyDescent="0.2">
      <c r="A364" s="1"/>
      <c r="E364" s="6"/>
      <c r="G364" s="1"/>
      <c r="H364" s="7"/>
    </row>
    <row r="365" spans="1:8" x14ac:dyDescent="0.2">
      <c r="A365" s="1"/>
      <c r="E365" s="6"/>
      <c r="G365" s="1"/>
      <c r="H365" s="7"/>
    </row>
    <row r="366" spans="1:8" x14ac:dyDescent="0.2">
      <c r="A366" s="1"/>
      <c r="E366" s="6"/>
      <c r="G366" s="1"/>
      <c r="H366" s="7"/>
    </row>
    <row r="367" spans="1:8" x14ac:dyDescent="0.2">
      <c r="A367" s="1"/>
      <c r="E367" s="6"/>
      <c r="G367" s="1"/>
      <c r="H367" s="7"/>
    </row>
    <row r="368" spans="1:8" x14ac:dyDescent="0.2">
      <c r="A368" s="1"/>
      <c r="E368" s="6"/>
      <c r="G368" s="1"/>
      <c r="H368" s="7"/>
    </row>
    <row r="369" spans="1:8" x14ac:dyDescent="0.2">
      <c r="A369" s="1"/>
      <c r="E369" s="6"/>
      <c r="G369" s="1"/>
      <c r="H369" s="7"/>
    </row>
    <row r="370" spans="1:8" x14ac:dyDescent="0.2">
      <c r="A370" s="1"/>
      <c r="E370" s="6"/>
      <c r="G370" s="1"/>
      <c r="H370" s="7"/>
    </row>
    <row r="371" spans="1:8" x14ac:dyDescent="0.2">
      <c r="A371" s="1"/>
      <c r="E371" s="6"/>
      <c r="G371" s="1"/>
      <c r="H371" s="7"/>
    </row>
    <row r="372" spans="1:8" x14ac:dyDescent="0.2">
      <c r="A372" s="1"/>
      <c r="E372" s="6"/>
      <c r="G372" s="1"/>
      <c r="H372" s="7"/>
    </row>
    <row r="373" spans="1:8" x14ac:dyDescent="0.2">
      <c r="A373" s="1"/>
      <c r="E373" s="6"/>
      <c r="G373" s="1"/>
      <c r="H373" s="7"/>
    </row>
    <row r="374" spans="1:8" x14ac:dyDescent="0.2">
      <c r="A374" s="1"/>
      <c r="E374" s="6"/>
      <c r="G374" s="1"/>
      <c r="H374" s="7"/>
    </row>
    <row r="375" spans="1:8" x14ac:dyDescent="0.2">
      <c r="A375" s="1"/>
      <c r="E375" s="6"/>
      <c r="G375" s="1"/>
      <c r="H375" s="7"/>
    </row>
    <row r="376" spans="1:8" x14ac:dyDescent="0.2">
      <c r="A376" s="1"/>
      <c r="E376" s="6"/>
      <c r="G376" s="1"/>
      <c r="H376" s="7"/>
    </row>
    <row r="377" spans="1:8" x14ac:dyDescent="0.2">
      <c r="A377" s="1"/>
      <c r="E377" s="6"/>
      <c r="G377" s="1"/>
      <c r="H377" s="7"/>
    </row>
    <row r="378" spans="1:8" x14ac:dyDescent="0.2">
      <c r="A378" s="1"/>
      <c r="E378" s="6"/>
      <c r="G378" s="1"/>
      <c r="H378" s="7"/>
    </row>
    <row r="379" spans="1:8" x14ac:dyDescent="0.2">
      <c r="A379" s="1"/>
      <c r="E379" s="6"/>
      <c r="G379" s="1"/>
      <c r="H379" s="7"/>
    </row>
    <row r="380" spans="1:8" x14ac:dyDescent="0.2">
      <c r="A380" s="1"/>
      <c r="E380" s="6"/>
      <c r="G380" s="1"/>
      <c r="H380" s="7"/>
    </row>
    <row r="381" spans="1:8" x14ac:dyDescent="0.2">
      <c r="A381" s="1"/>
      <c r="E381" s="6"/>
      <c r="G381" s="1"/>
      <c r="H381" s="7"/>
    </row>
    <row r="382" spans="1:8" x14ac:dyDescent="0.2">
      <c r="A382" s="1"/>
      <c r="E382" s="6"/>
      <c r="G382" s="1"/>
      <c r="H382" s="7"/>
    </row>
    <row r="383" spans="1:8" x14ac:dyDescent="0.2">
      <c r="A383" s="1"/>
      <c r="E383" s="6"/>
      <c r="G383" s="1"/>
      <c r="H383" s="7"/>
    </row>
    <row r="384" spans="1:8" x14ac:dyDescent="0.2">
      <c r="A384" s="1"/>
      <c r="E384" s="6"/>
      <c r="G384" s="1"/>
      <c r="H384" s="7"/>
    </row>
    <row r="385" spans="1:8" x14ac:dyDescent="0.2">
      <c r="A385" s="1"/>
      <c r="E385" s="6"/>
      <c r="G385" s="1"/>
      <c r="H385" s="7"/>
    </row>
    <row r="386" spans="1:8" x14ac:dyDescent="0.2">
      <c r="A386" s="1"/>
      <c r="E386" s="6"/>
      <c r="G386" s="1"/>
      <c r="H386" s="7"/>
    </row>
    <row r="387" spans="1:8" x14ac:dyDescent="0.2">
      <c r="A387" s="1"/>
      <c r="E387" s="6"/>
      <c r="G387" s="1"/>
      <c r="H387" s="7"/>
    </row>
    <row r="388" spans="1:8" x14ac:dyDescent="0.2">
      <c r="A388" s="1"/>
      <c r="E388" s="6"/>
      <c r="G388" s="1"/>
      <c r="H388" s="7"/>
    </row>
    <row r="389" spans="1:8" x14ac:dyDescent="0.2">
      <c r="A389" s="1"/>
      <c r="E389" s="6"/>
      <c r="G389" s="1"/>
      <c r="H389" s="7"/>
    </row>
    <row r="390" spans="1:8" x14ac:dyDescent="0.2">
      <c r="A390" s="1"/>
      <c r="E390" s="6"/>
      <c r="G390" s="1"/>
      <c r="H390" s="7"/>
    </row>
    <row r="391" spans="1:8" x14ac:dyDescent="0.2">
      <c r="A391" s="1"/>
      <c r="E391" s="6"/>
      <c r="G391" s="1"/>
      <c r="H391" s="7"/>
    </row>
    <row r="392" spans="1:8" x14ac:dyDescent="0.2">
      <c r="A392" s="1"/>
      <c r="E392" s="6"/>
      <c r="G392" s="1"/>
      <c r="H392" s="7"/>
    </row>
    <row r="393" spans="1:8" x14ac:dyDescent="0.2">
      <c r="A393" s="1"/>
      <c r="E393" s="6"/>
      <c r="G393" s="1"/>
      <c r="H393" s="7"/>
    </row>
    <row r="394" spans="1:8" x14ac:dyDescent="0.2">
      <c r="A394" s="1"/>
      <c r="E394" s="6"/>
      <c r="G394" s="1"/>
      <c r="H394" s="7"/>
    </row>
    <row r="395" spans="1:8" x14ac:dyDescent="0.2">
      <c r="A395" s="1"/>
      <c r="E395" s="6"/>
      <c r="G395" s="1"/>
      <c r="H395" s="7"/>
    </row>
    <row r="396" spans="1:8" x14ac:dyDescent="0.2">
      <c r="A396" s="1"/>
      <c r="E396" s="6"/>
      <c r="G396" s="1"/>
      <c r="H396" s="7"/>
    </row>
    <row r="397" spans="1:8" x14ac:dyDescent="0.2">
      <c r="A397" s="1"/>
      <c r="E397" s="6"/>
      <c r="G397" s="1"/>
      <c r="H397" s="7"/>
    </row>
    <row r="398" spans="1:8" x14ac:dyDescent="0.2">
      <c r="A398" s="1"/>
      <c r="E398" s="6"/>
      <c r="G398" s="1"/>
      <c r="H398" s="7"/>
    </row>
    <row r="399" spans="1:8" x14ac:dyDescent="0.2">
      <c r="A399" s="1"/>
      <c r="E399" s="6"/>
      <c r="G399" s="1"/>
      <c r="H399" s="7"/>
    </row>
    <row r="400" spans="1:8" x14ac:dyDescent="0.2">
      <c r="A400" s="1"/>
      <c r="E400" s="6"/>
      <c r="G400" s="1"/>
      <c r="H400" s="7"/>
    </row>
    <row r="401" spans="1:8" x14ac:dyDescent="0.2">
      <c r="A401" s="1"/>
      <c r="E401" s="6"/>
      <c r="G401" s="1"/>
      <c r="H401" s="7"/>
    </row>
    <row r="402" spans="1:8" x14ac:dyDescent="0.2">
      <c r="A402" s="1"/>
      <c r="E402" s="6"/>
      <c r="G402" s="1"/>
      <c r="H402" s="7"/>
    </row>
    <row r="403" spans="1:8" x14ac:dyDescent="0.2">
      <c r="A403" s="1"/>
      <c r="E403" s="6"/>
      <c r="G403" s="1"/>
      <c r="H403" s="7"/>
    </row>
    <row r="404" spans="1:8" x14ac:dyDescent="0.2">
      <c r="A404" s="1"/>
      <c r="E404" s="6"/>
      <c r="G404" s="1"/>
      <c r="H404" s="7"/>
    </row>
    <row r="405" spans="1:8" x14ac:dyDescent="0.2">
      <c r="A405" s="1"/>
      <c r="E405" s="6"/>
      <c r="G405" s="1"/>
      <c r="H405" s="7"/>
    </row>
    <row r="406" spans="1:8" x14ac:dyDescent="0.2">
      <c r="A406" s="1"/>
      <c r="E406" s="6"/>
      <c r="G406" s="1"/>
      <c r="H406" s="7"/>
    </row>
    <row r="407" spans="1:8" x14ac:dyDescent="0.2">
      <c r="A407" s="1"/>
      <c r="E407" s="6"/>
      <c r="G407" s="1"/>
      <c r="H407" s="7"/>
    </row>
    <row r="408" spans="1:8" x14ac:dyDescent="0.2">
      <c r="A408" s="1"/>
      <c r="E408" s="6"/>
      <c r="G408" s="1"/>
      <c r="H408" s="7"/>
    </row>
    <row r="409" spans="1:8" x14ac:dyDescent="0.2">
      <c r="A409" s="1"/>
      <c r="E409" s="6"/>
      <c r="G409" s="1"/>
      <c r="H409" s="7"/>
    </row>
    <row r="410" spans="1:8" x14ac:dyDescent="0.2">
      <c r="A410" s="1"/>
      <c r="E410" s="6"/>
      <c r="G410" s="1"/>
      <c r="H410" s="7"/>
    </row>
    <row r="411" spans="1:8" x14ac:dyDescent="0.2">
      <c r="A411" s="1"/>
      <c r="E411" s="6"/>
      <c r="G411" s="1"/>
      <c r="H411" s="7"/>
    </row>
    <row r="412" spans="1:8" x14ac:dyDescent="0.2">
      <c r="A412" s="1"/>
      <c r="E412" s="6"/>
      <c r="G412" s="1"/>
      <c r="H412" s="7"/>
    </row>
    <row r="413" spans="1:8" x14ac:dyDescent="0.2">
      <c r="A413" s="1"/>
      <c r="E413" s="6"/>
      <c r="G413" s="1"/>
      <c r="H413" s="7"/>
    </row>
    <row r="414" spans="1:8" x14ac:dyDescent="0.2">
      <c r="A414" s="1"/>
      <c r="E414" s="6"/>
      <c r="G414" s="1"/>
      <c r="H414" s="7"/>
    </row>
    <row r="415" spans="1:8" x14ac:dyDescent="0.2">
      <c r="A415" s="1"/>
      <c r="E415" s="6"/>
      <c r="G415" s="1"/>
      <c r="H415" s="7"/>
    </row>
    <row r="416" spans="1:8" x14ac:dyDescent="0.2">
      <c r="A416" s="1"/>
      <c r="E416" s="6"/>
      <c r="G416" s="1"/>
      <c r="H416" s="7"/>
    </row>
    <row r="417" spans="1:8" x14ac:dyDescent="0.2">
      <c r="A417" s="1"/>
      <c r="E417" s="6"/>
      <c r="G417" s="1"/>
      <c r="H417" s="7"/>
    </row>
    <row r="418" spans="1:8" x14ac:dyDescent="0.2">
      <c r="A418" s="1"/>
      <c r="E418" s="6"/>
      <c r="G418" s="1"/>
      <c r="H418" s="7"/>
    </row>
    <row r="419" spans="1:8" x14ac:dyDescent="0.2">
      <c r="A419" s="1"/>
      <c r="E419" s="6"/>
      <c r="G419" s="1"/>
      <c r="H419" s="7"/>
    </row>
    <row r="420" spans="1:8" x14ac:dyDescent="0.2">
      <c r="A420" s="1"/>
      <c r="E420" s="6"/>
      <c r="G420" s="1"/>
      <c r="H420" s="7"/>
    </row>
    <row r="421" spans="1:8" x14ac:dyDescent="0.2">
      <c r="A421" s="1"/>
      <c r="E421" s="6"/>
      <c r="G421" s="1"/>
      <c r="H421" s="7"/>
    </row>
    <row r="422" spans="1:8" x14ac:dyDescent="0.2">
      <c r="A422" s="1"/>
      <c r="E422" s="6"/>
      <c r="G422" s="1"/>
      <c r="H422" s="7"/>
    </row>
    <row r="423" spans="1:8" x14ac:dyDescent="0.2">
      <c r="A423" s="1"/>
      <c r="E423" s="6"/>
      <c r="G423" s="1"/>
      <c r="H423" s="7"/>
    </row>
    <row r="424" spans="1:8" x14ac:dyDescent="0.2">
      <c r="A424" s="1"/>
      <c r="E424" s="6"/>
      <c r="G424" s="1"/>
      <c r="H424" s="7"/>
    </row>
    <row r="425" spans="1:8" x14ac:dyDescent="0.2">
      <c r="A425" s="1"/>
      <c r="E425" s="6"/>
      <c r="G425" s="1"/>
      <c r="H425" s="7"/>
    </row>
    <row r="426" spans="1:8" x14ac:dyDescent="0.2">
      <c r="A426" s="1"/>
      <c r="E426" s="6"/>
      <c r="G426" s="1"/>
      <c r="H426" s="7"/>
    </row>
    <row r="427" spans="1:8" x14ac:dyDescent="0.2">
      <c r="A427" s="1"/>
      <c r="E427" s="6"/>
      <c r="G427" s="1"/>
      <c r="H427" s="7"/>
    </row>
    <row r="428" spans="1:8" x14ac:dyDescent="0.2">
      <c r="A428" s="1"/>
      <c r="E428" s="6"/>
      <c r="G428" s="1"/>
      <c r="H428" s="7"/>
    </row>
    <row r="429" spans="1:8" x14ac:dyDescent="0.2">
      <c r="A429" s="1"/>
      <c r="E429" s="6"/>
      <c r="G429" s="1"/>
      <c r="H429" s="7"/>
    </row>
    <row r="430" spans="1:8" x14ac:dyDescent="0.2">
      <c r="A430" s="1"/>
      <c r="E430" s="6"/>
      <c r="G430" s="1"/>
      <c r="H430" s="7"/>
    </row>
    <row r="431" spans="1:8" x14ac:dyDescent="0.2">
      <c r="A431" s="1"/>
      <c r="E431" s="6"/>
      <c r="G431" s="1"/>
      <c r="H431" s="7"/>
    </row>
    <row r="432" spans="1:8" x14ac:dyDescent="0.2">
      <c r="A432" s="1"/>
      <c r="E432" s="6"/>
      <c r="G432" s="1"/>
      <c r="H432" s="7"/>
    </row>
    <row r="433" spans="1:8" x14ac:dyDescent="0.2">
      <c r="A433" s="1"/>
      <c r="E433" s="6"/>
      <c r="G433" s="1"/>
      <c r="H433" s="7"/>
    </row>
    <row r="434" spans="1:8" x14ac:dyDescent="0.2">
      <c r="A434" s="1"/>
      <c r="E434" s="6"/>
      <c r="G434" s="1"/>
      <c r="H434" s="7"/>
    </row>
    <row r="435" spans="1:8" x14ac:dyDescent="0.2">
      <c r="A435" s="1"/>
      <c r="E435" s="6"/>
      <c r="G435" s="1"/>
      <c r="H435" s="7"/>
    </row>
    <row r="436" spans="1:8" x14ac:dyDescent="0.2">
      <c r="A436" s="1"/>
      <c r="E436" s="6"/>
      <c r="G436" s="1"/>
      <c r="H436" s="7"/>
    </row>
    <row r="437" spans="1:8" x14ac:dyDescent="0.2">
      <c r="A437" s="1"/>
      <c r="E437" s="6"/>
      <c r="G437" s="1"/>
      <c r="H437" s="7"/>
    </row>
    <row r="438" spans="1:8" x14ac:dyDescent="0.2">
      <c r="A438" s="1"/>
      <c r="E438" s="6"/>
      <c r="G438" s="1"/>
      <c r="H438" s="7"/>
    </row>
    <row r="439" spans="1:8" x14ac:dyDescent="0.2">
      <c r="A439" s="1"/>
      <c r="E439" s="6"/>
      <c r="G439" s="1"/>
      <c r="H439" s="7"/>
    </row>
    <row r="440" spans="1:8" x14ac:dyDescent="0.2">
      <c r="A440" s="1"/>
      <c r="E440" s="6"/>
      <c r="G440" s="1"/>
      <c r="H440" s="7"/>
    </row>
    <row r="441" spans="1:8" x14ac:dyDescent="0.2">
      <c r="A441" s="1"/>
      <c r="E441" s="6"/>
      <c r="G441" s="1"/>
      <c r="H441" s="7"/>
    </row>
    <row r="442" spans="1:8" x14ac:dyDescent="0.2">
      <c r="A442" s="1"/>
      <c r="E442" s="6"/>
      <c r="G442" s="1"/>
      <c r="H442" s="7"/>
    </row>
    <row r="443" spans="1:8" x14ac:dyDescent="0.2">
      <c r="A443" s="1"/>
      <c r="E443" s="6"/>
      <c r="G443" s="1"/>
      <c r="H443" s="7"/>
    </row>
    <row r="444" spans="1:8" x14ac:dyDescent="0.2">
      <c r="A444" s="1"/>
      <c r="E444" s="6"/>
      <c r="G444" s="1"/>
      <c r="H444" s="7"/>
    </row>
    <row r="445" spans="1:8" x14ac:dyDescent="0.2">
      <c r="A445" s="1"/>
      <c r="E445" s="6"/>
      <c r="G445" s="1"/>
      <c r="H445" s="7"/>
    </row>
    <row r="446" spans="1:8" x14ac:dyDescent="0.2">
      <c r="A446" s="1"/>
      <c r="E446" s="6"/>
      <c r="G446" s="1"/>
      <c r="H446" s="7"/>
    </row>
    <row r="447" spans="1:8" x14ac:dyDescent="0.2">
      <c r="A447" s="1"/>
      <c r="E447" s="6"/>
      <c r="G447" s="1"/>
      <c r="H447" s="7"/>
    </row>
    <row r="448" spans="1:8" x14ac:dyDescent="0.2">
      <c r="A448" s="1"/>
      <c r="E448" s="6"/>
      <c r="G448" s="1"/>
      <c r="H448" s="7"/>
    </row>
    <row r="449" spans="1:8" x14ac:dyDescent="0.2">
      <c r="A449" s="1"/>
      <c r="E449" s="6"/>
      <c r="G449" s="1"/>
      <c r="H449" s="7"/>
    </row>
    <row r="450" spans="1:8" x14ac:dyDescent="0.2">
      <c r="A450" s="1"/>
      <c r="E450" s="6"/>
      <c r="G450" s="1"/>
      <c r="H450" s="7"/>
    </row>
    <row r="451" spans="1:8" x14ac:dyDescent="0.2">
      <c r="A451" s="1"/>
      <c r="E451" s="6"/>
      <c r="G451" s="1"/>
      <c r="H451" s="7"/>
    </row>
    <row r="452" spans="1:8" x14ac:dyDescent="0.2">
      <c r="A452" s="1"/>
      <c r="E452" s="6"/>
      <c r="G452" s="1"/>
      <c r="H452" s="7"/>
    </row>
    <row r="453" spans="1:8" x14ac:dyDescent="0.2">
      <c r="A453" s="1"/>
      <c r="E453" s="6"/>
      <c r="G453" s="1"/>
      <c r="H453" s="7"/>
    </row>
    <row r="454" spans="1:8" x14ac:dyDescent="0.2">
      <c r="A454" s="1"/>
      <c r="E454" s="6"/>
      <c r="G454" s="1"/>
      <c r="H454" s="7"/>
    </row>
    <row r="455" spans="1:8" x14ac:dyDescent="0.2">
      <c r="A455" s="1"/>
      <c r="E455" s="6"/>
      <c r="G455" s="1"/>
      <c r="H455" s="7"/>
    </row>
    <row r="456" spans="1:8" x14ac:dyDescent="0.2">
      <c r="A456" s="1"/>
      <c r="E456" s="6"/>
      <c r="G456" s="1"/>
      <c r="H456" s="7"/>
    </row>
    <row r="457" spans="1:8" x14ac:dyDescent="0.2">
      <c r="A457" s="1"/>
      <c r="E457" s="6"/>
      <c r="G457" s="1"/>
      <c r="H457" s="7"/>
    </row>
    <row r="458" spans="1:8" x14ac:dyDescent="0.2">
      <c r="A458" s="1"/>
      <c r="E458" s="6"/>
      <c r="G458" s="1"/>
      <c r="H458" s="7"/>
    </row>
    <row r="459" spans="1:8" x14ac:dyDescent="0.2">
      <c r="A459" s="1"/>
      <c r="E459" s="6"/>
      <c r="G459" s="1"/>
      <c r="H459" s="7"/>
    </row>
    <row r="460" spans="1:8" x14ac:dyDescent="0.2">
      <c r="A460" s="1"/>
      <c r="E460" s="6"/>
      <c r="G460" s="1"/>
      <c r="H460" s="7"/>
    </row>
    <row r="461" spans="1:8" x14ac:dyDescent="0.2">
      <c r="A461" s="1"/>
      <c r="E461" s="6"/>
      <c r="G461" s="1"/>
      <c r="H461" s="7"/>
    </row>
    <row r="462" spans="1:8" x14ac:dyDescent="0.2">
      <c r="A462" s="1"/>
      <c r="E462" s="6"/>
      <c r="G462" s="1"/>
      <c r="H462" s="7"/>
    </row>
    <row r="463" spans="1:8" x14ac:dyDescent="0.2">
      <c r="A463" s="1"/>
      <c r="E463" s="6"/>
      <c r="G463" s="1"/>
      <c r="H463" s="7"/>
    </row>
    <row r="464" spans="1:8" x14ac:dyDescent="0.2">
      <c r="A464" s="1"/>
      <c r="E464" s="6"/>
      <c r="G464" s="1"/>
      <c r="H464" s="7"/>
    </row>
    <row r="465" spans="1:8" x14ac:dyDescent="0.2">
      <c r="A465" s="1"/>
      <c r="E465" s="6"/>
      <c r="G465" s="1"/>
      <c r="H465" s="7"/>
    </row>
    <row r="466" spans="1:8" x14ac:dyDescent="0.2">
      <c r="A466" s="1"/>
      <c r="E466" s="6"/>
      <c r="G466" s="1"/>
      <c r="H466" s="7"/>
    </row>
    <row r="467" spans="1:8" x14ac:dyDescent="0.2">
      <c r="A467" s="1"/>
      <c r="E467" s="6"/>
      <c r="G467" s="1"/>
      <c r="H467" s="7"/>
    </row>
    <row r="468" spans="1:8" x14ac:dyDescent="0.2">
      <c r="A468" s="1"/>
      <c r="E468" s="6"/>
      <c r="G468" s="1"/>
      <c r="H468" s="7"/>
    </row>
    <row r="469" spans="1:8" x14ac:dyDescent="0.2">
      <c r="A469" s="1"/>
      <c r="E469" s="6"/>
      <c r="G469" s="1"/>
      <c r="H469" s="7"/>
    </row>
    <row r="470" spans="1:8" x14ac:dyDescent="0.2">
      <c r="A470" s="1"/>
      <c r="E470" s="6"/>
      <c r="G470" s="1"/>
      <c r="H470" s="7"/>
    </row>
    <row r="471" spans="1:8" x14ac:dyDescent="0.2">
      <c r="A471" s="1"/>
      <c r="E471" s="6"/>
      <c r="G471" s="1"/>
      <c r="H471" s="7"/>
    </row>
    <row r="472" spans="1:8" x14ac:dyDescent="0.2">
      <c r="A472" s="1"/>
      <c r="E472" s="6"/>
      <c r="G472" s="1"/>
      <c r="H472" s="7"/>
    </row>
    <row r="473" spans="1:8" x14ac:dyDescent="0.2">
      <c r="A473" s="1"/>
      <c r="E473" s="6"/>
      <c r="G473" s="1"/>
      <c r="H473" s="7"/>
    </row>
    <row r="474" spans="1:8" x14ac:dyDescent="0.2">
      <c r="A474" s="1"/>
      <c r="E474" s="6"/>
      <c r="G474" s="1"/>
      <c r="H474" s="7"/>
    </row>
    <row r="475" spans="1:8" x14ac:dyDescent="0.2">
      <c r="A475" s="1"/>
      <c r="E475" s="6"/>
      <c r="G475" s="1"/>
      <c r="H475" s="7"/>
    </row>
    <row r="476" spans="1:8" x14ac:dyDescent="0.2">
      <c r="A476" s="1"/>
      <c r="E476" s="6"/>
      <c r="G476" s="1"/>
      <c r="H476" s="7"/>
    </row>
    <row r="477" spans="1:8" x14ac:dyDescent="0.2">
      <c r="A477" s="1"/>
      <c r="E477" s="6"/>
      <c r="G477" s="1"/>
      <c r="H477" s="7"/>
    </row>
    <row r="478" spans="1:8" x14ac:dyDescent="0.2">
      <c r="A478" s="1"/>
      <c r="E478" s="6"/>
      <c r="G478" s="1"/>
      <c r="H478" s="7"/>
    </row>
    <row r="479" spans="1:8" x14ac:dyDescent="0.2">
      <c r="A479" s="1"/>
      <c r="E479" s="6"/>
      <c r="G479" s="1"/>
      <c r="H479" s="7"/>
    </row>
    <row r="480" spans="1:8" x14ac:dyDescent="0.2">
      <c r="A480" s="1"/>
      <c r="E480" s="6"/>
      <c r="G480" s="1"/>
      <c r="H480" s="7"/>
    </row>
    <row r="481" spans="1:8" x14ac:dyDescent="0.2">
      <c r="A481" s="1"/>
      <c r="E481" s="6"/>
      <c r="G481" s="1"/>
      <c r="H481" s="7"/>
    </row>
    <row r="482" spans="1:8" x14ac:dyDescent="0.2">
      <c r="A482" s="1"/>
      <c r="E482" s="6"/>
      <c r="G482" s="1"/>
      <c r="H482" s="7"/>
    </row>
    <row r="483" spans="1:8" x14ac:dyDescent="0.2">
      <c r="A483" s="1"/>
      <c r="E483" s="6"/>
      <c r="G483" s="1"/>
      <c r="H483" s="7"/>
    </row>
    <row r="484" spans="1:8" x14ac:dyDescent="0.2">
      <c r="A484" s="1"/>
      <c r="E484" s="6"/>
      <c r="G484" s="1"/>
      <c r="H484" s="7"/>
    </row>
    <row r="485" spans="1:8" x14ac:dyDescent="0.2">
      <c r="A485" s="1"/>
      <c r="E485" s="6"/>
      <c r="G485" s="1"/>
      <c r="H485" s="7"/>
    </row>
    <row r="486" spans="1:8" x14ac:dyDescent="0.2">
      <c r="A486" s="1"/>
      <c r="E486" s="6"/>
      <c r="G486" s="1"/>
      <c r="H486" s="7"/>
    </row>
    <row r="487" spans="1:8" x14ac:dyDescent="0.2">
      <c r="A487" s="1"/>
      <c r="E487" s="6"/>
      <c r="G487" s="1"/>
      <c r="H487" s="7"/>
    </row>
    <row r="488" spans="1:8" x14ac:dyDescent="0.2">
      <c r="A488" s="1"/>
      <c r="E488" s="6"/>
      <c r="G488" s="1"/>
      <c r="H488" s="7"/>
    </row>
    <row r="489" spans="1:8" x14ac:dyDescent="0.2">
      <c r="A489" s="1"/>
      <c r="E489" s="6"/>
      <c r="G489" s="1"/>
      <c r="H489" s="7"/>
    </row>
    <row r="490" spans="1:8" x14ac:dyDescent="0.2">
      <c r="A490" s="1"/>
      <c r="E490" s="6"/>
      <c r="G490" s="1"/>
      <c r="H490" s="7"/>
    </row>
    <row r="491" spans="1:8" x14ac:dyDescent="0.2">
      <c r="A491" s="1"/>
      <c r="E491" s="6"/>
      <c r="G491" s="1"/>
      <c r="H491" s="7"/>
    </row>
    <row r="492" spans="1:8" x14ac:dyDescent="0.2">
      <c r="A492" s="1"/>
      <c r="E492" s="6"/>
      <c r="G492" s="1"/>
      <c r="H492" s="7"/>
    </row>
    <row r="493" spans="1:8" x14ac:dyDescent="0.2">
      <c r="A493" s="1"/>
      <c r="E493" s="6"/>
      <c r="G493" s="1"/>
      <c r="H493" s="7"/>
    </row>
    <row r="494" spans="1:8" x14ac:dyDescent="0.2">
      <c r="A494" s="1"/>
      <c r="E494" s="6"/>
      <c r="G494" s="1"/>
      <c r="H494" s="7"/>
    </row>
    <row r="495" spans="1:8" x14ac:dyDescent="0.2">
      <c r="A495" s="1"/>
      <c r="E495" s="6"/>
      <c r="G495" s="1"/>
      <c r="H495" s="7"/>
    </row>
    <row r="496" spans="1:8" x14ac:dyDescent="0.2">
      <c r="A496" s="1"/>
      <c r="E496" s="6"/>
      <c r="G496" s="1"/>
      <c r="H496" s="7"/>
    </row>
    <row r="497" spans="1:8" x14ac:dyDescent="0.2">
      <c r="A497" s="1"/>
      <c r="E497" s="6"/>
      <c r="G497" s="1"/>
      <c r="H497" s="7"/>
    </row>
    <row r="498" spans="1:8" x14ac:dyDescent="0.2">
      <c r="A498" s="1"/>
      <c r="E498" s="6"/>
      <c r="G498" s="1"/>
      <c r="H498" s="7"/>
    </row>
    <row r="499" spans="1:8" x14ac:dyDescent="0.2">
      <c r="A499" s="1"/>
      <c r="E499" s="6"/>
      <c r="G499" s="1"/>
      <c r="H499" s="7"/>
    </row>
    <row r="500" spans="1:8" x14ac:dyDescent="0.2">
      <c r="A500" s="1"/>
      <c r="E500" s="6"/>
      <c r="G500" s="1"/>
      <c r="H500" s="7"/>
    </row>
    <row r="501" spans="1:8" x14ac:dyDescent="0.2">
      <c r="A501" s="1"/>
      <c r="E501" s="6"/>
      <c r="G501" s="1"/>
      <c r="H501" s="7"/>
    </row>
    <row r="502" spans="1:8" x14ac:dyDescent="0.2">
      <c r="A502" s="1"/>
      <c r="E502" s="6"/>
      <c r="G502" s="1"/>
      <c r="H502" s="7"/>
    </row>
    <row r="503" spans="1:8" x14ac:dyDescent="0.2">
      <c r="A503" s="1"/>
      <c r="E503" s="6"/>
      <c r="G503" s="1"/>
      <c r="H503" s="7"/>
    </row>
    <row r="504" spans="1:8" x14ac:dyDescent="0.2">
      <c r="A504" s="1"/>
      <c r="E504" s="6"/>
      <c r="G504" s="1"/>
      <c r="H504" s="7"/>
    </row>
    <row r="505" spans="1:8" x14ac:dyDescent="0.2">
      <c r="A505" s="1"/>
      <c r="E505" s="6"/>
      <c r="G505" s="1"/>
      <c r="H505" s="7"/>
    </row>
    <row r="506" spans="1:8" x14ac:dyDescent="0.2">
      <c r="A506" s="1"/>
      <c r="E506" s="6"/>
      <c r="G506" s="1"/>
      <c r="H506" s="7"/>
    </row>
    <row r="507" spans="1:8" x14ac:dyDescent="0.2">
      <c r="A507" s="1"/>
      <c r="E507" s="6"/>
      <c r="G507" s="1"/>
      <c r="H507" s="7"/>
    </row>
    <row r="508" spans="1:8" x14ac:dyDescent="0.2">
      <c r="A508" s="1"/>
      <c r="E508" s="6"/>
      <c r="G508" s="1"/>
      <c r="H508" s="7"/>
    </row>
    <row r="509" spans="1:8" x14ac:dyDescent="0.2">
      <c r="A509" s="1"/>
      <c r="E509" s="6"/>
      <c r="G509" s="1"/>
      <c r="H509" s="7"/>
    </row>
    <row r="510" spans="1:8" x14ac:dyDescent="0.2">
      <c r="A510" s="1"/>
      <c r="E510" s="6"/>
      <c r="G510" s="1"/>
      <c r="H510" s="7"/>
    </row>
    <row r="511" spans="1:8" x14ac:dyDescent="0.2">
      <c r="A511" s="1"/>
      <c r="E511" s="6"/>
      <c r="G511" s="1"/>
      <c r="H511" s="7"/>
    </row>
    <row r="512" spans="1:8" x14ac:dyDescent="0.2">
      <c r="A512" s="1"/>
      <c r="E512" s="6"/>
      <c r="G512" s="1"/>
      <c r="H512" s="7"/>
    </row>
    <row r="513" spans="1:8" x14ac:dyDescent="0.2">
      <c r="A513" s="1"/>
      <c r="E513" s="6"/>
      <c r="G513" s="1"/>
      <c r="H513" s="7"/>
    </row>
    <row r="514" spans="1:8" x14ac:dyDescent="0.2">
      <c r="A514" s="1"/>
      <c r="E514" s="6"/>
      <c r="G514" s="1"/>
      <c r="H514" s="7"/>
    </row>
    <row r="515" spans="1:8" x14ac:dyDescent="0.2">
      <c r="A515" s="1"/>
      <c r="E515" s="6"/>
      <c r="G515" s="1"/>
      <c r="H515" s="7"/>
    </row>
    <row r="516" spans="1:8" x14ac:dyDescent="0.2">
      <c r="A516" s="1"/>
      <c r="E516" s="6"/>
      <c r="G516" s="1"/>
      <c r="H516" s="7"/>
    </row>
    <row r="517" spans="1:8" x14ac:dyDescent="0.2">
      <c r="A517" s="1"/>
      <c r="E517" s="6"/>
      <c r="G517" s="1"/>
      <c r="H517" s="7"/>
    </row>
    <row r="518" spans="1:8" x14ac:dyDescent="0.2">
      <c r="A518" s="1"/>
      <c r="E518" s="6"/>
      <c r="G518" s="1"/>
      <c r="H518" s="7"/>
    </row>
    <row r="519" spans="1:8" x14ac:dyDescent="0.2">
      <c r="A519" s="1"/>
      <c r="E519" s="6"/>
      <c r="G519" s="1"/>
      <c r="H519" s="7"/>
    </row>
    <row r="520" spans="1:8" x14ac:dyDescent="0.2">
      <c r="A520" s="1"/>
      <c r="E520" s="6"/>
      <c r="G520" s="1"/>
      <c r="H520" s="7"/>
    </row>
    <row r="521" spans="1:8" x14ac:dyDescent="0.2">
      <c r="A521" s="1"/>
      <c r="E521" s="6"/>
      <c r="G521" s="1"/>
      <c r="H521" s="7"/>
    </row>
    <row r="522" spans="1:8" x14ac:dyDescent="0.2">
      <c r="A522" s="1"/>
      <c r="E522" s="6"/>
      <c r="G522" s="1"/>
      <c r="H522" s="7"/>
    </row>
    <row r="523" spans="1:8" x14ac:dyDescent="0.2">
      <c r="A523" s="1"/>
      <c r="E523" s="6"/>
      <c r="G523" s="1"/>
      <c r="H523" s="7"/>
    </row>
    <row r="524" spans="1:8" x14ac:dyDescent="0.2">
      <c r="A524" s="1"/>
      <c r="E524" s="6"/>
      <c r="G524" s="1"/>
      <c r="H524" s="7"/>
    </row>
    <row r="525" spans="1:8" x14ac:dyDescent="0.2">
      <c r="A525" s="1"/>
      <c r="E525" s="6"/>
      <c r="G525" s="1"/>
      <c r="H525" s="7"/>
    </row>
    <row r="526" spans="1:8" x14ac:dyDescent="0.2">
      <c r="A526" s="1"/>
      <c r="E526" s="6"/>
      <c r="G526" s="1"/>
      <c r="H526" s="7"/>
    </row>
    <row r="527" spans="1:8" x14ac:dyDescent="0.2">
      <c r="A527" s="1"/>
      <c r="E527" s="6"/>
      <c r="G527" s="1"/>
      <c r="H527" s="7"/>
    </row>
    <row r="528" spans="1:8" x14ac:dyDescent="0.2">
      <c r="A528" s="1"/>
      <c r="E528" s="6"/>
      <c r="G528" s="1"/>
      <c r="H528" s="7"/>
    </row>
    <row r="529" spans="1:8" x14ac:dyDescent="0.2">
      <c r="A529" s="1"/>
      <c r="E529" s="6"/>
      <c r="G529" s="1"/>
      <c r="H529" s="7"/>
    </row>
    <row r="530" spans="1:8" x14ac:dyDescent="0.2">
      <c r="A530" s="1"/>
      <c r="E530" s="6"/>
      <c r="G530" s="1"/>
      <c r="H530" s="7"/>
    </row>
    <row r="531" spans="1:8" x14ac:dyDescent="0.2">
      <c r="A531" s="1"/>
      <c r="E531" s="6"/>
      <c r="G531" s="1"/>
      <c r="H531" s="7"/>
    </row>
    <row r="532" spans="1:8" x14ac:dyDescent="0.2">
      <c r="A532" s="1"/>
      <c r="E532" s="6"/>
      <c r="G532" s="1"/>
      <c r="H532" s="7"/>
    </row>
    <row r="533" spans="1:8" x14ac:dyDescent="0.2">
      <c r="A533" s="1"/>
      <c r="E533" s="6"/>
      <c r="G533" s="1"/>
      <c r="H533" s="7"/>
    </row>
    <row r="534" spans="1:8" x14ac:dyDescent="0.2">
      <c r="A534" s="1"/>
      <c r="E534" s="6"/>
      <c r="G534" s="1"/>
      <c r="H534" s="7"/>
    </row>
    <row r="535" spans="1:8" x14ac:dyDescent="0.2">
      <c r="A535" s="1"/>
      <c r="E535" s="6"/>
      <c r="G535" s="1"/>
      <c r="H535" s="7"/>
    </row>
    <row r="536" spans="1:8" x14ac:dyDescent="0.2">
      <c r="A536" s="1"/>
      <c r="E536" s="6"/>
      <c r="G536" s="1"/>
      <c r="H536" s="7"/>
    </row>
    <row r="537" spans="1:8" x14ac:dyDescent="0.2">
      <c r="A537" s="1"/>
      <c r="E537" s="6"/>
      <c r="G537" s="1"/>
      <c r="H537" s="7"/>
    </row>
    <row r="538" spans="1:8" x14ac:dyDescent="0.2">
      <c r="A538" s="1"/>
      <c r="E538" s="6"/>
      <c r="G538" s="1"/>
      <c r="H538" s="7"/>
    </row>
    <row r="539" spans="1:8" x14ac:dyDescent="0.2">
      <c r="A539" s="1"/>
      <c r="E539" s="6"/>
      <c r="G539" s="1"/>
      <c r="H539" s="7"/>
    </row>
    <row r="540" spans="1:8" x14ac:dyDescent="0.2">
      <c r="A540" s="1"/>
      <c r="E540" s="6"/>
      <c r="G540" s="1"/>
      <c r="H540" s="7"/>
    </row>
    <row r="541" spans="1:8" x14ac:dyDescent="0.2">
      <c r="A541" s="1"/>
      <c r="E541" s="6"/>
      <c r="G541" s="1"/>
      <c r="H541" s="7"/>
    </row>
    <row r="542" spans="1:8" x14ac:dyDescent="0.2">
      <c r="A542" s="1"/>
      <c r="E542" s="6"/>
      <c r="G542" s="1"/>
      <c r="H542" s="7"/>
    </row>
    <row r="543" spans="1:8" x14ac:dyDescent="0.2">
      <c r="A543" s="1"/>
      <c r="E543" s="6"/>
      <c r="G543" s="1"/>
      <c r="H543" s="7"/>
    </row>
    <row r="544" spans="1:8" x14ac:dyDescent="0.2">
      <c r="A544" s="1"/>
      <c r="E544" s="6"/>
      <c r="G544" s="1"/>
      <c r="H544" s="7"/>
    </row>
    <row r="545" spans="1:8" x14ac:dyDescent="0.2">
      <c r="A545" s="1"/>
      <c r="E545" s="6"/>
      <c r="G545" s="1"/>
      <c r="H545" s="7"/>
    </row>
    <row r="546" spans="1:8" x14ac:dyDescent="0.2">
      <c r="A546" s="1"/>
      <c r="E546" s="6"/>
      <c r="G546" s="1"/>
      <c r="H546" s="7"/>
    </row>
    <row r="547" spans="1:8" x14ac:dyDescent="0.2">
      <c r="A547" s="1"/>
      <c r="E547" s="6"/>
      <c r="G547" s="1"/>
      <c r="H547" s="7"/>
    </row>
    <row r="548" spans="1:8" x14ac:dyDescent="0.2">
      <c r="A548" s="1"/>
      <c r="E548" s="6"/>
      <c r="G548" s="1"/>
      <c r="H548" s="7"/>
    </row>
    <row r="549" spans="1:8" x14ac:dyDescent="0.2">
      <c r="A549" s="1"/>
      <c r="E549" s="6"/>
      <c r="G549" s="1"/>
      <c r="H549" s="7"/>
    </row>
    <row r="550" spans="1:8" x14ac:dyDescent="0.2">
      <c r="A550" s="1"/>
      <c r="E550" s="6"/>
      <c r="G550" s="1"/>
      <c r="H550" s="7"/>
    </row>
    <row r="551" spans="1:8" x14ac:dyDescent="0.2">
      <c r="A551" s="1"/>
      <c r="E551" s="6"/>
      <c r="G551" s="1"/>
      <c r="H551" s="7"/>
    </row>
    <row r="552" spans="1:8" x14ac:dyDescent="0.2">
      <c r="A552" s="1"/>
      <c r="E552" s="6"/>
      <c r="G552" s="1"/>
      <c r="H552" s="7"/>
    </row>
    <row r="553" spans="1:8" x14ac:dyDescent="0.2">
      <c r="A553" s="1"/>
      <c r="E553" s="6"/>
      <c r="G553" s="1"/>
      <c r="H553" s="7"/>
    </row>
    <row r="554" spans="1:8" x14ac:dyDescent="0.2">
      <c r="A554" s="1"/>
      <c r="E554" s="6"/>
      <c r="G554" s="1"/>
      <c r="H554" s="7"/>
    </row>
    <row r="555" spans="1:8" x14ac:dyDescent="0.2">
      <c r="A555" s="1"/>
      <c r="E555" s="6"/>
      <c r="G555" s="1"/>
      <c r="H555" s="7"/>
    </row>
    <row r="556" spans="1:8" x14ac:dyDescent="0.2">
      <c r="A556" s="1"/>
      <c r="E556" s="6"/>
      <c r="G556" s="1"/>
      <c r="H556" s="7"/>
    </row>
    <row r="557" spans="1:8" x14ac:dyDescent="0.2">
      <c r="A557" s="1"/>
      <c r="E557" s="6"/>
      <c r="G557" s="1"/>
      <c r="H557" s="7"/>
    </row>
    <row r="558" spans="1:8" x14ac:dyDescent="0.2">
      <c r="A558" s="1"/>
      <c r="E558" s="6"/>
      <c r="G558" s="1"/>
      <c r="H558" s="7"/>
    </row>
    <row r="559" spans="1:8" x14ac:dyDescent="0.2">
      <c r="A559" s="1"/>
      <c r="E559" s="6"/>
      <c r="G559" s="1"/>
      <c r="H559" s="7"/>
    </row>
    <row r="560" spans="1:8" x14ac:dyDescent="0.2">
      <c r="A560" s="1"/>
      <c r="E560" s="6"/>
      <c r="G560" s="1"/>
      <c r="H560" s="7"/>
    </row>
    <row r="561" spans="1:8" x14ac:dyDescent="0.2">
      <c r="A561" s="1"/>
      <c r="E561" s="6"/>
      <c r="G561" s="1"/>
      <c r="H561" s="7"/>
    </row>
    <row r="562" spans="1:8" x14ac:dyDescent="0.2">
      <c r="A562" s="1"/>
      <c r="E562" s="6"/>
      <c r="G562" s="1"/>
      <c r="H562" s="7"/>
    </row>
    <row r="563" spans="1:8" x14ac:dyDescent="0.2">
      <c r="A563" s="1"/>
      <c r="E563" s="6"/>
      <c r="G563" s="1"/>
      <c r="H563" s="7"/>
    </row>
    <row r="564" spans="1:8" x14ac:dyDescent="0.2">
      <c r="A564" s="1"/>
      <c r="E564" s="6"/>
      <c r="G564" s="1"/>
      <c r="H564" s="7"/>
    </row>
    <row r="565" spans="1:8" x14ac:dyDescent="0.2">
      <c r="A565" s="1"/>
      <c r="E565" s="6"/>
      <c r="G565" s="1"/>
      <c r="H565" s="7"/>
    </row>
    <row r="566" spans="1:8" x14ac:dyDescent="0.2">
      <c r="A566" s="1"/>
      <c r="E566" s="6"/>
      <c r="G566" s="1"/>
      <c r="H566" s="7"/>
    </row>
    <row r="567" spans="1:8" x14ac:dyDescent="0.2">
      <c r="A567" s="1"/>
      <c r="E567" s="6"/>
      <c r="G567" s="1"/>
      <c r="H567" s="7"/>
    </row>
    <row r="568" spans="1:8" x14ac:dyDescent="0.2">
      <c r="A568" s="1"/>
      <c r="E568" s="6"/>
      <c r="G568" s="1"/>
      <c r="H568" s="7"/>
    </row>
    <row r="569" spans="1:8" x14ac:dyDescent="0.2">
      <c r="A569" s="1"/>
      <c r="E569" s="6"/>
      <c r="G569" s="1"/>
      <c r="H569" s="7"/>
    </row>
    <row r="570" spans="1:8" x14ac:dyDescent="0.2">
      <c r="A570" s="1"/>
      <c r="E570" s="6"/>
      <c r="G570" s="1"/>
      <c r="H570" s="7"/>
    </row>
    <row r="571" spans="1:8" x14ac:dyDescent="0.2">
      <c r="A571" s="1"/>
      <c r="E571" s="6"/>
      <c r="G571" s="1"/>
      <c r="H571" s="7"/>
    </row>
    <row r="572" spans="1:8" x14ac:dyDescent="0.2">
      <c r="A572" s="1"/>
      <c r="E572" s="6"/>
      <c r="G572" s="1"/>
      <c r="H572" s="7"/>
    </row>
    <row r="573" spans="1:8" x14ac:dyDescent="0.2">
      <c r="A573" s="1"/>
      <c r="E573" s="6"/>
      <c r="G573" s="1"/>
      <c r="H573" s="7"/>
    </row>
    <row r="574" spans="1:8" x14ac:dyDescent="0.2">
      <c r="A574" s="1"/>
      <c r="E574" s="6"/>
      <c r="G574" s="1"/>
      <c r="H574" s="7"/>
    </row>
    <row r="575" spans="1:8" x14ac:dyDescent="0.2">
      <c r="A575" s="1"/>
      <c r="E575" s="6"/>
      <c r="G575" s="1"/>
      <c r="H575" s="7"/>
    </row>
    <row r="576" spans="1:8" x14ac:dyDescent="0.2">
      <c r="A576" s="1"/>
      <c r="E576" s="6"/>
      <c r="G576" s="1"/>
      <c r="H576" s="7"/>
    </row>
    <row r="577" spans="1:8" x14ac:dyDescent="0.2">
      <c r="A577" s="1"/>
      <c r="E577" s="6"/>
      <c r="G577" s="1"/>
      <c r="H577" s="7"/>
    </row>
    <row r="578" spans="1:8" x14ac:dyDescent="0.2">
      <c r="A578" s="1"/>
      <c r="E578" s="6"/>
      <c r="G578" s="1"/>
      <c r="H578" s="7"/>
    </row>
    <row r="579" spans="1:8" x14ac:dyDescent="0.2">
      <c r="A579" s="1"/>
      <c r="E579" s="6"/>
      <c r="G579" s="1"/>
      <c r="H579" s="7"/>
    </row>
    <row r="580" spans="1:8" x14ac:dyDescent="0.2">
      <c r="A580" s="1"/>
      <c r="E580" s="6"/>
      <c r="G580" s="1"/>
      <c r="H580" s="7"/>
    </row>
    <row r="581" spans="1:8" x14ac:dyDescent="0.2">
      <c r="A581" s="1"/>
      <c r="E581" s="6"/>
      <c r="G581" s="1"/>
      <c r="H581" s="7"/>
    </row>
    <row r="582" spans="1:8" x14ac:dyDescent="0.2">
      <c r="A582" s="1"/>
      <c r="E582" s="6"/>
      <c r="G582" s="1"/>
      <c r="H582" s="7"/>
    </row>
    <row r="583" spans="1:8" x14ac:dyDescent="0.2">
      <c r="A583" s="1"/>
      <c r="E583" s="6"/>
      <c r="G583" s="1"/>
      <c r="H583" s="7"/>
    </row>
    <row r="584" spans="1:8" x14ac:dyDescent="0.2">
      <c r="A584" s="1"/>
      <c r="E584" s="6"/>
      <c r="G584" s="1"/>
      <c r="H584" s="7"/>
    </row>
    <row r="585" spans="1:8" x14ac:dyDescent="0.2">
      <c r="A585" s="1"/>
      <c r="E585" s="6"/>
      <c r="G585" s="1"/>
      <c r="H585" s="7"/>
    </row>
    <row r="586" spans="1:8" x14ac:dyDescent="0.2">
      <c r="A586" s="1"/>
      <c r="E586" s="6"/>
      <c r="G586" s="1"/>
      <c r="H586" s="7"/>
    </row>
    <row r="587" spans="1:8" x14ac:dyDescent="0.2">
      <c r="A587" s="1"/>
      <c r="E587" s="6"/>
      <c r="G587" s="1"/>
      <c r="H587" s="7"/>
    </row>
    <row r="588" spans="1:8" x14ac:dyDescent="0.2">
      <c r="A588" s="1"/>
      <c r="E588" s="6"/>
      <c r="G588" s="1"/>
      <c r="H588" s="7"/>
    </row>
    <row r="589" spans="1:8" x14ac:dyDescent="0.2">
      <c r="A589" s="1"/>
      <c r="E589" s="6"/>
      <c r="G589" s="1"/>
      <c r="H589" s="7"/>
    </row>
    <row r="590" spans="1:8" x14ac:dyDescent="0.2">
      <c r="A590" s="1"/>
      <c r="E590" s="6"/>
      <c r="G590" s="1"/>
      <c r="H590" s="7"/>
    </row>
    <row r="591" spans="1:8" x14ac:dyDescent="0.2">
      <c r="A591" s="1"/>
      <c r="E591" s="6"/>
      <c r="G591" s="1"/>
      <c r="H591" s="7"/>
    </row>
    <row r="592" spans="1:8" x14ac:dyDescent="0.2">
      <c r="A592" s="1"/>
      <c r="E592" s="6"/>
      <c r="G592" s="1"/>
      <c r="H592" s="7"/>
    </row>
    <row r="593" spans="1:8" x14ac:dyDescent="0.2">
      <c r="A593" s="1"/>
      <c r="E593" s="6"/>
      <c r="G593" s="1"/>
      <c r="H593" s="7"/>
    </row>
    <row r="594" spans="1:8" x14ac:dyDescent="0.2">
      <c r="A594" s="1"/>
      <c r="E594" s="6"/>
      <c r="G594" s="1"/>
      <c r="H594" s="7"/>
    </row>
    <row r="595" spans="1:8" x14ac:dyDescent="0.2">
      <c r="A595" s="1"/>
      <c r="E595" s="6"/>
      <c r="G595" s="1"/>
      <c r="H595" s="7"/>
    </row>
    <row r="596" spans="1:8" x14ac:dyDescent="0.2">
      <c r="A596" s="1"/>
      <c r="E596" s="6"/>
      <c r="G596" s="1"/>
      <c r="H596" s="7"/>
    </row>
    <row r="597" spans="1:8" x14ac:dyDescent="0.2">
      <c r="A597" s="1"/>
      <c r="E597" s="6"/>
      <c r="G597" s="1"/>
      <c r="H597" s="7"/>
    </row>
    <row r="598" spans="1:8" x14ac:dyDescent="0.2">
      <c r="A598" s="1"/>
      <c r="E598" s="6"/>
      <c r="G598" s="1"/>
      <c r="H598" s="7"/>
    </row>
    <row r="599" spans="1:8" x14ac:dyDescent="0.2">
      <c r="A599" s="1"/>
      <c r="E599" s="6"/>
      <c r="G599" s="1"/>
      <c r="H599" s="7"/>
    </row>
    <row r="600" spans="1:8" x14ac:dyDescent="0.2">
      <c r="A600" s="1"/>
      <c r="E600" s="6"/>
      <c r="G600" s="1"/>
      <c r="H600" s="7"/>
    </row>
    <row r="601" spans="1:8" x14ac:dyDescent="0.2">
      <c r="A601" s="1"/>
      <c r="E601" s="6"/>
      <c r="G601" s="1"/>
      <c r="H601" s="7"/>
    </row>
    <row r="602" spans="1:8" x14ac:dyDescent="0.2">
      <c r="A602" s="1"/>
      <c r="E602" s="6"/>
      <c r="G602" s="1"/>
      <c r="H602" s="7"/>
    </row>
    <row r="603" spans="1:8" x14ac:dyDescent="0.2">
      <c r="A603" s="1"/>
      <c r="E603" s="6"/>
      <c r="G603" s="1"/>
      <c r="H603" s="7"/>
    </row>
    <row r="604" spans="1:8" x14ac:dyDescent="0.2">
      <c r="A604" s="1"/>
      <c r="E604" s="6"/>
      <c r="G604" s="1"/>
      <c r="H604" s="7"/>
    </row>
    <row r="605" spans="1:8" x14ac:dyDescent="0.2">
      <c r="A605" s="1"/>
      <c r="E605" s="6"/>
      <c r="G605" s="1"/>
      <c r="H605" s="7"/>
    </row>
    <row r="606" spans="1:8" x14ac:dyDescent="0.2">
      <c r="A606" s="1"/>
      <c r="E606" s="6"/>
      <c r="G606" s="1"/>
      <c r="H606" s="7"/>
    </row>
    <row r="607" spans="1:8" x14ac:dyDescent="0.2">
      <c r="A607" s="1"/>
      <c r="E607" s="6"/>
      <c r="G607" s="1"/>
      <c r="H607" s="7"/>
    </row>
    <row r="608" spans="1:8" x14ac:dyDescent="0.2">
      <c r="A608" s="1"/>
      <c r="E608" s="6"/>
      <c r="G608" s="1"/>
      <c r="H608" s="7"/>
    </row>
    <row r="609" spans="1:8" x14ac:dyDescent="0.2">
      <c r="A609" s="1"/>
      <c r="E609" s="6"/>
      <c r="G609" s="1"/>
      <c r="H609" s="7"/>
    </row>
    <row r="610" spans="1:8" x14ac:dyDescent="0.2">
      <c r="A610" s="1"/>
      <c r="E610" s="6"/>
      <c r="G610" s="1"/>
      <c r="H610" s="7"/>
    </row>
    <row r="611" spans="1:8" x14ac:dyDescent="0.2">
      <c r="A611" s="1"/>
      <c r="E611" s="6"/>
      <c r="G611" s="1"/>
      <c r="H611" s="7"/>
    </row>
    <row r="612" spans="1:8" x14ac:dyDescent="0.2">
      <c r="A612" s="1"/>
      <c r="E612" s="6"/>
      <c r="G612" s="1"/>
      <c r="H612" s="7"/>
    </row>
    <row r="613" spans="1:8" x14ac:dyDescent="0.2">
      <c r="A613" s="1"/>
      <c r="E613" s="6"/>
      <c r="G613" s="1"/>
      <c r="H613" s="7"/>
    </row>
    <row r="614" spans="1:8" x14ac:dyDescent="0.2">
      <c r="A614" s="1"/>
      <c r="E614" s="6"/>
      <c r="G614" s="1"/>
      <c r="H614" s="7"/>
    </row>
    <row r="615" spans="1:8" x14ac:dyDescent="0.2">
      <c r="A615" s="1"/>
      <c r="E615" s="6"/>
      <c r="G615" s="1"/>
      <c r="H615" s="7"/>
    </row>
    <row r="616" spans="1:8" x14ac:dyDescent="0.2">
      <c r="A616" s="1"/>
      <c r="E616" s="6"/>
      <c r="G616" s="1"/>
      <c r="H616" s="7"/>
    </row>
    <row r="617" spans="1:8" x14ac:dyDescent="0.2">
      <c r="A617" s="1"/>
      <c r="E617" s="6"/>
      <c r="G617" s="1"/>
      <c r="H617" s="7"/>
    </row>
    <row r="618" spans="1:8" x14ac:dyDescent="0.2">
      <c r="A618" s="1"/>
      <c r="E618" s="6"/>
      <c r="G618" s="1"/>
      <c r="H618" s="7"/>
    </row>
    <row r="619" spans="1:8" x14ac:dyDescent="0.2">
      <c r="A619" s="1"/>
      <c r="E619" s="6"/>
      <c r="G619" s="1"/>
      <c r="H619" s="7"/>
    </row>
    <row r="620" spans="1:8" x14ac:dyDescent="0.2">
      <c r="A620" s="1"/>
      <c r="E620" s="6"/>
      <c r="G620" s="1"/>
      <c r="H620" s="7"/>
    </row>
    <row r="621" spans="1:8" x14ac:dyDescent="0.2">
      <c r="A621" s="1"/>
      <c r="E621" s="6"/>
      <c r="G621" s="1"/>
      <c r="H621" s="7"/>
    </row>
    <row r="622" spans="1:8" x14ac:dyDescent="0.2">
      <c r="A622" s="1"/>
      <c r="E622" s="6"/>
      <c r="G622" s="1"/>
      <c r="H622" s="7"/>
    </row>
    <row r="623" spans="1:8" x14ac:dyDescent="0.2">
      <c r="A623" s="1"/>
      <c r="E623" s="6"/>
      <c r="G623" s="1"/>
      <c r="H623" s="7"/>
    </row>
    <row r="624" spans="1:8" x14ac:dyDescent="0.2">
      <c r="A624" s="1"/>
      <c r="E624" s="6"/>
      <c r="G624" s="1"/>
      <c r="H624" s="7"/>
    </row>
    <row r="625" spans="1:8" x14ac:dyDescent="0.2">
      <c r="A625" s="1"/>
      <c r="E625" s="6"/>
      <c r="G625" s="1"/>
      <c r="H625" s="7"/>
    </row>
    <row r="626" spans="1:8" x14ac:dyDescent="0.2">
      <c r="A626" s="1"/>
      <c r="E626" s="6"/>
      <c r="G626" s="1"/>
      <c r="H626" s="7"/>
    </row>
    <row r="627" spans="1:8" x14ac:dyDescent="0.2">
      <c r="A627" s="1"/>
      <c r="E627" s="6"/>
      <c r="G627" s="1"/>
      <c r="H627" s="7"/>
    </row>
    <row r="628" spans="1:8" x14ac:dyDescent="0.2">
      <c r="A628" s="1"/>
      <c r="E628" s="6"/>
      <c r="G628" s="1"/>
      <c r="H628" s="7"/>
    </row>
    <row r="629" spans="1:8" x14ac:dyDescent="0.2">
      <c r="A629" s="1"/>
      <c r="E629" s="6"/>
      <c r="G629" s="1"/>
      <c r="H629" s="7"/>
    </row>
    <row r="630" spans="1:8" x14ac:dyDescent="0.2">
      <c r="A630" s="1"/>
      <c r="E630" s="6"/>
      <c r="G630" s="1"/>
      <c r="H630" s="7"/>
    </row>
    <row r="631" spans="1:8" x14ac:dyDescent="0.2">
      <c r="A631" s="1"/>
      <c r="E631" s="6"/>
      <c r="G631" s="1"/>
      <c r="H631" s="7"/>
    </row>
    <row r="632" spans="1:8" x14ac:dyDescent="0.2">
      <c r="A632" s="1"/>
      <c r="E632" s="6"/>
      <c r="G632" s="1"/>
      <c r="H632" s="7"/>
    </row>
    <row r="633" spans="1:8" x14ac:dyDescent="0.2">
      <c r="A633" s="1"/>
      <c r="E633" s="6"/>
      <c r="G633" s="1"/>
      <c r="H633" s="7"/>
    </row>
    <row r="634" spans="1:8" x14ac:dyDescent="0.2">
      <c r="A634" s="1"/>
      <c r="E634" s="6"/>
      <c r="G634" s="1"/>
      <c r="H634" s="7"/>
    </row>
    <row r="635" spans="1:8" x14ac:dyDescent="0.2">
      <c r="A635" s="1"/>
      <c r="E635" s="6"/>
      <c r="G635" s="1"/>
      <c r="H635" s="7"/>
    </row>
    <row r="636" spans="1:8" x14ac:dyDescent="0.2">
      <c r="A636" s="1"/>
      <c r="E636" s="6"/>
      <c r="G636" s="1"/>
      <c r="H636" s="7"/>
    </row>
    <row r="637" spans="1:8" x14ac:dyDescent="0.2">
      <c r="A637" s="1"/>
      <c r="E637" s="6"/>
      <c r="G637" s="1"/>
      <c r="H637" s="7"/>
    </row>
    <row r="638" spans="1:8" x14ac:dyDescent="0.2">
      <c r="A638" s="1"/>
      <c r="E638" s="6"/>
      <c r="G638" s="1"/>
      <c r="H638" s="7"/>
    </row>
    <row r="639" spans="1:8" x14ac:dyDescent="0.2">
      <c r="A639" s="1"/>
      <c r="E639" s="6"/>
      <c r="G639" s="1"/>
      <c r="H639" s="7"/>
    </row>
    <row r="640" spans="1:8" x14ac:dyDescent="0.2">
      <c r="A640" s="1"/>
      <c r="E640" s="6"/>
      <c r="G640" s="1"/>
      <c r="H640" s="7"/>
    </row>
    <row r="641" spans="1:8" x14ac:dyDescent="0.2">
      <c r="A641" s="1"/>
      <c r="E641" s="6"/>
      <c r="G641" s="1"/>
      <c r="H641" s="7"/>
    </row>
    <row r="642" spans="1:8" x14ac:dyDescent="0.2">
      <c r="A642" s="1"/>
      <c r="E642" s="6"/>
      <c r="G642" s="1"/>
      <c r="H642" s="7"/>
    </row>
    <row r="643" spans="1:8" x14ac:dyDescent="0.2">
      <c r="A643" s="1"/>
      <c r="E643" s="6"/>
      <c r="G643" s="1"/>
      <c r="H643" s="7"/>
    </row>
    <row r="644" spans="1:8" x14ac:dyDescent="0.2">
      <c r="A644" s="1"/>
      <c r="E644" s="6"/>
      <c r="G644" s="1"/>
      <c r="H644" s="7"/>
    </row>
    <row r="645" spans="1:8" x14ac:dyDescent="0.2">
      <c r="A645" s="1"/>
      <c r="E645" s="6"/>
      <c r="G645" s="1"/>
      <c r="H645" s="7"/>
    </row>
    <row r="646" spans="1:8" x14ac:dyDescent="0.2">
      <c r="A646" s="1"/>
      <c r="E646" s="6"/>
      <c r="G646" s="1"/>
      <c r="H646" s="7"/>
    </row>
    <row r="647" spans="1:8" x14ac:dyDescent="0.2">
      <c r="A647" s="1"/>
      <c r="E647" s="6"/>
      <c r="G647" s="1"/>
      <c r="H647" s="7"/>
    </row>
    <row r="648" spans="1:8" x14ac:dyDescent="0.2">
      <c r="A648" s="1"/>
      <c r="E648" s="6"/>
      <c r="G648" s="1"/>
      <c r="H648" s="7"/>
    </row>
    <row r="649" spans="1:8" x14ac:dyDescent="0.2">
      <c r="A649" s="1"/>
      <c r="E649" s="6"/>
      <c r="G649" s="1"/>
      <c r="H649" s="7"/>
    </row>
    <row r="650" spans="1:8" x14ac:dyDescent="0.2">
      <c r="A650" s="1"/>
      <c r="E650" s="6"/>
      <c r="G650" s="1"/>
      <c r="H650" s="7"/>
    </row>
    <row r="651" spans="1:8" x14ac:dyDescent="0.2">
      <c r="A651" s="1"/>
      <c r="E651" s="6"/>
      <c r="G651" s="1"/>
      <c r="H651" s="7"/>
    </row>
    <row r="652" spans="1:8" x14ac:dyDescent="0.2">
      <c r="A652" s="1"/>
      <c r="E652" s="6"/>
      <c r="G652" s="1"/>
      <c r="H652" s="7"/>
    </row>
    <row r="653" spans="1:8" x14ac:dyDescent="0.2">
      <c r="A653" s="1"/>
      <c r="E653" s="6"/>
      <c r="G653" s="1"/>
      <c r="H653" s="7"/>
    </row>
    <row r="654" spans="1:8" x14ac:dyDescent="0.2">
      <c r="A654" s="1"/>
      <c r="E654" s="6"/>
      <c r="G654" s="1"/>
      <c r="H654" s="7"/>
    </row>
    <row r="655" spans="1:8" x14ac:dyDescent="0.2">
      <c r="A655" s="1"/>
      <c r="E655" s="6"/>
      <c r="G655" s="1"/>
      <c r="H655" s="7"/>
    </row>
    <row r="656" spans="1:8" x14ac:dyDescent="0.2">
      <c r="A656" s="1"/>
      <c r="E656" s="6"/>
      <c r="G656" s="1"/>
      <c r="H656" s="7"/>
    </row>
    <row r="657" spans="1:8" x14ac:dyDescent="0.2">
      <c r="A657" s="1"/>
      <c r="E657" s="6"/>
      <c r="G657" s="1"/>
      <c r="H657" s="7"/>
    </row>
    <row r="658" spans="1:8" x14ac:dyDescent="0.2">
      <c r="A658" s="1"/>
      <c r="E658" s="6"/>
      <c r="G658" s="1"/>
      <c r="H658" s="7"/>
    </row>
    <row r="659" spans="1:8" x14ac:dyDescent="0.2">
      <c r="A659" s="1"/>
      <c r="E659" s="6"/>
      <c r="G659" s="1"/>
      <c r="H659" s="7"/>
    </row>
    <row r="660" spans="1:8" x14ac:dyDescent="0.2">
      <c r="A660" s="1"/>
      <c r="E660" s="6"/>
      <c r="G660" s="1"/>
      <c r="H660" s="7"/>
    </row>
    <row r="661" spans="1:8" x14ac:dyDescent="0.2">
      <c r="A661" s="1"/>
      <c r="E661" s="6"/>
      <c r="G661" s="1"/>
      <c r="H661" s="7"/>
    </row>
    <row r="662" spans="1:8" x14ac:dyDescent="0.2">
      <c r="A662" s="1"/>
      <c r="E662" s="6"/>
      <c r="G662" s="1"/>
      <c r="H662" s="7"/>
    </row>
    <row r="663" spans="1:8" x14ac:dyDescent="0.2">
      <c r="A663" s="1"/>
      <c r="E663" s="6"/>
      <c r="G663" s="1"/>
      <c r="H663" s="7"/>
    </row>
    <row r="664" spans="1:8" x14ac:dyDescent="0.2">
      <c r="A664" s="1"/>
      <c r="E664" s="6"/>
      <c r="G664" s="1"/>
      <c r="H664" s="7"/>
    </row>
    <row r="665" spans="1:8" x14ac:dyDescent="0.2">
      <c r="A665" s="1"/>
      <c r="E665" s="6"/>
      <c r="G665" s="1"/>
      <c r="H665" s="7"/>
    </row>
    <row r="666" spans="1:8" x14ac:dyDescent="0.2">
      <c r="A666" s="1"/>
      <c r="E666" s="6"/>
      <c r="G666" s="1"/>
      <c r="H666" s="7"/>
    </row>
    <row r="667" spans="1:8" x14ac:dyDescent="0.2">
      <c r="A667" s="1"/>
      <c r="E667" s="6"/>
      <c r="G667" s="1"/>
      <c r="H667" s="7"/>
    </row>
    <row r="668" spans="1:8" x14ac:dyDescent="0.2">
      <c r="A668" s="1"/>
      <c r="E668" s="6"/>
      <c r="G668" s="1"/>
      <c r="H668" s="7"/>
    </row>
    <row r="669" spans="1:8" x14ac:dyDescent="0.2">
      <c r="A669" s="1"/>
      <c r="E669" s="6"/>
      <c r="G669" s="1"/>
      <c r="H669" s="7"/>
    </row>
    <row r="670" spans="1:8" x14ac:dyDescent="0.2">
      <c r="A670" s="1"/>
      <c r="E670" s="6"/>
      <c r="G670" s="1"/>
      <c r="H670" s="7"/>
    </row>
    <row r="671" spans="1:8" x14ac:dyDescent="0.2">
      <c r="A671" s="1"/>
      <c r="E671" s="6"/>
      <c r="G671" s="1"/>
      <c r="H671" s="7"/>
    </row>
    <row r="672" spans="1:8" x14ac:dyDescent="0.2">
      <c r="A672" s="1"/>
      <c r="E672" s="6"/>
      <c r="G672" s="1"/>
      <c r="H672" s="7"/>
    </row>
    <row r="673" spans="1:8" x14ac:dyDescent="0.2">
      <c r="A673" s="1"/>
      <c r="E673" s="6"/>
      <c r="G673" s="1"/>
      <c r="H673" s="7"/>
    </row>
    <row r="674" spans="1:8" x14ac:dyDescent="0.2">
      <c r="A674" s="1"/>
      <c r="E674" s="6"/>
      <c r="G674" s="1"/>
      <c r="H674" s="7"/>
    </row>
    <row r="675" spans="1:8" x14ac:dyDescent="0.2">
      <c r="A675" s="1"/>
      <c r="E675" s="6"/>
      <c r="G675" s="1"/>
      <c r="H675" s="7"/>
    </row>
    <row r="676" spans="1:8" x14ac:dyDescent="0.2">
      <c r="A676" s="1"/>
      <c r="E676" s="6"/>
      <c r="G676" s="1"/>
      <c r="H676" s="7"/>
    </row>
    <row r="677" spans="1:8" x14ac:dyDescent="0.2">
      <c r="A677" s="1"/>
      <c r="E677" s="6"/>
      <c r="G677" s="1"/>
      <c r="H677" s="7"/>
    </row>
    <row r="678" spans="1:8" x14ac:dyDescent="0.2">
      <c r="A678" s="1"/>
      <c r="E678" s="6"/>
      <c r="G678" s="1"/>
      <c r="H678" s="7"/>
    </row>
    <row r="679" spans="1:8" x14ac:dyDescent="0.2">
      <c r="A679" s="1"/>
      <c r="E679" s="6"/>
      <c r="G679" s="1"/>
      <c r="H679" s="7"/>
    </row>
    <row r="680" spans="1:8" x14ac:dyDescent="0.2">
      <c r="A680" s="1"/>
      <c r="E680" s="6"/>
      <c r="G680" s="1"/>
      <c r="H680" s="7"/>
    </row>
    <row r="681" spans="1:8" x14ac:dyDescent="0.2">
      <c r="A681" s="1"/>
      <c r="E681" s="6"/>
      <c r="G681" s="1"/>
      <c r="H681" s="7"/>
    </row>
    <row r="682" spans="1:8" x14ac:dyDescent="0.2">
      <c r="A682" s="1"/>
      <c r="E682" s="6"/>
      <c r="G682" s="1"/>
      <c r="H682" s="7"/>
    </row>
    <row r="683" spans="1:8" x14ac:dyDescent="0.2">
      <c r="A683" s="1"/>
      <c r="E683" s="6"/>
      <c r="G683" s="1"/>
      <c r="H683" s="7"/>
    </row>
    <row r="684" spans="1:8" x14ac:dyDescent="0.2">
      <c r="A684" s="1"/>
      <c r="E684" s="6"/>
      <c r="G684" s="1"/>
      <c r="H684" s="7"/>
    </row>
    <row r="685" spans="1:8" x14ac:dyDescent="0.2">
      <c r="A685" s="1"/>
      <c r="E685" s="6"/>
      <c r="G685" s="1"/>
      <c r="H685" s="7"/>
    </row>
    <row r="686" spans="1:8" x14ac:dyDescent="0.2">
      <c r="A686" s="1"/>
      <c r="E686" s="6"/>
      <c r="G686" s="1"/>
      <c r="H686" s="7"/>
    </row>
    <row r="687" spans="1:8" x14ac:dyDescent="0.2">
      <c r="A687" s="1"/>
      <c r="E687" s="6"/>
      <c r="G687" s="1"/>
      <c r="H687" s="7"/>
    </row>
    <row r="688" spans="1:8" x14ac:dyDescent="0.2">
      <c r="A688" s="1"/>
      <c r="E688" s="6"/>
      <c r="G688" s="1"/>
      <c r="H688" s="7"/>
    </row>
    <row r="689" spans="1:8" x14ac:dyDescent="0.2">
      <c r="A689" s="1"/>
      <c r="E689" s="6"/>
      <c r="G689" s="1"/>
      <c r="H689" s="7"/>
    </row>
    <row r="690" spans="1:8" x14ac:dyDescent="0.2">
      <c r="A690" s="1"/>
      <c r="E690" s="6"/>
      <c r="G690" s="1"/>
      <c r="H690" s="7"/>
    </row>
    <row r="691" spans="1:8" x14ac:dyDescent="0.2">
      <c r="A691" s="1"/>
      <c r="E691" s="6"/>
      <c r="G691" s="1"/>
      <c r="H691" s="7"/>
    </row>
    <row r="692" spans="1:8" x14ac:dyDescent="0.2">
      <c r="A692" s="1"/>
      <c r="E692" s="6"/>
      <c r="G692" s="1"/>
      <c r="H692" s="7"/>
    </row>
    <row r="693" spans="1:8" x14ac:dyDescent="0.2">
      <c r="A693" s="1"/>
      <c r="E693" s="6"/>
      <c r="G693" s="1"/>
      <c r="H693" s="7"/>
    </row>
    <row r="694" spans="1:8" x14ac:dyDescent="0.2">
      <c r="A694" s="1"/>
      <c r="E694" s="6"/>
      <c r="G694" s="1"/>
      <c r="H694" s="7"/>
    </row>
    <row r="695" spans="1:8" x14ac:dyDescent="0.2">
      <c r="A695" s="1"/>
      <c r="E695" s="6"/>
      <c r="G695" s="1"/>
      <c r="H695" s="7"/>
    </row>
    <row r="696" spans="1:8" x14ac:dyDescent="0.2">
      <c r="A696" s="1"/>
      <c r="E696" s="6"/>
      <c r="G696" s="1"/>
      <c r="H696" s="7"/>
    </row>
    <row r="697" spans="1:8" x14ac:dyDescent="0.2">
      <c r="A697" s="1"/>
      <c r="E697" s="6"/>
      <c r="G697" s="1"/>
      <c r="H697" s="7"/>
    </row>
    <row r="698" spans="1:8" x14ac:dyDescent="0.2">
      <c r="A698" s="1"/>
      <c r="E698" s="6"/>
      <c r="G698" s="1"/>
      <c r="H698" s="7"/>
    </row>
    <row r="699" spans="1:8" x14ac:dyDescent="0.2">
      <c r="A699" s="1"/>
      <c r="E699" s="6"/>
      <c r="G699" s="1"/>
      <c r="H699" s="7"/>
    </row>
    <row r="700" spans="1:8" x14ac:dyDescent="0.2">
      <c r="A700" s="1"/>
      <c r="E700" s="6"/>
      <c r="G700" s="1"/>
      <c r="H700" s="7"/>
    </row>
    <row r="701" spans="1:8" x14ac:dyDescent="0.2">
      <c r="A701" s="1"/>
      <c r="E701" s="6"/>
      <c r="G701" s="1"/>
      <c r="H701" s="7"/>
    </row>
    <row r="702" spans="1:8" x14ac:dyDescent="0.2">
      <c r="A702" s="1"/>
      <c r="E702" s="6"/>
      <c r="G702" s="1"/>
      <c r="H702" s="7"/>
    </row>
    <row r="703" spans="1:8" x14ac:dyDescent="0.2">
      <c r="A703" s="1"/>
      <c r="E703" s="6"/>
      <c r="G703" s="1"/>
      <c r="H703" s="7"/>
    </row>
    <row r="704" spans="1:8" x14ac:dyDescent="0.2">
      <c r="A704" s="1"/>
      <c r="E704" s="6"/>
      <c r="G704" s="1"/>
      <c r="H704" s="7"/>
    </row>
    <row r="705" spans="1:8" x14ac:dyDescent="0.2">
      <c r="A705" s="1"/>
      <c r="E705" s="6"/>
      <c r="G705" s="1"/>
      <c r="H705" s="7"/>
    </row>
    <row r="706" spans="1:8" x14ac:dyDescent="0.2">
      <c r="A706" s="1"/>
      <c r="E706" s="6"/>
      <c r="G706" s="1"/>
      <c r="H706" s="7"/>
    </row>
    <row r="707" spans="1:8" x14ac:dyDescent="0.2">
      <c r="A707" s="1"/>
      <c r="E707" s="6"/>
      <c r="G707" s="1"/>
      <c r="H707" s="7"/>
    </row>
    <row r="708" spans="1:8" x14ac:dyDescent="0.2">
      <c r="A708" s="1"/>
      <c r="E708" s="6"/>
      <c r="G708" s="1"/>
      <c r="H708" s="7"/>
    </row>
    <row r="709" spans="1:8" x14ac:dyDescent="0.2">
      <c r="A709" s="1"/>
      <c r="E709" s="6"/>
      <c r="G709" s="1"/>
      <c r="H709" s="7"/>
    </row>
    <row r="710" spans="1:8" x14ac:dyDescent="0.2">
      <c r="A710" s="1"/>
      <c r="E710" s="6"/>
      <c r="G710" s="1"/>
      <c r="H710" s="7"/>
    </row>
    <row r="711" spans="1:8" x14ac:dyDescent="0.2">
      <c r="A711" s="1"/>
      <c r="E711" s="6"/>
      <c r="G711" s="1"/>
      <c r="H711" s="7"/>
    </row>
    <row r="712" spans="1:8" x14ac:dyDescent="0.2">
      <c r="A712" s="1"/>
      <c r="E712" s="6"/>
      <c r="G712" s="1"/>
      <c r="H712" s="7"/>
    </row>
    <row r="713" spans="1:8" x14ac:dyDescent="0.2">
      <c r="A713" s="1"/>
      <c r="E713" s="6"/>
      <c r="G713" s="1"/>
      <c r="H713" s="7"/>
    </row>
    <row r="714" spans="1:8" x14ac:dyDescent="0.2">
      <c r="A714" s="1"/>
      <c r="E714" s="6"/>
      <c r="G714" s="1"/>
      <c r="H714" s="7"/>
    </row>
    <row r="715" spans="1:8" x14ac:dyDescent="0.2">
      <c r="A715" s="1"/>
      <c r="E715" s="6"/>
      <c r="G715" s="1"/>
      <c r="H715" s="7"/>
    </row>
    <row r="716" spans="1:8" x14ac:dyDescent="0.2">
      <c r="A716" s="1"/>
      <c r="E716" s="6"/>
      <c r="G716" s="1"/>
      <c r="H716" s="7"/>
    </row>
    <row r="717" spans="1:8" x14ac:dyDescent="0.2">
      <c r="A717" s="1"/>
      <c r="E717" s="6"/>
      <c r="G717" s="1"/>
      <c r="H717" s="7"/>
    </row>
    <row r="718" spans="1:8" x14ac:dyDescent="0.2">
      <c r="A718" s="1"/>
      <c r="E718" s="6"/>
      <c r="G718" s="1"/>
      <c r="H718" s="7"/>
    </row>
    <row r="719" spans="1:8" x14ac:dyDescent="0.2">
      <c r="A719" s="1"/>
      <c r="E719" s="6"/>
      <c r="G719" s="1"/>
      <c r="H719" s="7"/>
    </row>
    <row r="720" spans="1:8" x14ac:dyDescent="0.2">
      <c r="A720" s="1"/>
      <c r="E720" s="6"/>
      <c r="G720" s="1"/>
      <c r="H720" s="7"/>
    </row>
    <row r="721" spans="1:8" x14ac:dyDescent="0.2">
      <c r="A721" s="1"/>
      <c r="E721" s="6"/>
      <c r="G721" s="1"/>
      <c r="H721" s="7"/>
    </row>
    <row r="722" spans="1:8" x14ac:dyDescent="0.2">
      <c r="A722" s="1"/>
      <c r="E722" s="6"/>
      <c r="G722" s="1"/>
      <c r="H722" s="7"/>
    </row>
    <row r="723" spans="1:8" x14ac:dyDescent="0.2">
      <c r="A723" s="1"/>
      <c r="E723" s="6"/>
      <c r="G723" s="1"/>
      <c r="H723" s="7"/>
    </row>
    <row r="724" spans="1:8" x14ac:dyDescent="0.2">
      <c r="A724" s="1"/>
      <c r="E724" s="6"/>
      <c r="G724" s="1"/>
      <c r="H724" s="7"/>
    </row>
    <row r="725" spans="1:8" x14ac:dyDescent="0.2">
      <c r="A725" s="1"/>
      <c r="E725" s="6"/>
      <c r="G725" s="1"/>
      <c r="H725" s="7"/>
    </row>
    <row r="726" spans="1:8" x14ac:dyDescent="0.2">
      <c r="A726" s="1"/>
      <c r="E726" s="6"/>
      <c r="G726" s="1"/>
      <c r="H726" s="7"/>
    </row>
    <row r="727" spans="1:8" x14ac:dyDescent="0.2">
      <c r="A727" s="1"/>
      <c r="E727" s="6"/>
      <c r="G727" s="1"/>
      <c r="H727" s="7"/>
    </row>
    <row r="728" spans="1:8" x14ac:dyDescent="0.2">
      <c r="A728" s="1"/>
      <c r="E728" s="6"/>
      <c r="G728" s="1"/>
      <c r="H728" s="7"/>
    </row>
    <row r="729" spans="1:8" x14ac:dyDescent="0.2">
      <c r="A729" s="1"/>
      <c r="E729" s="6"/>
      <c r="G729" s="1"/>
      <c r="H729" s="7"/>
    </row>
    <row r="730" spans="1:8" x14ac:dyDescent="0.2">
      <c r="A730" s="1"/>
      <c r="E730" s="6"/>
      <c r="G730" s="1"/>
      <c r="H730" s="7"/>
    </row>
    <row r="731" spans="1:8" x14ac:dyDescent="0.2">
      <c r="A731" s="1"/>
      <c r="E731" s="6"/>
      <c r="G731" s="1"/>
      <c r="H731" s="7"/>
    </row>
    <row r="732" spans="1:8" x14ac:dyDescent="0.2">
      <c r="A732" s="1"/>
      <c r="E732" s="6"/>
      <c r="G732" s="1"/>
      <c r="H732" s="7"/>
    </row>
    <row r="733" spans="1:8" x14ac:dyDescent="0.2">
      <c r="A733" s="1"/>
      <c r="E733" s="6"/>
      <c r="G733" s="1"/>
      <c r="H733" s="7"/>
    </row>
    <row r="734" spans="1:8" x14ac:dyDescent="0.2">
      <c r="A734" s="1"/>
      <c r="E734" s="6"/>
      <c r="G734" s="1"/>
      <c r="H734" s="7"/>
    </row>
    <row r="735" spans="1:8" x14ac:dyDescent="0.2">
      <c r="A735" s="1"/>
      <c r="E735" s="6"/>
      <c r="G735" s="1"/>
      <c r="H735" s="7"/>
    </row>
    <row r="736" spans="1:8" x14ac:dyDescent="0.2">
      <c r="A736" s="1"/>
      <c r="E736" s="6"/>
      <c r="G736" s="1"/>
      <c r="H736" s="7"/>
    </row>
    <row r="737" spans="1:8" x14ac:dyDescent="0.2">
      <c r="A737" s="1"/>
      <c r="E737" s="6"/>
      <c r="G737" s="1"/>
      <c r="H737" s="7"/>
    </row>
    <row r="738" spans="1:8" x14ac:dyDescent="0.2">
      <c r="A738" s="1"/>
      <c r="E738" s="6"/>
      <c r="G738" s="1"/>
      <c r="H738" s="7"/>
    </row>
    <row r="739" spans="1:8" x14ac:dyDescent="0.2">
      <c r="A739" s="1"/>
      <c r="E739" s="6"/>
      <c r="G739" s="1"/>
      <c r="H739" s="7"/>
    </row>
    <row r="740" spans="1:8" x14ac:dyDescent="0.2">
      <c r="A740" s="1"/>
      <c r="E740" s="6"/>
      <c r="G740" s="1"/>
      <c r="H740" s="7"/>
    </row>
    <row r="741" spans="1:8" x14ac:dyDescent="0.2">
      <c r="A741" s="1"/>
      <c r="E741" s="6"/>
      <c r="G741" s="1"/>
      <c r="H741" s="7"/>
    </row>
    <row r="742" spans="1:8" x14ac:dyDescent="0.2">
      <c r="A742" s="1"/>
      <c r="E742" s="6"/>
      <c r="G742" s="1"/>
      <c r="H742" s="7"/>
    </row>
    <row r="743" spans="1:8" x14ac:dyDescent="0.2">
      <c r="A743" s="1"/>
      <c r="E743" s="6"/>
      <c r="G743" s="1"/>
      <c r="H743" s="7"/>
    </row>
    <row r="744" spans="1:8" x14ac:dyDescent="0.2">
      <c r="A744" s="1"/>
      <c r="E744" s="6"/>
      <c r="G744" s="1"/>
      <c r="H744" s="7"/>
    </row>
    <row r="745" spans="1:8" x14ac:dyDescent="0.2">
      <c r="A745" s="1"/>
      <c r="E745" s="6"/>
      <c r="G745" s="1"/>
      <c r="H745" s="7"/>
    </row>
    <row r="746" spans="1:8" x14ac:dyDescent="0.2">
      <c r="A746" s="1"/>
      <c r="E746" s="6"/>
      <c r="G746" s="1"/>
      <c r="H746" s="7"/>
    </row>
    <row r="747" spans="1:8" x14ac:dyDescent="0.2">
      <c r="A747" s="1"/>
      <c r="E747" s="6"/>
      <c r="G747" s="1"/>
      <c r="H747" s="7"/>
    </row>
    <row r="748" spans="1:8" x14ac:dyDescent="0.2">
      <c r="A748" s="1"/>
      <c r="E748" s="6"/>
      <c r="G748" s="1"/>
      <c r="H748" s="7"/>
    </row>
    <row r="749" spans="1:8" x14ac:dyDescent="0.2">
      <c r="A749" s="1"/>
      <c r="E749" s="6"/>
      <c r="G749" s="1"/>
      <c r="H749" s="7"/>
    </row>
    <row r="750" spans="1:8" x14ac:dyDescent="0.2">
      <c r="A750" s="1"/>
      <c r="E750" s="6"/>
      <c r="G750" s="1"/>
      <c r="H750" s="7"/>
    </row>
    <row r="751" spans="1:8" x14ac:dyDescent="0.2">
      <c r="A751" s="1"/>
      <c r="E751" s="6"/>
      <c r="G751" s="1"/>
      <c r="H751" s="7"/>
    </row>
    <row r="752" spans="1:8" x14ac:dyDescent="0.2">
      <c r="A752" s="1"/>
      <c r="E752" s="6"/>
      <c r="G752" s="1"/>
      <c r="H752" s="7"/>
    </row>
    <row r="753" spans="1:8" x14ac:dyDescent="0.2">
      <c r="A753" s="1"/>
      <c r="E753" s="6"/>
      <c r="G753" s="1"/>
      <c r="H753" s="7"/>
    </row>
    <row r="754" spans="1:8" x14ac:dyDescent="0.2">
      <c r="A754" s="1"/>
      <c r="E754" s="6"/>
      <c r="G754" s="1"/>
      <c r="H754" s="7"/>
    </row>
    <row r="755" spans="1:8" x14ac:dyDescent="0.2">
      <c r="A755" s="1"/>
      <c r="E755" s="6"/>
      <c r="G755" s="1"/>
      <c r="H755" s="7"/>
    </row>
    <row r="756" spans="1:8" x14ac:dyDescent="0.2">
      <c r="A756" s="1"/>
      <c r="E756" s="6"/>
      <c r="G756" s="1"/>
      <c r="H756" s="7"/>
    </row>
    <row r="757" spans="1:8" x14ac:dyDescent="0.2">
      <c r="A757" s="1"/>
      <c r="E757" s="6"/>
      <c r="G757" s="1"/>
      <c r="H757" s="7"/>
    </row>
    <row r="758" spans="1:8" x14ac:dyDescent="0.2">
      <c r="A758" s="1"/>
      <c r="E758" s="6"/>
      <c r="G758" s="1"/>
      <c r="H758" s="7"/>
    </row>
    <row r="759" spans="1:8" x14ac:dyDescent="0.2">
      <c r="A759" s="1"/>
      <c r="E759" s="6"/>
      <c r="G759" s="1"/>
      <c r="H759" s="7"/>
    </row>
    <row r="760" spans="1:8" x14ac:dyDescent="0.2">
      <c r="A760" s="1"/>
      <c r="E760" s="6"/>
      <c r="G760" s="1"/>
      <c r="H760" s="7"/>
    </row>
    <row r="761" spans="1:8" x14ac:dyDescent="0.2">
      <c r="A761" s="1"/>
      <c r="E761" s="6"/>
      <c r="G761" s="1"/>
      <c r="H761" s="7"/>
    </row>
    <row r="762" spans="1:8" x14ac:dyDescent="0.2">
      <c r="A762" s="1"/>
      <c r="E762" s="6"/>
      <c r="G762" s="1"/>
      <c r="H762" s="7"/>
    </row>
    <row r="763" spans="1:8" x14ac:dyDescent="0.2">
      <c r="A763" s="1"/>
      <c r="E763" s="6"/>
      <c r="G763" s="1"/>
      <c r="H763" s="7"/>
    </row>
    <row r="764" spans="1:8" x14ac:dyDescent="0.2">
      <c r="A764" s="1"/>
      <c r="E764" s="6"/>
      <c r="G764" s="1"/>
      <c r="H764" s="7"/>
    </row>
    <row r="765" spans="1:8" x14ac:dyDescent="0.2">
      <c r="A765" s="1"/>
      <c r="E765" s="6"/>
      <c r="G765" s="1"/>
      <c r="H765" s="7"/>
    </row>
    <row r="766" spans="1:8" x14ac:dyDescent="0.2">
      <c r="A766" s="1"/>
      <c r="E766" s="6"/>
      <c r="G766" s="1"/>
      <c r="H766" s="7"/>
    </row>
    <row r="767" spans="1:8" x14ac:dyDescent="0.2">
      <c r="A767" s="1"/>
      <c r="E767" s="6"/>
      <c r="G767" s="1"/>
      <c r="H767" s="7"/>
    </row>
    <row r="768" spans="1:8" x14ac:dyDescent="0.2">
      <c r="A768" s="1"/>
      <c r="E768" s="6"/>
      <c r="G768" s="1"/>
      <c r="H768" s="7"/>
    </row>
    <row r="769" spans="1:8" x14ac:dyDescent="0.2">
      <c r="A769" s="1"/>
      <c r="E769" s="6"/>
      <c r="G769" s="1"/>
      <c r="H769" s="7"/>
    </row>
    <row r="770" spans="1:8" x14ac:dyDescent="0.2">
      <c r="A770" s="1"/>
      <c r="E770" s="6"/>
      <c r="G770" s="1"/>
      <c r="H770" s="7"/>
    </row>
    <row r="771" spans="1:8" x14ac:dyDescent="0.2">
      <c r="A771" s="1"/>
      <c r="E771" s="6"/>
      <c r="G771" s="1"/>
      <c r="H771" s="7"/>
    </row>
    <row r="772" spans="1:8" x14ac:dyDescent="0.2">
      <c r="A772" s="1"/>
      <c r="E772" s="6"/>
      <c r="G772" s="1"/>
      <c r="H772" s="7"/>
    </row>
    <row r="773" spans="1:8" x14ac:dyDescent="0.2">
      <c r="A773" s="1"/>
      <c r="E773" s="6"/>
      <c r="G773" s="1"/>
      <c r="H773" s="7"/>
    </row>
    <row r="774" spans="1:8" x14ac:dyDescent="0.2">
      <c r="A774" s="1"/>
      <c r="E774" s="6"/>
      <c r="G774" s="1"/>
      <c r="H774" s="7"/>
    </row>
    <row r="775" spans="1:8" x14ac:dyDescent="0.2">
      <c r="A775" s="1"/>
      <c r="E775" s="6"/>
      <c r="G775" s="1"/>
      <c r="H775" s="7"/>
    </row>
    <row r="776" spans="1:8" x14ac:dyDescent="0.2">
      <c r="A776" s="1"/>
      <c r="E776" s="6"/>
      <c r="G776" s="1"/>
      <c r="H776" s="7"/>
    </row>
    <row r="777" spans="1:8" x14ac:dyDescent="0.2">
      <c r="A777" s="1"/>
      <c r="E777" s="6"/>
      <c r="G777" s="1"/>
      <c r="H777" s="7"/>
    </row>
    <row r="778" spans="1:8" x14ac:dyDescent="0.2">
      <c r="A778" s="1"/>
      <c r="E778" s="6"/>
      <c r="G778" s="1"/>
      <c r="H778" s="7"/>
    </row>
    <row r="779" spans="1:8" x14ac:dyDescent="0.2">
      <c r="A779" s="1"/>
      <c r="E779" s="6"/>
      <c r="G779" s="1"/>
      <c r="H779" s="7"/>
    </row>
    <row r="780" spans="1:8" x14ac:dyDescent="0.2">
      <c r="A780" s="1"/>
      <c r="E780" s="6"/>
      <c r="G780" s="1"/>
      <c r="H780" s="7"/>
    </row>
    <row r="781" spans="1:8" x14ac:dyDescent="0.2">
      <c r="A781" s="1"/>
      <c r="E781" s="6"/>
      <c r="G781" s="1"/>
      <c r="H781" s="7"/>
    </row>
    <row r="782" spans="1:8" x14ac:dyDescent="0.2">
      <c r="A782" s="1"/>
      <c r="E782" s="6"/>
      <c r="G782" s="1"/>
      <c r="H782" s="7"/>
    </row>
    <row r="783" spans="1:8" x14ac:dyDescent="0.2">
      <c r="A783" s="1"/>
      <c r="E783" s="6"/>
      <c r="G783" s="1"/>
      <c r="H783" s="7"/>
    </row>
    <row r="784" spans="1:8" x14ac:dyDescent="0.2">
      <c r="A784" s="1"/>
      <c r="E784" s="6"/>
      <c r="G784" s="1"/>
      <c r="H784" s="7"/>
    </row>
    <row r="785" spans="1:8" x14ac:dyDescent="0.2">
      <c r="A785" s="1"/>
      <c r="E785" s="6"/>
      <c r="G785" s="1"/>
      <c r="H785" s="7"/>
    </row>
    <row r="786" spans="1:8" x14ac:dyDescent="0.2">
      <c r="A786" s="1"/>
      <c r="E786" s="6"/>
      <c r="G786" s="1"/>
      <c r="H786" s="7"/>
    </row>
    <row r="787" spans="1:8" x14ac:dyDescent="0.2">
      <c r="A787" s="1"/>
      <c r="E787" s="6"/>
      <c r="G787" s="1"/>
      <c r="H787" s="7"/>
    </row>
    <row r="788" spans="1:8" x14ac:dyDescent="0.2">
      <c r="A788" s="1"/>
      <c r="E788" s="6"/>
      <c r="G788" s="1"/>
      <c r="H788" s="7"/>
    </row>
    <row r="789" spans="1:8" x14ac:dyDescent="0.2">
      <c r="A789" s="1"/>
      <c r="E789" s="6"/>
      <c r="G789" s="1"/>
      <c r="H789" s="7"/>
    </row>
    <row r="790" spans="1:8" x14ac:dyDescent="0.2">
      <c r="A790" s="1"/>
      <c r="E790" s="6"/>
      <c r="G790" s="1"/>
      <c r="H790" s="7"/>
    </row>
    <row r="791" spans="1:8" x14ac:dyDescent="0.2">
      <c r="A791" s="1"/>
      <c r="E791" s="6"/>
      <c r="G791" s="1"/>
      <c r="H791" s="7"/>
    </row>
    <row r="792" spans="1:8" x14ac:dyDescent="0.2">
      <c r="A792" s="1"/>
      <c r="E792" s="6"/>
      <c r="G792" s="1"/>
      <c r="H792" s="7"/>
    </row>
    <row r="793" spans="1:8" x14ac:dyDescent="0.2">
      <c r="A793" s="1"/>
      <c r="E793" s="6"/>
      <c r="G793" s="1"/>
      <c r="H793" s="7"/>
    </row>
    <row r="794" spans="1:8" x14ac:dyDescent="0.2">
      <c r="A794" s="1"/>
      <c r="E794" s="6"/>
      <c r="G794" s="1"/>
      <c r="H794" s="7"/>
    </row>
    <row r="795" spans="1:8" x14ac:dyDescent="0.2">
      <c r="A795" s="1"/>
      <c r="E795" s="6"/>
      <c r="G795" s="1"/>
      <c r="H795" s="7"/>
    </row>
    <row r="796" spans="1:8" x14ac:dyDescent="0.2">
      <c r="A796" s="1"/>
      <c r="E796" s="6"/>
      <c r="G796" s="1"/>
      <c r="H796" s="7"/>
    </row>
    <row r="797" spans="1:8" x14ac:dyDescent="0.2">
      <c r="A797" s="1"/>
      <c r="E797" s="6"/>
      <c r="G797" s="1"/>
      <c r="H797" s="7"/>
    </row>
    <row r="798" spans="1:8" x14ac:dyDescent="0.2">
      <c r="A798" s="1"/>
      <c r="E798" s="6"/>
      <c r="G798" s="1"/>
      <c r="H798" s="7"/>
    </row>
    <row r="799" spans="1:8" x14ac:dyDescent="0.2">
      <c r="A799" s="1"/>
      <c r="E799" s="6"/>
      <c r="G799" s="1"/>
      <c r="H799" s="7"/>
    </row>
    <row r="800" spans="1:8" x14ac:dyDescent="0.2">
      <c r="A800" s="1"/>
      <c r="E800" s="6"/>
      <c r="G800" s="1"/>
      <c r="H800" s="7"/>
    </row>
    <row r="801" spans="1:8" x14ac:dyDescent="0.2">
      <c r="A801" s="1"/>
      <c r="E801" s="6"/>
      <c r="G801" s="1"/>
      <c r="H801" s="7"/>
    </row>
    <row r="802" spans="1:8" x14ac:dyDescent="0.2">
      <c r="A802" s="1"/>
      <c r="E802" s="6"/>
      <c r="G802" s="1"/>
      <c r="H802" s="7"/>
    </row>
    <row r="803" spans="1:8" x14ac:dyDescent="0.2">
      <c r="A803" s="1"/>
      <c r="E803" s="6"/>
      <c r="G803" s="1"/>
      <c r="H803" s="7"/>
    </row>
    <row r="804" spans="1:8" x14ac:dyDescent="0.2">
      <c r="A804" s="1"/>
      <c r="E804" s="6"/>
      <c r="G804" s="1"/>
      <c r="H804" s="7"/>
    </row>
    <row r="805" spans="1:8" x14ac:dyDescent="0.2">
      <c r="A805" s="1"/>
      <c r="E805" s="6"/>
      <c r="G805" s="1"/>
      <c r="H805" s="7"/>
    </row>
    <row r="806" spans="1:8" x14ac:dyDescent="0.2">
      <c r="A806" s="1"/>
      <c r="E806" s="6"/>
      <c r="G806" s="1"/>
      <c r="H806" s="7"/>
    </row>
    <row r="807" spans="1:8" x14ac:dyDescent="0.2">
      <c r="A807" s="1"/>
      <c r="E807" s="6"/>
      <c r="G807" s="1"/>
      <c r="H807" s="7"/>
    </row>
    <row r="808" spans="1:8" x14ac:dyDescent="0.2">
      <c r="A808" s="1"/>
      <c r="E808" s="6"/>
      <c r="G808" s="1"/>
      <c r="H808" s="7"/>
    </row>
    <row r="809" spans="1:8" x14ac:dyDescent="0.2">
      <c r="A809" s="1"/>
      <c r="E809" s="6"/>
      <c r="G809" s="1"/>
      <c r="H809" s="7"/>
    </row>
    <row r="810" spans="1:8" x14ac:dyDescent="0.2">
      <c r="A810" s="1"/>
      <c r="E810" s="6"/>
      <c r="G810" s="1"/>
      <c r="H810" s="7"/>
    </row>
    <row r="811" spans="1:8" x14ac:dyDescent="0.2">
      <c r="A811" s="1"/>
      <c r="E811" s="6"/>
      <c r="G811" s="1"/>
      <c r="H811" s="7"/>
    </row>
    <row r="812" spans="1:8" x14ac:dyDescent="0.2">
      <c r="A812" s="1"/>
      <c r="E812" s="6"/>
      <c r="G812" s="1"/>
      <c r="H812" s="7"/>
    </row>
    <row r="813" spans="1:8" x14ac:dyDescent="0.2">
      <c r="A813" s="1"/>
      <c r="E813" s="6"/>
      <c r="G813" s="1"/>
      <c r="H813" s="7"/>
    </row>
    <row r="814" spans="1:8" x14ac:dyDescent="0.2">
      <c r="A814" s="1"/>
      <c r="E814" s="6"/>
      <c r="G814" s="1"/>
      <c r="H814" s="7"/>
    </row>
    <row r="815" spans="1:8" x14ac:dyDescent="0.2">
      <c r="A815" s="1"/>
      <c r="E815" s="6"/>
      <c r="G815" s="1"/>
      <c r="H815" s="7"/>
    </row>
    <row r="816" spans="1:8" x14ac:dyDescent="0.2">
      <c r="A816" s="1"/>
      <c r="E816" s="6"/>
      <c r="G816" s="1"/>
      <c r="H816" s="7"/>
    </row>
    <row r="817" spans="1:8" x14ac:dyDescent="0.2">
      <c r="A817" s="1"/>
      <c r="E817" s="6"/>
      <c r="G817" s="1"/>
      <c r="H817" s="7"/>
    </row>
    <row r="818" spans="1:8" x14ac:dyDescent="0.2">
      <c r="A818" s="1"/>
      <c r="E818" s="6"/>
      <c r="G818" s="1"/>
      <c r="H818" s="7"/>
    </row>
    <row r="819" spans="1:8" x14ac:dyDescent="0.2">
      <c r="A819" s="1"/>
      <c r="E819" s="6"/>
      <c r="G819" s="1"/>
      <c r="H819" s="7"/>
    </row>
    <row r="820" spans="1:8" x14ac:dyDescent="0.2">
      <c r="A820" s="1"/>
      <c r="E820" s="6"/>
      <c r="G820" s="1"/>
      <c r="H820" s="7"/>
    </row>
    <row r="821" spans="1:8" x14ac:dyDescent="0.2">
      <c r="A821" s="1"/>
      <c r="E821" s="6"/>
      <c r="G821" s="1"/>
      <c r="H821" s="7"/>
    </row>
    <row r="822" spans="1:8" x14ac:dyDescent="0.2">
      <c r="A822" s="1"/>
      <c r="E822" s="6"/>
      <c r="G822" s="1"/>
      <c r="H822" s="7"/>
    </row>
    <row r="823" spans="1:8" x14ac:dyDescent="0.2">
      <c r="A823" s="1"/>
      <c r="E823" s="6"/>
      <c r="G823" s="1"/>
      <c r="H823" s="7"/>
    </row>
    <row r="824" spans="1:8" x14ac:dyDescent="0.2">
      <c r="A824" s="1"/>
      <c r="E824" s="6"/>
      <c r="G824" s="1"/>
      <c r="H824" s="7"/>
    </row>
    <row r="825" spans="1:8" x14ac:dyDescent="0.2">
      <c r="A825" s="1"/>
      <c r="E825" s="6"/>
      <c r="G825" s="1"/>
      <c r="H825" s="7"/>
    </row>
    <row r="826" spans="1:8" x14ac:dyDescent="0.2">
      <c r="A826" s="1"/>
      <c r="E826" s="6"/>
      <c r="G826" s="1"/>
      <c r="H826" s="7"/>
    </row>
    <row r="827" spans="1:8" x14ac:dyDescent="0.2">
      <c r="A827" s="1"/>
      <c r="E827" s="6"/>
      <c r="G827" s="1"/>
      <c r="H827" s="7"/>
    </row>
    <row r="828" spans="1:8" x14ac:dyDescent="0.2">
      <c r="A828" s="1"/>
      <c r="E828" s="6"/>
      <c r="G828" s="1"/>
      <c r="H828" s="7"/>
    </row>
    <row r="829" spans="1:8" x14ac:dyDescent="0.2">
      <c r="A829" s="1"/>
      <c r="E829" s="6"/>
      <c r="G829" s="1"/>
      <c r="H829" s="7"/>
    </row>
    <row r="830" spans="1:8" x14ac:dyDescent="0.2">
      <c r="A830" s="1"/>
      <c r="E830" s="6"/>
      <c r="G830" s="1"/>
      <c r="H830" s="7"/>
    </row>
    <row r="831" spans="1:8" x14ac:dyDescent="0.2">
      <c r="A831" s="1"/>
      <c r="E831" s="6"/>
      <c r="G831" s="1"/>
      <c r="H831" s="7"/>
    </row>
    <row r="832" spans="1:8" x14ac:dyDescent="0.2">
      <c r="A832" s="1"/>
      <c r="E832" s="6"/>
      <c r="G832" s="1"/>
      <c r="H832" s="7"/>
    </row>
    <row r="833" spans="1:8" x14ac:dyDescent="0.2">
      <c r="A833" s="1"/>
      <c r="E833" s="6"/>
      <c r="G833" s="1"/>
      <c r="H833" s="7"/>
    </row>
    <row r="834" spans="1:8" x14ac:dyDescent="0.2">
      <c r="A834" s="1"/>
      <c r="E834" s="6"/>
      <c r="G834" s="1"/>
      <c r="H834" s="7"/>
    </row>
    <row r="835" spans="1:8" x14ac:dyDescent="0.2">
      <c r="A835" s="1"/>
      <c r="E835" s="6"/>
      <c r="G835" s="1"/>
      <c r="H835" s="7"/>
    </row>
    <row r="836" spans="1:8" x14ac:dyDescent="0.2">
      <c r="A836" s="1"/>
      <c r="E836" s="6"/>
      <c r="G836" s="1"/>
      <c r="H836" s="7"/>
    </row>
    <row r="837" spans="1:8" x14ac:dyDescent="0.2">
      <c r="A837" s="1"/>
      <c r="E837" s="6"/>
      <c r="G837" s="1"/>
      <c r="H837" s="7"/>
    </row>
    <row r="838" spans="1:8" x14ac:dyDescent="0.2">
      <c r="A838" s="1"/>
      <c r="E838" s="6"/>
      <c r="G838" s="1"/>
      <c r="H838" s="7"/>
    </row>
    <row r="839" spans="1:8" x14ac:dyDescent="0.2">
      <c r="A839" s="1"/>
      <c r="E839" s="6"/>
      <c r="G839" s="1"/>
      <c r="H839" s="7"/>
    </row>
    <row r="840" spans="1:8" x14ac:dyDescent="0.2">
      <c r="A840" s="1"/>
      <c r="E840" s="6"/>
      <c r="G840" s="1"/>
      <c r="H840" s="7"/>
    </row>
    <row r="841" spans="1:8" x14ac:dyDescent="0.2">
      <c r="A841" s="1"/>
      <c r="E841" s="6"/>
      <c r="G841" s="1"/>
      <c r="H841" s="7"/>
    </row>
    <row r="842" spans="1:8" x14ac:dyDescent="0.2">
      <c r="A842" s="1"/>
      <c r="E842" s="6"/>
      <c r="G842" s="1"/>
      <c r="H842" s="7"/>
    </row>
    <row r="843" spans="1:8" x14ac:dyDescent="0.2">
      <c r="A843" s="1"/>
      <c r="E843" s="6"/>
      <c r="G843" s="1"/>
      <c r="H843" s="7"/>
    </row>
    <row r="844" spans="1:8" x14ac:dyDescent="0.2">
      <c r="A844" s="1"/>
      <c r="E844" s="6"/>
      <c r="G844" s="1"/>
      <c r="H844" s="7"/>
    </row>
    <row r="845" spans="1:8" x14ac:dyDescent="0.2">
      <c r="A845" s="1"/>
      <c r="E845" s="6"/>
      <c r="G845" s="1"/>
      <c r="H845" s="7"/>
    </row>
    <row r="846" spans="1:8" x14ac:dyDescent="0.2">
      <c r="A846" s="1"/>
      <c r="E846" s="6"/>
      <c r="G846" s="1"/>
      <c r="H846" s="7"/>
    </row>
    <row r="847" spans="1:8" x14ac:dyDescent="0.2">
      <c r="A847" s="1"/>
      <c r="E847" s="6"/>
      <c r="G847" s="1"/>
      <c r="H847" s="7"/>
    </row>
    <row r="848" spans="1:8" x14ac:dyDescent="0.2">
      <c r="A848" s="1"/>
      <c r="E848" s="6"/>
      <c r="G848" s="1"/>
      <c r="H848" s="7"/>
    </row>
    <row r="849" spans="1:8" x14ac:dyDescent="0.2">
      <c r="A849" s="1"/>
      <c r="E849" s="6"/>
      <c r="G849" s="1"/>
      <c r="H849" s="7"/>
    </row>
    <row r="850" spans="1:8" x14ac:dyDescent="0.2">
      <c r="A850" s="1"/>
      <c r="E850" s="6"/>
      <c r="G850" s="1"/>
      <c r="H850" s="7"/>
    </row>
    <row r="851" spans="1:8" x14ac:dyDescent="0.2">
      <c r="A851" s="1"/>
      <c r="E851" s="6"/>
      <c r="G851" s="1"/>
      <c r="H851" s="7"/>
    </row>
    <row r="852" spans="1:8" x14ac:dyDescent="0.2">
      <c r="A852" s="1"/>
      <c r="E852" s="6"/>
      <c r="G852" s="1"/>
      <c r="H852" s="7"/>
    </row>
    <row r="853" spans="1:8" x14ac:dyDescent="0.2">
      <c r="A853" s="1"/>
      <c r="E853" s="6"/>
      <c r="G853" s="1"/>
      <c r="H853" s="7"/>
    </row>
    <row r="854" spans="1:8" x14ac:dyDescent="0.2">
      <c r="A854" s="1"/>
      <c r="E854" s="6"/>
      <c r="G854" s="1"/>
      <c r="H854" s="7"/>
    </row>
    <row r="855" spans="1:8" x14ac:dyDescent="0.2">
      <c r="A855" s="1"/>
      <c r="E855" s="6"/>
      <c r="G855" s="1"/>
      <c r="H855" s="7"/>
    </row>
    <row r="856" spans="1:8" x14ac:dyDescent="0.2">
      <c r="A856" s="1"/>
      <c r="E856" s="6"/>
      <c r="G856" s="1"/>
      <c r="H856" s="7"/>
    </row>
    <row r="857" spans="1:8" x14ac:dyDescent="0.2">
      <c r="A857" s="1"/>
      <c r="E857" s="6"/>
      <c r="G857" s="1"/>
      <c r="H857" s="7"/>
    </row>
    <row r="858" spans="1:8" x14ac:dyDescent="0.2">
      <c r="A858" s="1"/>
      <c r="E858" s="6"/>
      <c r="G858" s="1"/>
      <c r="H858" s="7"/>
    </row>
    <row r="859" spans="1:8" x14ac:dyDescent="0.2">
      <c r="A859" s="1"/>
      <c r="E859" s="6"/>
      <c r="G859" s="1"/>
      <c r="H859" s="7"/>
    </row>
    <row r="860" spans="1:8" x14ac:dyDescent="0.2">
      <c r="A860" s="1"/>
      <c r="E860" s="6"/>
      <c r="G860" s="1"/>
      <c r="H860" s="7"/>
    </row>
    <row r="861" spans="1:8" x14ac:dyDescent="0.2">
      <c r="A861" s="1"/>
      <c r="E861" s="6"/>
      <c r="G861" s="1"/>
      <c r="H861" s="7"/>
    </row>
    <row r="862" spans="1:8" x14ac:dyDescent="0.2">
      <c r="A862" s="1"/>
      <c r="E862" s="6"/>
      <c r="G862" s="1"/>
      <c r="H862" s="7"/>
    </row>
    <row r="863" spans="1:8" x14ac:dyDescent="0.2">
      <c r="A863" s="1"/>
      <c r="E863" s="6"/>
      <c r="G863" s="1"/>
      <c r="H863" s="7"/>
    </row>
    <row r="864" spans="1:8" x14ac:dyDescent="0.2">
      <c r="A864" s="1"/>
      <c r="E864" s="6"/>
      <c r="G864" s="1"/>
      <c r="H864" s="7"/>
    </row>
    <row r="865" spans="1:8" x14ac:dyDescent="0.2">
      <c r="A865" s="1"/>
      <c r="E865" s="6"/>
      <c r="G865" s="1"/>
      <c r="H865" s="7"/>
    </row>
    <row r="866" spans="1:8" x14ac:dyDescent="0.2">
      <c r="A866" s="1"/>
      <c r="E866" s="6"/>
      <c r="G866" s="1"/>
      <c r="H866" s="7"/>
    </row>
    <row r="867" spans="1:8" x14ac:dyDescent="0.2">
      <c r="A867" s="1"/>
      <c r="E867" s="6"/>
      <c r="G867" s="1"/>
      <c r="H867" s="7"/>
    </row>
    <row r="868" spans="1:8" x14ac:dyDescent="0.2">
      <c r="A868" s="1"/>
      <c r="E868" s="6"/>
      <c r="G868" s="1"/>
      <c r="H868" s="7"/>
    </row>
    <row r="869" spans="1:8" x14ac:dyDescent="0.2">
      <c r="A869" s="1"/>
      <c r="E869" s="6"/>
      <c r="G869" s="1"/>
      <c r="H869" s="7"/>
    </row>
    <row r="870" spans="1:8" x14ac:dyDescent="0.2">
      <c r="A870" s="1"/>
      <c r="E870" s="6"/>
      <c r="G870" s="1"/>
      <c r="H870" s="7"/>
    </row>
    <row r="871" spans="1:8" x14ac:dyDescent="0.2">
      <c r="A871" s="1"/>
      <c r="E871" s="6"/>
      <c r="G871" s="1"/>
      <c r="H871" s="7"/>
    </row>
    <row r="872" spans="1:8" x14ac:dyDescent="0.2">
      <c r="A872" s="1"/>
      <c r="E872" s="6"/>
      <c r="G872" s="1"/>
      <c r="H872" s="7"/>
    </row>
    <row r="873" spans="1:8" x14ac:dyDescent="0.2">
      <c r="A873" s="1"/>
      <c r="E873" s="6"/>
      <c r="G873" s="1"/>
      <c r="H873" s="7"/>
    </row>
    <row r="874" spans="1:8" x14ac:dyDescent="0.2">
      <c r="A874" s="1"/>
      <c r="E874" s="6"/>
      <c r="G874" s="1"/>
      <c r="H874" s="7"/>
    </row>
    <row r="875" spans="1:8" x14ac:dyDescent="0.2">
      <c r="A875" s="1"/>
      <c r="E875" s="6"/>
      <c r="G875" s="1"/>
      <c r="H875" s="7"/>
    </row>
    <row r="876" spans="1:8" x14ac:dyDescent="0.2">
      <c r="A876" s="1"/>
      <c r="E876" s="6"/>
      <c r="G876" s="1"/>
      <c r="H876" s="7"/>
    </row>
    <row r="877" spans="1:8" x14ac:dyDescent="0.2">
      <c r="A877" s="1"/>
      <c r="E877" s="6"/>
      <c r="G877" s="1"/>
      <c r="H877" s="7"/>
    </row>
    <row r="878" spans="1:8" x14ac:dyDescent="0.2">
      <c r="A878" s="1"/>
      <c r="E878" s="6"/>
      <c r="G878" s="1"/>
      <c r="H878" s="7"/>
    </row>
    <row r="879" spans="1:8" x14ac:dyDescent="0.2">
      <c r="A879" s="1"/>
      <c r="E879" s="6"/>
      <c r="G879" s="1"/>
      <c r="H879" s="7"/>
    </row>
    <row r="880" spans="1:8" x14ac:dyDescent="0.2">
      <c r="A880" s="1"/>
      <c r="E880" s="6"/>
      <c r="G880" s="1"/>
      <c r="H880" s="7"/>
    </row>
    <row r="881" spans="1:8" x14ac:dyDescent="0.2">
      <c r="A881" s="1"/>
      <c r="E881" s="6"/>
      <c r="G881" s="1"/>
      <c r="H881" s="7"/>
    </row>
    <row r="882" spans="1:8" x14ac:dyDescent="0.2">
      <c r="A882" s="1"/>
      <c r="E882" s="6"/>
      <c r="G882" s="1"/>
      <c r="H882" s="7"/>
    </row>
    <row r="883" spans="1:8" x14ac:dyDescent="0.2">
      <c r="A883" s="1"/>
      <c r="E883" s="6"/>
      <c r="G883" s="1"/>
      <c r="H883" s="7"/>
    </row>
    <row r="884" spans="1:8" x14ac:dyDescent="0.2">
      <c r="A884" s="1"/>
      <c r="E884" s="6"/>
      <c r="G884" s="1"/>
      <c r="H884" s="7"/>
    </row>
    <row r="885" spans="1:8" x14ac:dyDescent="0.2">
      <c r="A885" s="1"/>
      <c r="E885" s="6"/>
      <c r="G885" s="1"/>
      <c r="H885" s="7"/>
    </row>
    <row r="886" spans="1:8" x14ac:dyDescent="0.2">
      <c r="A886" s="1"/>
      <c r="E886" s="6"/>
      <c r="G886" s="1"/>
      <c r="H886" s="7"/>
    </row>
    <row r="887" spans="1:8" x14ac:dyDescent="0.2">
      <c r="A887" s="1"/>
      <c r="E887" s="6"/>
      <c r="G887" s="1"/>
      <c r="H887" s="7"/>
    </row>
    <row r="888" spans="1:8" x14ac:dyDescent="0.2">
      <c r="A888" s="1"/>
      <c r="E888" s="6"/>
      <c r="G888" s="1"/>
      <c r="H888" s="7"/>
    </row>
    <row r="889" spans="1:8" x14ac:dyDescent="0.2">
      <c r="A889" s="1"/>
      <c r="E889" s="6"/>
      <c r="G889" s="1"/>
      <c r="H889" s="7"/>
    </row>
    <row r="890" spans="1:8" x14ac:dyDescent="0.2">
      <c r="A890" s="1"/>
      <c r="E890" s="6"/>
      <c r="G890" s="1"/>
      <c r="H890" s="7"/>
    </row>
    <row r="891" spans="1:8" x14ac:dyDescent="0.2">
      <c r="A891" s="1"/>
      <c r="E891" s="6"/>
      <c r="G891" s="1"/>
      <c r="H891" s="7"/>
    </row>
    <row r="892" spans="1:8" x14ac:dyDescent="0.2">
      <c r="A892" s="1"/>
      <c r="E892" s="6"/>
      <c r="G892" s="1"/>
      <c r="H892" s="7"/>
    </row>
    <row r="893" spans="1:8" x14ac:dyDescent="0.2">
      <c r="A893" s="1"/>
      <c r="E893" s="6"/>
      <c r="G893" s="1"/>
      <c r="H893" s="7"/>
    </row>
    <row r="894" spans="1:8" x14ac:dyDescent="0.2">
      <c r="A894" s="1"/>
      <c r="E894" s="6"/>
      <c r="G894" s="1"/>
      <c r="H894" s="7"/>
    </row>
    <row r="895" spans="1:8" x14ac:dyDescent="0.2">
      <c r="A895" s="1"/>
      <c r="E895" s="6"/>
      <c r="G895" s="1"/>
      <c r="H895" s="7"/>
    </row>
    <row r="896" spans="1:8" x14ac:dyDescent="0.2">
      <c r="A896" s="1"/>
      <c r="E896" s="6"/>
      <c r="G896" s="1"/>
      <c r="H896" s="7"/>
    </row>
    <row r="897" spans="1:8" x14ac:dyDescent="0.2">
      <c r="A897" s="1"/>
      <c r="E897" s="6"/>
      <c r="G897" s="1"/>
      <c r="H897" s="7"/>
    </row>
    <row r="898" spans="1:8" x14ac:dyDescent="0.2">
      <c r="A898" s="1"/>
      <c r="E898" s="6"/>
      <c r="G898" s="1"/>
      <c r="H898" s="7"/>
    </row>
    <row r="899" spans="1:8" x14ac:dyDescent="0.2">
      <c r="A899" s="1"/>
      <c r="E899" s="6"/>
      <c r="G899" s="1"/>
      <c r="H899" s="7"/>
    </row>
    <row r="900" spans="1:8" x14ac:dyDescent="0.2">
      <c r="A900" s="1"/>
      <c r="E900" s="6"/>
      <c r="G900" s="1"/>
      <c r="H900" s="7"/>
    </row>
    <row r="901" spans="1:8" x14ac:dyDescent="0.2">
      <c r="A901" s="1"/>
      <c r="E901" s="6"/>
      <c r="G901" s="1"/>
      <c r="H901" s="7"/>
    </row>
    <row r="902" spans="1:8" x14ac:dyDescent="0.2">
      <c r="A902" s="1"/>
      <c r="E902" s="6"/>
      <c r="G902" s="1"/>
      <c r="H902" s="7"/>
    </row>
    <row r="903" spans="1:8" x14ac:dyDescent="0.2">
      <c r="A903" s="1"/>
      <c r="E903" s="6"/>
      <c r="G903" s="1"/>
      <c r="H903" s="7"/>
    </row>
    <row r="904" spans="1:8" x14ac:dyDescent="0.2">
      <c r="A904" s="1"/>
      <c r="E904" s="6"/>
      <c r="G904" s="1"/>
      <c r="H904" s="7"/>
    </row>
    <row r="905" spans="1:8" x14ac:dyDescent="0.2">
      <c r="A905" s="1"/>
      <c r="E905" s="6"/>
      <c r="G905" s="1"/>
      <c r="H905" s="7"/>
    </row>
    <row r="906" spans="1:8" x14ac:dyDescent="0.2">
      <c r="A906" s="1"/>
      <c r="E906" s="6"/>
      <c r="G906" s="1"/>
      <c r="H906" s="7"/>
    </row>
    <row r="907" spans="1:8" x14ac:dyDescent="0.2">
      <c r="A907" s="1"/>
      <c r="E907" s="6"/>
      <c r="G907" s="1"/>
      <c r="H907" s="7"/>
    </row>
    <row r="908" spans="1:8" x14ac:dyDescent="0.2">
      <c r="A908" s="1"/>
      <c r="E908" s="6"/>
      <c r="G908" s="1"/>
      <c r="H908" s="7"/>
    </row>
    <row r="909" spans="1:8" x14ac:dyDescent="0.2">
      <c r="A909" s="1"/>
      <c r="E909" s="6"/>
      <c r="G909" s="1"/>
      <c r="H909" s="7"/>
    </row>
    <row r="910" spans="1:8" x14ac:dyDescent="0.2">
      <c r="A910" s="1"/>
      <c r="E910" s="6"/>
      <c r="G910" s="1"/>
      <c r="H910" s="7"/>
    </row>
    <row r="911" spans="1:8" x14ac:dyDescent="0.2">
      <c r="A911" s="1"/>
      <c r="E911" s="6"/>
      <c r="G911" s="1"/>
      <c r="H911" s="7"/>
    </row>
    <row r="912" spans="1:8" x14ac:dyDescent="0.2">
      <c r="A912" s="1"/>
      <c r="E912" s="6"/>
      <c r="G912" s="1"/>
      <c r="H912" s="7"/>
    </row>
    <row r="913" spans="1:8" x14ac:dyDescent="0.2">
      <c r="A913" s="1"/>
      <c r="E913" s="6"/>
      <c r="G913" s="1"/>
      <c r="H913" s="7"/>
    </row>
    <row r="914" spans="1:8" x14ac:dyDescent="0.2">
      <c r="A914" s="1"/>
      <c r="E914" s="6"/>
      <c r="G914" s="1"/>
      <c r="H914" s="7"/>
    </row>
    <row r="915" spans="1:8" x14ac:dyDescent="0.2">
      <c r="A915" s="1"/>
      <c r="E915" s="6"/>
      <c r="G915" s="1"/>
      <c r="H915" s="7"/>
    </row>
    <row r="916" spans="1:8" x14ac:dyDescent="0.2">
      <c r="A916" s="1"/>
      <c r="E916" s="6"/>
      <c r="G916" s="1"/>
      <c r="H916" s="7"/>
    </row>
    <row r="917" spans="1:8" x14ac:dyDescent="0.2">
      <c r="A917" s="1"/>
      <c r="E917" s="6"/>
      <c r="G917" s="1"/>
      <c r="H917" s="7"/>
    </row>
    <row r="918" spans="1:8" x14ac:dyDescent="0.2">
      <c r="A918" s="1"/>
      <c r="E918" s="6"/>
      <c r="G918" s="1"/>
      <c r="H918" s="7"/>
    </row>
    <row r="919" spans="1:8" x14ac:dyDescent="0.2">
      <c r="A919" s="1"/>
      <c r="E919" s="6"/>
      <c r="G919" s="1"/>
      <c r="H919" s="7"/>
    </row>
    <row r="920" spans="1:8" x14ac:dyDescent="0.2">
      <c r="A920" s="1"/>
      <c r="E920" s="6"/>
      <c r="G920" s="1"/>
      <c r="H920" s="7"/>
    </row>
    <row r="921" spans="1:8" x14ac:dyDescent="0.2">
      <c r="A921" s="1"/>
      <c r="E921" s="6"/>
      <c r="G921" s="1"/>
      <c r="H921" s="7"/>
    </row>
    <row r="922" spans="1:8" x14ac:dyDescent="0.2">
      <c r="A922" s="1"/>
      <c r="E922" s="6"/>
      <c r="G922" s="1"/>
      <c r="H922" s="7"/>
    </row>
    <row r="923" spans="1:8" x14ac:dyDescent="0.2">
      <c r="A923" s="1"/>
      <c r="E923" s="6"/>
      <c r="G923" s="1"/>
      <c r="H923" s="7"/>
    </row>
    <row r="924" spans="1:8" x14ac:dyDescent="0.2">
      <c r="A924" s="1"/>
      <c r="E924" s="6"/>
      <c r="G924" s="1"/>
      <c r="H924" s="7"/>
    </row>
    <row r="925" spans="1:8" x14ac:dyDescent="0.2">
      <c r="A925" s="1"/>
      <c r="E925" s="6"/>
      <c r="G925" s="1"/>
      <c r="H925" s="7"/>
    </row>
    <row r="926" spans="1:8" x14ac:dyDescent="0.2">
      <c r="A926" s="1"/>
      <c r="E926" s="6"/>
      <c r="G926" s="1"/>
      <c r="H926" s="7"/>
    </row>
    <row r="927" spans="1:8" x14ac:dyDescent="0.2">
      <c r="A927" s="1"/>
      <c r="E927" s="6"/>
      <c r="G927" s="1"/>
      <c r="H927" s="7"/>
    </row>
    <row r="928" spans="1:8" x14ac:dyDescent="0.2">
      <c r="A928" s="1"/>
      <c r="E928" s="6"/>
      <c r="G928" s="1"/>
      <c r="H928" s="7"/>
    </row>
    <row r="929" spans="1:8" x14ac:dyDescent="0.2">
      <c r="A929" s="1"/>
      <c r="E929" s="6"/>
      <c r="G929" s="1"/>
      <c r="H929" s="7"/>
    </row>
    <row r="930" spans="1:8" x14ac:dyDescent="0.2">
      <c r="A930" s="1"/>
      <c r="E930" s="6"/>
      <c r="G930" s="1"/>
      <c r="H930" s="7"/>
    </row>
    <row r="931" spans="1:8" x14ac:dyDescent="0.2">
      <c r="A931" s="1"/>
      <c r="E931" s="6"/>
      <c r="G931" s="1"/>
      <c r="H931" s="7"/>
    </row>
    <row r="932" spans="1:8" x14ac:dyDescent="0.2">
      <c r="A932" s="1"/>
      <c r="E932" s="6"/>
      <c r="G932" s="1"/>
      <c r="H932" s="7"/>
    </row>
    <row r="933" spans="1:8" x14ac:dyDescent="0.2">
      <c r="A933" s="1"/>
      <c r="E933" s="6"/>
      <c r="G933" s="1"/>
      <c r="H933" s="7"/>
    </row>
    <row r="934" spans="1:8" x14ac:dyDescent="0.2">
      <c r="A934" s="1"/>
      <c r="E934" s="6"/>
      <c r="G934" s="1"/>
      <c r="H934" s="7"/>
    </row>
    <row r="935" spans="1:8" x14ac:dyDescent="0.2">
      <c r="A935" s="1"/>
      <c r="E935" s="6"/>
      <c r="G935" s="1"/>
      <c r="H935" s="7"/>
    </row>
    <row r="936" spans="1:8" x14ac:dyDescent="0.2">
      <c r="A936" s="1"/>
      <c r="E936" s="6"/>
      <c r="G936" s="1"/>
      <c r="H936" s="7"/>
    </row>
    <row r="937" spans="1:8" x14ac:dyDescent="0.2">
      <c r="A937" s="1"/>
      <c r="E937" s="6"/>
      <c r="G937" s="1"/>
      <c r="H937" s="7"/>
    </row>
    <row r="938" spans="1:8" x14ac:dyDescent="0.2">
      <c r="A938" s="1"/>
      <c r="E938" s="6"/>
      <c r="G938" s="1"/>
      <c r="H938" s="7"/>
    </row>
    <row r="939" spans="1:8" x14ac:dyDescent="0.2">
      <c r="A939" s="1"/>
      <c r="E939" s="6"/>
      <c r="G939" s="1"/>
      <c r="H939" s="7"/>
    </row>
    <row r="940" spans="1:8" x14ac:dyDescent="0.2">
      <c r="A940" s="1"/>
      <c r="E940" s="6"/>
      <c r="G940" s="1"/>
      <c r="H940" s="7"/>
    </row>
    <row r="941" spans="1:8" x14ac:dyDescent="0.2">
      <c r="A941" s="1"/>
      <c r="E941" s="6"/>
      <c r="G941" s="1"/>
      <c r="H941" s="7"/>
    </row>
    <row r="942" spans="1:8" x14ac:dyDescent="0.2">
      <c r="A942" s="1"/>
      <c r="E942" s="6"/>
      <c r="G942" s="1"/>
      <c r="H942" s="7"/>
    </row>
    <row r="943" spans="1:8" x14ac:dyDescent="0.2">
      <c r="A943" s="1"/>
      <c r="E943" s="6"/>
      <c r="G943" s="1"/>
      <c r="H943" s="7"/>
    </row>
    <row r="944" spans="1:8" x14ac:dyDescent="0.2">
      <c r="A944" s="1"/>
      <c r="E944" s="6"/>
      <c r="G944" s="1"/>
      <c r="H944" s="7"/>
    </row>
    <row r="945" spans="1:8" x14ac:dyDescent="0.2">
      <c r="A945" s="1"/>
      <c r="E945" s="6"/>
      <c r="G945" s="1"/>
      <c r="H945" s="7"/>
    </row>
    <row r="946" spans="1:8" x14ac:dyDescent="0.2">
      <c r="A946" s="1"/>
      <c r="E946" s="6"/>
      <c r="G946" s="1"/>
      <c r="H946" s="7"/>
    </row>
    <row r="947" spans="1:8" x14ac:dyDescent="0.2">
      <c r="A947" s="1"/>
      <c r="E947" s="6"/>
      <c r="G947" s="1"/>
      <c r="H947" s="7"/>
    </row>
    <row r="948" spans="1:8" x14ac:dyDescent="0.2">
      <c r="A948" s="1"/>
      <c r="E948" s="6"/>
      <c r="G948" s="1"/>
      <c r="H948" s="7"/>
    </row>
    <row r="949" spans="1:8" x14ac:dyDescent="0.2">
      <c r="A949" s="1"/>
      <c r="E949" s="6"/>
      <c r="G949" s="1"/>
      <c r="H949" s="7"/>
    </row>
    <row r="950" spans="1:8" x14ac:dyDescent="0.2">
      <c r="A950" s="1"/>
      <c r="E950" s="6"/>
      <c r="G950" s="1"/>
      <c r="H950" s="7"/>
    </row>
    <row r="951" spans="1:8" x14ac:dyDescent="0.2">
      <c r="A951" s="1"/>
      <c r="E951" s="6"/>
      <c r="G951" s="1"/>
      <c r="H951" s="7"/>
    </row>
    <row r="952" spans="1:8" x14ac:dyDescent="0.2">
      <c r="A952" s="1"/>
      <c r="E952" s="6"/>
      <c r="G952" s="1"/>
      <c r="H952" s="7"/>
    </row>
    <row r="953" spans="1:8" x14ac:dyDescent="0.2">
      <c r="A953" s="1"/>
      <c r="E953" s="6"/>
      <c r="G953" s="1"/>
      <c r="H953" s="7"/>
    </row>
    <row r="954" spans="1:8" x14ac:dyDescent="0.2">
      <c r="A954" s="1"/>
      <c r="E954" s="6"/>
      <c r="G954" s="1"/>
      <c r="H954" s="7"/>
    </row>
    <row r="955" spans="1:8" x14ac:dyDescent="0.2">
      <c r="A955" s="1"/>
      <c r="E955" s="6"/>
      <c r="G955" s="1"/>
      <c r="H955" s="7"/>
    </row>
    <row r="956" spans="1:8" x14ac:dyDescent="0.2">
      <c r="A956" s="1"/>
      <c r="E956" s="6"/>
      <c r="G956" s="1"/>
      <c r="H956" s="7"/>
    </row>
    <row r="957" spans="1:8" x14ac:dyDescent="0.2">
      <c r="A957" s="1"/>
      <c r="E957" s="6"/>
      <c r="G957" s="1"/>
      <c r="H957" s="7"/>
    </row>
    <row r="958" spans="1:8" x14ac:dyDescent="0.2">
      <c r="A958" s="1"/>
      <c r="E958" s="6"/>
      <c r="G958" s="1"/>
      <c r="H958" s="7"/>
    </row>
    <row r="959" spans="1:8" x14ac:dyDescent="0.2">
      <c r="A959" s="1"/>
      <c r="E959" s="6"/>
      <c r="G959" s="1"/>
      <c r="H959" s="7"/>
    </row>
    <row r="960" spans="1:8" x14ac:dyDescent="0.2">
      <c r="A960" s="1"/>
      <c r="E960" s="6"/>
      <c r="G960" s="1"/>
      <c r="H960" s="7"/>
    </row>
    <row r="961" spans="1:8" x14ac:dyDescent="0.2">
      <c r="A961" s="1"/>
      <c r="E961" s="6"/>
      <c r="G961" s="1"/>
      <c r="H961" s="7"/>
    </row>
    <row r="962" spans="1:8" x14ac:dyDescent="0.2">
      <c r="A962" s="1"/>
      <c r="E962" s="6"/>
      <c r="G962" s="1"/>
      <c r="H962" s="7"/>
    </row>
    <row r="963" spans="1:8" x14ac:dyDescent="0.2">
      <c r="A963" s="1"/>
      <c r="E963" s="6"/>
      <c r="G963" s="1"/>
      <c r="H963" s="7"/>
    </row>
    <row r="964" spans="1:8" x14ac:dyDescent="0.2">
      <c r="A964" s="1"/>
      <c r="E964" s="6"/>
      <c r="G964" s="1"/>
      <c r="H964" s="7"/>
    </row>
    <row r="965" spans="1:8" x14ac:dyDescent="0.2">
      <c r="A965" s="1"/>
      <c r="E965" s="6"/>
      <c r="G965" s="1"/>
      <c r="H965" s="7"/>
    </row>
    <row r="966" spans="1:8" x14ac:dyDescent="0.2">
      <c r="A966" s="1"/>
      <c r="E966" s="6"/>
      <c r="G966" s="1"/>
      <c r="H966" s="7"/>
    </row>
    <row r="967" spans="1:8" x14ac:dyDescent="0.2">
      <c r="A967" s="1"/>
      <c r="E967" s="6"/>
      <c r="G967" s="1"/>
      <c r="H967" s="7"/>
    </row>
    <row r="968" spans="1:8" x14ac:dyDescent="0.2">
      <c r="A968" s="1"/>
      <c r="E968" s="6"/>
      <c r="G968" s="1"/>
      <c r="H968" s="7"/>
    </row>
    <row r="969" spans="1:8" x14ac:dyDescent="0.2">
      <c r="A969" s="1"/>
      <c r="E969" s="6"/>
      <c r="G969" s="1"/>
      <c r="H969" s="7"/>
    </row>
    <row r="970" spans="1:8" x14ac:dyDescent="0.2">
      <c r="A970" s="1"/>
      <c r="E970" s="6"/>
      <c r="G970" s="1"/>
      <c r="H970" s="7"/>
    </row>
    <row r="971" spans="1:8" x14ac:dyDescent="0.2">
      <c r="A971" s="1"/>
      <c r="E971" s="6"/>
      <c r="G971" s="1"/>
      <c r="H971" s="7"/>
    </row>
    <row r="972" spans="1:8" x14ac:dyDescent="0.2">
      <c r="A972" s="1"/>
      <c r="E972" s="6"/>
      <c r="G972" s="1"/>
      <c r="H972" s="7"/>
    </row>
    <row r="973" spans="1:8" x14ac:dyDescent="0.2">
      <c r="A973" s="1"/>
      <c r="E973" s="6"/>
      <c r="G973" s="1"/>
      <c r="H973" s="7"/>
    </row>
    <row r="974" spans="1:8" x14ac:dyDescent="0.2">
      <c r="A974" s="1"/>
      <c r="E974" s="6"/>
      <c r="G974" s="1"/>
      <c r="H974" s="7"/>
    </row>
    <row r="975" spans="1:8" x14ac:dyDescent="0.2">
      <c r="A975" s="1"/>
      <c r="E975" s="6"/>
      <c r="G975" s="1"/>
      <c r="H975" s="7"/>
    </row>
    <row r="976" spans="1:8" x14ac:dyDescent="0.2">
      <c r="A976" s="1"/>
      <c r="E976" s="6"/>
      <c r="G976" s="1"/>
      <c r="H976" s="7"/>
    </row>
    <row r="977" spans="1:8" x14ac:dyDescent="0.2">
      <c r="A977" s="1"/>
      <c r="E977" s="6"/>
      <c r="G977" s="1"/>
      <c r="H977" s="7"/>
    </row>
    <row r="978" spans="1:8" x14ac:dyDescent="0.2">
      <c r="A978" s="1"/>
      <c r="E978" s="6"/>
      <c r="G978" s="1"/>
      <c r="H978" s="7"/>
    </row>
    <row r="979" spans="1:8" x14ac:dyDescent="0.2">
      <c r="A979" s="1"/>
      <c r="E979" s="6"/>
      <c r="G979" s="1"/>
      <c r="H979" s="7"/>
    </row>
    <row r="980" spans="1:8" x14ac:dyDescent="0.2">
      <c r="A980" s="1"/>
      <c r="E980" s="6"/>
      <c r="G980" s="1"/>
      <c r="H980" s="7"/>
    </row>
    <row r="981" spans="1:8" x14ac:dyDescent="0.2">
      <c r="A981" s="1"/>
      <c r="E981" s="6"/>
      <c r="G981" s="1"/>
      <c r="H981" s="7"/>
    </row>
    <row r="982" spans="1:8" x14ac:dyDescent="0.2">
      <c r="A982" s="1"/>
      <c r="E982" s="6"/>
      <c r="G982" s="1"/>
      <c r="H982" s="7"/>
    </row>
    <row r="983" spans="1:8" x14ac:dyDescent="0.2">
      <c r="A983" s="1"/>
      <c r="E983" s="6"/>
      <c r="G983" s="1"/>
      <c r="H983" s="7"/>
    </row>
    <row r="984" spans="1:8" x14ac:dyDescent="0.2">
      <c r="A984" s="1"/>
      <c r="E984" s="6"/>
      <c r="G984" s="1"/>
      <c r="H984" s="7"/>
    </row>
    <row r="985" spans="1:8" x14ac:dyDescent="0.2">
      <c r="A985" s="1"/>
      <c r="E985" s="6"/>
      <c r="G985" s="1"/>
      <c r="H985" s="7"/>
    </row>
    <row r="986" spans="1:8" x14ac:dyDescent="0.2">
      <c r="A986" s="1"/>
      <c r="E986" s="6"/>
      <c r="G986" s="1"/>
      <c r="H986" s="7"/>
    </row>
    <row r="987" spans="1:8" x14ac:dyDescent="0.2">
      <c r="A987" s="1"/>
      <c r="E987" s="6"/>
      <c r="G987" s="1"/>
      <c r="H987" s="7"/>
    </row>
    <row r="988" spans="1:8" x14ac:dyDescent="0.2">
      <c r="A988" s="1"/>
      <c r="E988" s="6"/>
      <c r="G988" s="1"/>
      <c r="H988" s="7"/>
    </row>
    <row r="989" spans="1:8" x14ac:dyDescent="0.2">
      <c r="A989" s="1"/>
      <c r="E989" s="6"/>
      <c r="G989" s="1"/>
      <c r="H989" s="7"/>
    </row>
    <row r="990" spans="1:8" x14ac:dyDescent="0.2">
      <c r="A990" s="1"/>
      <c r="E990" s="6"/>
      <c r="G990" s="1"/>
      <c r="H990" s="7"/>
    </row>
    <row r="991" spans="1:8" x14ac:dyDescent="0.2">
      <c r="A991" s="1"/>
      <c r="E991" s="6"/>
      <c r="G991" s="1"/>
      <c r="H991" s="7"/>
    </row>
    <row r="992" spans="1:8" x14ac:dyDescent="0.2">
      <c r="A992" s="1"/>
      <c r="E992" s="6"/>
      <c r="G992" s="1"/>
      <c r="H992" s="7"/>
    </row>
    <row r="993" spans="1:8" x14ac:dyDescent="0.2">
      <c r="A993" s="1"/>
      <c r="E993" s="6"/>
      <c r="G993" s="1"/>
      <c r="H993" s="7"/>
    </row>
    <row r="994" spans="1:8" x14ac:dyDescent="0.2">
      <c r="A994" s="1"/>
      <c r="E994" s="6"/>
      <c r="G994" s="1"/>
      <c r="H994" s="7"/>
    </row>
    <row r="995" spans="1:8" x14ac:dyDescent="0.2">
      <c r="A995" s="1"/>
      <c r="E995" s="6"/>
      <c r="G995" s="1"/>
      <c r="H995" s="7"/>
    </row>
    <row r="996" spans="1:8" x14ac:dyDescent="0.2">
      <c r="A996" s="1"/>
      <c r="E996" s="6"/>
      <c r="G996" s="1"/>
      <c r="H996" s="7"/>
    </row>
    <row r="997" spans="1:8" x14ac:dyDescent="0.2">
      <c r="A997" s="1"/>
      <c r="E997" s="6"/>
      <c r="G997" s="1"/>
      <c r="H997" s="7"/>
    </row>
    <row r="998" spans="1:8" x14ac:dyDescent="0.2">
      <c r="A998" s="1"/>
      <c r="E998" s="6"/>
      <c r="G998" s="1"/>
      <c r="H998" s="7"/>
    </row>
    <row r="999" spans="1:8" x14ac:dyDescent="0.2">
      <c r="A999" s="1"/>
      <c r="E999" s="6"/>
      <c r="G999" s="1"/>
      <c r="H999" s="7"/>
    </row>
    <row r="1000" spans="1:8" x14ac:dyDescent="0.2">
      <c r="A1000" s="1"/>
      <c r="E1000" s="6"/>
      <c r="G1000" s="1"/>
      <c r="H1000" s="7"/>
    </row>
    <row r="1001" spans="1:8" x14ac:dyDescent="0.2">
      <c r="A1001" s="1"/>
      <c r="E1001" s="6"/>
      <c r="G1001" s="1"/>
      <c r="H1001" s="7"/>
    </row>
    <row r="1002" spans="1:8" x14ac:dyDescent="0.2">
      <c r="A1002" s="1"/>
      <c r="E1002" s="6"/>
      <c r="G1002" s="1"/>
      <c r="H1002" s="7"/>
    </row>
    <row r="1003" spans="1:8" x14ac:dyDescent="0.2">
      <c r="A1003" s="1"/>
      <c r="E1003" s="6"/>
      <c r="G1003" s="1"/>
      <c r="H1003" s="7"/>
    </row>
    <row r="1004" spans="1:8" x14ac:dyDescent="0.2">
      <c r="A1004" s="1"/>
      <c r="E1004" s="6"/>
      <c r="G1004" s="1"/>
      <c r="H1004" s="7"/>
    </row>
    <row r="1005" spans="1:8" x14ac:dyDescent="0.2">
      <c r="A1005" s="1"/>
      <c r="E1005" s="6"/>
      <c r="G1005" s="1"/>
      <c r="H1005" s="7"/>
    </row>
    <row r="1006" spans="1:8" x14ac:dyDescent="0.2">
      <c r="A1006" s="1"/>
      <c r="E1006" s="6"/>
      <c r="G1006" s="1"/>
      <c r="H1006" s="7"/>
    </row>
    <row r="1007" spans="1:8" x14ac:dyDescent="0.2">
      <c r="A1007" s="1"/>
      <c r="E1007" s="6"/>
      <c r="G1007" s="1"/>
      <c r="H1007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2077"/>
  <sheetViews>
    <sheetView workbookViewId="0">
      <pane ySplit="1" topLeftCell="A2" activePane="bottomLeft" state="frozen"/>
      <selection pane="bottomLeft" activeCell="K14" sqref="K14"/>
    </sheetView>
  </sheetViews>
  <sheetFormatPr defaultColWidth="12.5703125" defaultRowHeight="15.75" customHeight="1" x14ac:dyDescent="0.2"/>
  <cols>
    <col min="1" max="1" width="8.5703125" customWidth="1"/>
    <col min="2" max="2" width="30.140625" customWidth="1"/>
    <col min="3" max="3" width="15.85546875" customWidth="1"/>
    <col min="4" max="4" width="13.7109375" customWidth="1"/>
    <col min="6" max="6" width="16.85546875" customWidth="1"/>
    <col min="7" max="7" width="14.42578125" customWidth="1"/>
    <col min="10" max="10" width="26.140625" customWidth="1"/>
    <col min="13" max="13" width="15.85546875" customWidth="1"/>
    <col min="14" max="14" width="16.42578125" customWidth="1"/>
    <col min="15" max="15" width="15.140625" customWidth="1"/>
    <col min="16" max="16" width="14.7109375" customWidth="1"/>
    <col min="17" max="17" width="12.5703125" customWidth="1"/>
    <col min="18" max="18" width="14.42578125" customWidth="1"/>
    <col min="20" max="20" width="16" customWidth="1"/>
    <col min="22" max="22" width="15.42578125" customWidth="1"/>
    <col min="24" max="24" width="14.85546875" customWidth="1"/>
    <col min="26" max="26" width="15.7109375" customWidth="1"/>
    <col min="28" max="28" width="14" customWidth="1"/>
    <col min="30" max="30" width="13.85546875" customWidth="1"/>
    <col min="32" max="32" width="14.42578125" customWidth="1"/>
  </cols>
  <sheetData>
    <row r="1" spans="1:33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33" x14ac:dyDescent="0.2">
      <c r="A2" s="256" t="s">
        <v>6</v>
      </c>
      <c r="B2" s="257"/>
      <c r="C2" s="31"/>
      <c r="D2" s="31"/>
      <c r="E2" s="31"/>
      <c r="F2" s="31"/>
      <c r="G2" s="31"/>
      <c r="H2" s="32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33" x14ac:dyDescent="0.2">
      <c r="A3" s="265" t="s">
        <v>7</v>
      </c>
      <c r="B3" s="259"/>
      <c r="C3" s="33">
        <v>60000</v>
      </c>
      <c r="D3" s="34"/>
      <c r="E3" s="35"/>
      <c r="F3" s="35"/>
      <c r="G3" s="35"/>
      <c r="H3" s="36"/>
      <c r="I3" s="30"/>
      <c r="J3" s="30"/>
      <c r="K3" s="30"/>
      <c r="L3" s="30"/>
      <c r="M3" s="30"/>
      <c r="N3" s="30"/>
      <c r="P3" s="30"/>
      <c r="Q3" s="30"/>
      <c r="R3" s="30"/>
      <c r="S3" s="30"/>
      <c r="T3" s="30"/>
      <c r="U3" s="30"/>
      <c r="V3" s="30"/>
      <c r="W3" s="30"/>
    </row>
    <row r="4" spans="1:33" x14ac:dyDescent="0.2">
      <c r="A4" s="265" t="s">
        <v>8</v>
      </c>
      <c r="B4" s="259"/>
      <c r="C4" s="37" t="s">
        <v>9</v>
      </c>
      <c r="D4" s="35"/>
      <c r="E4" s="38"/>
      <c r="F4" s="38"/>
      <c r="G4" s="38"/>
      <c r="H4" s="39" t="s">
        <v>10</v>
      </c>
      <c r="I4" s="30"/>
      <c r="J4" s="40" t="s">
        <v>11</v>
      </c>
      <c r="K4" s="41" t="s">
        <v>12</v>
      </c>
      <c r="L4" s="41" t="s">
        <v>10</v>
      </c>
      <c r="M4" s="42"/>
      <c r="N4" s="30"/>
      <c r="P4" s="30"/>
      <c r="Q4" s="30"/>
      <c r="R4" s="30"/>
      <c r="S4" s="30"/>
      <c r="T4" s="30"/>
      <c r="U4" s="30"/>
      <c r="V4" s="30"/>
      <c r="W4" s="30"/>
    </row>
    <row r="5" spans="1:33" x14ac:dyDescent="0.2">
      <c r="A5" s="265" t="s">
        <v>13</v>
      </c>
      <c r="B5" s="259"/>
      <c r="C5" s="43">
        <v>6000</v>
      </c>
      <c r="D5" s="44"/>
      <c r="E5" s="266" t="s">
        <v>14</v>
      </c>
      <c r="F5" s="45" t="s">
        <v>15</v>
      </c>
      <c r="G5" s="43">
        <v>60000</v>
      </c>
      <c r="H5" s="46"/>
      <c r="I5" s="30"/>
      <c r="J5" s="47" t="s">
        <v>16</v>
      </c>
      <c r="K5" s="48">
        <f>SUM(G5,G34,G61,G88,G115,G142,G170,G197,G224,G251,G278,G312,G339,G366,G400,G427,G454,G485,G512,G543,G570,G601,G634,G671,G700,G729,G758,G785,G819,G855,G889,G923,G957,G991,G1025,G1052,G1086,G1120,G1147,G1177)</f>
        <v>662050</v>
      </c>
      <c r="L5" s="49"/>
      <c r="M5" s="30"/>
      <c r="N5" s="30"/>
      <c r="O5" s="30"/>
      <c r="P5" s="30"/>
      <c r="S5" s="30"/>
      <c r="T5" s="30"/>
      <c r="U5" s="30"/>
      <c r="V5" s="30"/>
      <c r="W5" s="30"/>
    </row>
    <row r="6" spans="1:33" x14ac:dyDescent="0.2">
      <c r="A6" s="265" t="s">
        <v>17</v>
      </c>
      <c r="B6" s="259"/>
      <c r="C6" s="43">
        <v>2</v>
      </c>
      <c r="D6" s="44"/>
      <c r="E6" s="261"/>
      <c r="F6" s="45" t="s">
        <v>18</v>
      </c>
      <c r="G6" s="43">
        <v>0</v>
      </c>
      <c r="H6" s="46"/>
      <c r="I6" s="30"/>
      <c r="J6" s="47" t="s">
        <v>19</v>
      </c>
      <c r="K6" s="50"/>
      <c r="L6" s="49"/>
      <c r="M6" s="30"/>
      <c r="N6" s="51"/>
      <c r="O6" s="52"/>
      <c r="P6" s="53"/>
      <c r="S6" s="30"/>
      <c r="T6" s="30"/>
      <c r="U6" s="30"/>
      <c r="V6" s="30"/>
      <c r="W6" s="30"/>
    </row>
    <row r="7" spans="1:33" x14ac:dyDescent="0.2">
      <c r="A7" s="265" t="s">
        <v>20</v>
      </c>
      <c r="B7" s="259"/>
      <c r="C7" s="43">
        <f>C5*C6</f>
        <v>12000</v>
      </c>
      <c r="D7" s="35"/>
      <c r="E7" s="54"/>
      <c r="F7" s="35"/>
      <c r="G7" s="44"/>
      <c r="H7" s="36"/>
      <c r="I7" s="30"/>
      <c r="J7" s="47" t="s">
        <v>21</v>
      </c>
      <c r="K7" s="50">
        <f>SUM(C8,C37,C64,C91,C118,C145,C173,C200,C227,C254,C281,C315,C342,C369,C403,C430,C457,C488,C515,C546,C573,C604,C637,C674,C703,C732,C761,C788,C822,C858,C892,C926,C960,C994,C1028,C1055,C1089,C1123,C1150,C1179)</f>
        <v>2834000</v>
      </c>
      <c r="L7" s="49"/>
      <c r="N7" s="55"/>
      <c r="O7" s="17"/>
      <c r="P7" s="55"/>
      <c r="Q7" s="17"/>
      <c r="R7" s="56"/>
      <c r="S7" s="8"/>
      <c r="T7" s="30"/>
      <c r="U7" s="30"/>
      <c r="V7" s="30"/>
      <c r="W7" s="30"/>
    </row>
    <row r="8" spans="1:33" x14ac:dyDescent="0.2">
      <c r="A8" s="265" t="s">
        <v>22</v>
      </c>
      <c r="B8" s="259"/>
      <c r="C8" s="33">
        <f>C3+C7</f>
        <v>72000</v>
      </c>
      <c r="D8" s="35"/>
      <c r="E8" s="35"/>
      <c r="F8" s="35"/>
      <c r="G8" s="35"/>
      <c r="H8" s="36"/>
      <c r="I8" s="30"/>
      <c r="J8" s="47" t="s">
        <v>23</v>
      </c>
      <c r="K8" s="50">
        <f>K7-SUM(F25,F52,F79,F106,F133,F161,F188,F215,F242,F269,F303,F330,F357,F418,F391,F445,F476,F503,F534,F561,F592,F625,F662,F691,F720,F749,F776,F810,F846,F880,F914,F948,F982,F1016,F1043,F1077,F1111,F1138,F1167,F1196)</f>
        <v>1181800</v>
      </c>
      <c r="L8" s="49"/>
      <c r="N8" s="55"/>
      <c r="O8" s="17"/>
      <c r="P8" s="30"/>
      <c r="Q8" s="30"/>
      <c r="R8" s="30"/>
      <c r="S8" s="30"/>
      <c r="T8" s="30"/>
      <c r="U8" s="30"/>
      <c r="V8" s="30"/>
      <c r="W8" s="30"/>
    </row>
    <row r="9" spans="1:33" x14ac:dyDescent="0.2">
      <c r="A9" s="265" t="s">
        <v>24</v>
      </c>
      <c r="B9" s="259"/>
      <c r="C9" s="57">
        <v>1200</v>
      </c>
      <c r="D9" s="35" t="s">
        <v>25</v>
      </c>
      <c r="E9" s="35"/>
      <c r="F9" s="35" t="s">
        <v>26</v>
      </c>
      <c r="G9" s="35"/>
      <c r="H9" s="36"/>
      <c r="I9" s="30"/>
      <c r="J9" s="47" t="s">
        <v>27</v>
      </c>
      <c r="K9" s="50">
        <f>SUM(G6,G35,G62,G89,G116,G143,G171,G198,G225,G252,G279,G313,G340,G367,G401,G428,G455,G486,G513,G544,G571,G602,G635,G672,G701,G730,G759,G786,G820,G856,G890,G924,G958,G992,G1026,G1053,G1087,G1121,G1148,G1177)</f>
        <v>1452950</v>
      </c>
      <c r="L9" s="49"/>
      <c r="N9" s="30"/>
      <c r="O9" s="52"/>
      <c r="P9" s="52"/>
      <c r="Q9" s="30"/>
      <c r="R9" s="30"/>
      <c r="S9" s="30"/>
      <c r="T9" s="30"/>
      <c r="U9" s="30"/>
      <c r="V9" s="30"/>
      <c r="W9" s="30"/>
    </row>
    <row r="10" spans="1:33" x14ac:dyDescent="0.2">
      <c r="A10" s="265" t="s">
        <v>28</v>
      </c>
      <c r="B10" s="259"/>
      <c r="C10" s="58" t="s">
        <v>29</v>
      </c>
      <c r="D10" s="35"/>
      <c r="E10" s="35"/>
      <c r="F10" s="35"/>
      <c r="G10" s="35"/>
      <c r="H10" s="36"/>
      <c r="I10" s="30"/>
      <c r="J10" s="59" t="s">
        <v>30</v>
      </c>
      <c r="K10" s="60">
        <f>K7-K8-K9-K14</f>
        <v>0</v>
      </c>
      <c r="L10" s="49"/>
      <c r="M10" s="61">
        <f>SUM(K10,'Creditor 2'!K10,,'Creditor 3'!K10,'Creditor 4'!K10,'Creditor 5'!K10,'Creditor 6'!K10)</f>
        <v>7350</v>
      </c>
      <c r="N10" s="51"/>
      <c r="O10" s="17"/>
      <c r="P10" s="17"/>
      <c r="Q10" s="30"/>
      <c r="R10" s="30"/>
      <c r="S10" s="30"/>
      <c r="T10" s="30"/>
      <c r="U10" s="30"/>
      <c r="V10" s="30"/>
      <c r="W10" s="30"/>
    </row>
    <row r="11" spans="1:33" x14ac:dyDescent="0.2">
      <c r="A11" s="62" t="s">
        <v>31</v>
      </c>
      <c r="B11" s="63" t="s">
        <v>32</v>
      </c>
      <c r="C11" s="45" t="s">
        <v>33</v>
      </c>
      <c r="D11" s="45" t="s">
        <v>34</v>
      </c>
      <c r="E11" s="45" t="s">
        <v>35</v>
      </c>
      <c r="F11" s="45" t="s">
        <v>36</v>
      </c>
      <c r="G11" s="45" t="s">
        <v>37</v>
      </c>
      <c r="H11" s="36"/>
      <c r="I11" s="30"/>
      <c r="J11" s="47" t="s">
        <v>38</v>
      </c>
      <c r="K11" s="64" t="e">
        <f ca="1">MINUS(K8,K5)</f>
        <v>#NAME?</v>
      </c>
      <c r="L11" s="49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33" x14ac:dyDescent="0.2">
      <c r="A12" s="62">
        <v>0</v>
      </c>
      <c r="B12" s="65"/>
      <c r="C12" s="65"/>
      <c r="D12" s="65"/>
      <c r="E12" s="65"/>
      <c r="F12" s="65"/>
      <c r="G12" s="43">
        <f>C8</f>
        <v>72000</v>
      </c>
      <c r="H12" s="36"/>
      <c r="I12" s="30"/>
      <c r="J12" s="47" t="s">
        <v>39</v>
      </c>
      <c r="K12" s="64">
        <f>SUM(E25,E52,E79,E106,E133,E161,E188,E215,E242,E269,E303,E330,E357,E391,E418,E445,E476,E503,E534,E561,E592,E625,E662,E691,E720,E749,E776,E810,E846,E880,E914,E948,E982,E1016,E1043,E1077,E1111,E1138,E1167,E1196)</f>
        <v>450329.46823291638</v>
      </c>
      <c r="L12" s="49"/>
      <c r="Q12" s="30"/>
      <c r="R12" s="30"/>
      <c r="S12" s="30"/>
      <c r="T12" s="30"/>
      <c r="U12" s="66">
        <f>SUM(U13,'Creditor 2'!U13,'Creditor 3'!U13,'Creditor 4'!U13,'Creditor 5'!U13)</f>
        <v>197600</v>
      </c>
      <c r="V12" s="30"/>
      <c r="W12" s="30"/>
      <c r="Y12" s="67">
        <f>SUM(Y13,'Creditor 2'!Y13,'Creditor 3'!Y13,'Creditor 4'!Y13,'Creditor 5'!Y13)</f>
        <v>205900</v>
      </c>
    </row>
    <row r="13" spans="1:33" x14ac:dyDescent="0.2">
      <c r="A13" s="62">
        <v>1</v>
      </c>
      <c r="B13" s="45" t="s">
        <v>40</v>
      </c>
      <c r="C13" s="43">
        <v>7800</v>
      </c>
      <c r="D13" s="43">
        <f t="shared" ref="D13:D24" si="0">C13/1.2</f>
        <v>6500</v>
      </c>
      <c r="E13" s="43">
        <f t="shared" ref="E13:E24" si="1">C13-D13</f>
        <v>1300</v>
      </c>
      <c r="F13" s="43" t="s">
        <v>41</v>
      </c>
      <c r="G13" s="43">
        <f t="shared" ref="G13:G24" si="2">(G12-C13)</f>
        <v>64200</v>
      </c>
      <c r="H13" s="36"/>
      <c r="I13" s="30"/>
      <c r="J13" s="47" t="s">
        <v>42</v>
      </c>
      <c r="K13" s="64"/>
      <c r="L13" s="49"/>
      <c r="M13" s="67"/>
      <c r="N13" s="68" t="s">
        <v>43</v>
      </c>
      <c r="O13" s="69">
        <v>114650</v>
      </c>
      <c r="P13" s="70" t="s">
        <v>44</v>
      </c>
      <c r="Q13" s="71">
        <f>SUM(C21,C76,C129,C157,C290,C323,C350,C376,C410,C437,C464,C495,C521,C552,C579,C610,C642,C679,C708,)</f>
        <v>106800</v>
      </c>
      <c r="R13" s="70" t="s">
        <v>45</v>
      </c>
      <c r="S13" s="72">
        <f>SUM(C22,C130,C158,C291,C324,C351,C377,C411,C438,C465,C496,C522,C553,C580,C611,C643,C680,C709,C737,C793)</f>
        <v>125536</v>
      </c>
      <c r="T13" s="70" t="s">
        <v>46</v>
      </c>
      <c r="U13" s="72">
        <f>SUM(C23,C159,C292,C325,C352,C378,C412,C439,C466,C497,C523,C554,C581,C612,C644,C681,C710,C738,C794,C827)</f>
        <v>120750</v>
      </c>
      <c r="V13" s="70" t="s">
        <v>47</v>
      </c>
      <c r="W13" s="72">
        <f>SUM(C24,C160,C293,C353,C379,C413,C440,C467,C498,C524,C555,C582,C613,C645,C682,C711,C739,C795,C828,C863,C897)</f>
        <v>118050</v>
      </c>
      <c r="X13" s="70" t="s">
        <v>48</v>
      </c>
      <c r="Y13" s="72">
        <f>SUM(G160,C294,C380,C414,C468,C499,C525,C556,C583,C614,C646,C683,C712,C740,C796,C829,C864,C898,C931)</f>
        <v>104100</v>
      </c>
      <c r="Z13" s="70" t="s">
        <v>49</v>
      </c>
      <c r="AA13" s="72">
        <f>SUM(C295,C381,C469,C500,C526,C557,C584,C615,C647,C684,C713,C741,C767,C797,C830,C865,C899,C932,C965,C999)</f>
        <v>107600</v>
      </c>
      <c r="AB13" s="70" t="s">
        <v>50</v>
      </c>
      <c r="AC13" s="72">
        <f>SUM(C296,C382,C470,C501,C527,C558,C585,C616,C648,C685,C714,C742,C831,C866,C900,C933,C966,C1000,C1060)</f>
        <v>77150</v>
      </c>
      <c r="AD13" s="70" t="s">
        <v>51</v>
      </c>
      <c r="AE13" s="72">
        <f>SUM(C297,C383,C502,C528,C559,C586,C617,C649,C686,C715,C743,C832,C867,C901,C934,C967,C1001,C1033,C1061,C1094)</f>
        <v>46800</v>
      </c>
      <c r="AF13" s="70" t="s">
        <v>52</v>
      </c>
      <c r="AG13" s="72">
        <f>SUM(C298,C384,C472,C529,C587,C618,C650,C687,C716,C744,C833,C868,C902,C935,C968,C1002,C1062,C1095,C1128)</f>
        <v>74450</v>
      </c>
    </row>
    <row r="14" spans="1:33" x14ac:dyDescent="0.2">
      <c r="A14" s="62">
        <v>2</v>
      </c>
      <c r="B14" s="45" t="s">
        <v>53</v>
      </c>
      <c r="C14" s="43">
        <v>4800</v>
      </c>
      <c r="D14" s="43">
        <f t="shared" si="0"/>
        <v>4000</v>
      </c>
      <c r="E14" s="43">
        <f t="shared" si="1"/>
        <v>800</v>
      </c>
      <c r="F14" s="43" t="s">
        <v>41</v>
      </c>
      <c r="G14" s="43">
        <f t="shared" si="2"/>
        <v>59400</v>
      </c>
      <c r="H14" s="36"/>
      <c r="I14" s="30"/>
      <c r="J14" s="47" t="s">
        <v>54</v>
      </c>
      <c r="K14" s="50">
        <f>K45</f>
        <v>199250</v>
      </c>
      <c r="L14" s="49"/>
      <c r="M14" s="73"/>
      <c r="N14" s="74" t="s">
        <v>55</v>
      </c>
      <c r="O14" s="75">
        <v>-6350</v>
      </c>
      <c r="P14" s="76" t="s">
        <v>56</v>
      </c>
      <c r="Q14" s="75">
        <v>0</v>
      </c>
      <c r="R14" s="76" t="s">
        <v>57</v>
      </c>
      <c r="S14" s="75">
        <v>0</v>
      </c>
      <c r="T14" s="76" t="s">
        <v>58</v>
      </c>
      <c r="U14" s="75">
        <v>0</v>
      </c>
      <c r="V14" s="76" t="s">
        <v>59</v>
      </c>
      <c r="W14" s="75">
        <v>0</v>
      </c>
      <c r="X14" s="76" t="s">
        <v>60</v>
      </c>
      <c r="Y14" s="75">
        <v>1500</v>
      </c>
      <c r="Z14" s="76" t="s">
        <v>61</v>
      </c>
      <c r="AA14" s="75">
        <v>7600</v>
      </c>
      <c r="AB14" s="76" t="s">
        <v>62</v>
      </c>
      <c r="AC14" s="75">
        <v>27800</v>
      </c>
      <c r="AD14" s="76" t="s">
        <v>63</v>
      </c>
      <c r="AE14" s="75">
        <v>4950</v>
      </c>
      <c r="AF14" s="76" t="s">
        <v>64</v>
      </c>
      <c r="AG14" s="75">
        <v>0</v>
      </c>
    </row>
    <row r="15" spans="1:33" x14ac:dyDescent="0.2">
      <c r="A15" s="62">
        <v>3</v>
      </c>
      <c r="B15" s="45" t="s">
        <v>65</v>
      </c>
      <c r="C15" s="43">
        <v>3600</v>
      </c>
      <c r="D15" s="43">
        <f t="shared" si="0"/>
        <v>3000</v>
      </c>
      <c r="E15" s="43">
        <f t="shared" si="1"/>
        <v>600</v>
      </c>
      <c r="F15" s="43" t="s">
        <v>41</v>
      </c>
      <c r="G15" s="43">
        <f t="shared" si="2"/>
        <v>55800</v>
      </c>
      <c r="H15" s="36"/>
      <c r="I15" s="30"/>
      <c r="J15" s="30"/>
      <c r="K15" s="30"/>
      <c r="L15" s="30"/>
      <c r="M15" s="66"/>
      <c r="N15" s="74" t="s">
        <v>66</v>
      </c>
      <c r="O15" s="75">
        <v>28000</v>
      </c>
      <c r="P15" s="74"/>
      <c r="Q15" s="75"/>
      <c r="R15" s="74"/>
      <c r="S15" s="75"/>
      <c r="T15" s="74" t="s">
        <v>66</v>
      </c>
      <c r="U15" s="75">
        <v>23200</v>
      </c>
      <c r="V15" s="74" t="s">
        <v>67</v>
      </c>
      <c r="W15" s="75">
        <f>22000+11000</f>
        <v>33000</v>
      </c>
      <c r="X15" s="74" t="s">
        <v>68</v>
      </c>
      <c r="Y15" s="75">
        <v>7000</v>
      </c>
      <c r="Z15" s="74" t="s">
        <v>69</v>
      </c>
      <c r="AA15" s="75">
        <v>32064</v>
      </c>
      <c r="AB15" s="74"/>
      <c r="AC15" s="75"/>
      <c r="AD15" s="74" t="s">
        <v>70</v>
      </c>
      <c r="AE15" s="75">
        <v>1750</v>
      </c>
      <c r="AF15" s="74"/>
      <c r="AG15" s="75"/>
    </row>
    <row r="16" spans="1:33" x14ac:dyDescent="0.2">
      <c r="A16" s="62">
        <v>4</v>
      </c>
      <c r="B16" s="45" t="s">
        <v>71</v>
      </c>
      <c r="C16" s="43">
        <v>7200</v>
      </c>
      <c r="D16" s="43">
        <f t="shared" si="0"/>
        <v>6000</v>
      </c>
      <c r="E16" s="43">
        <f t="shared" si="1"/>
        <v>1200</v>
      </c>
      <c r="F16" s="43" t="s">
        <v>41</v>
      </c>
      <c r="G16" s="43">
        <f t="shared" si="2"/>
        <v>48600</v>
      </c>
      <c r="H16" s="36"/>
      <c r="I16" s="30"/>
      <c r="J16" s="30"/>
      <c r="K16" s="30"/>
      <c r="L16" s="30"/>
      <c r="M16" s="30"/>
      <c r="N16" s="77" t="s">
        <v>72</v>
      </c>
      <c r="O16" s="78">
        <f>SUM(O13:O15)</f>
        <v>136300</v>
      </c>
      <c r="P16" s="77" t="s">
        <v>72</v>
      </c>
      <c r="Q16" s="78">
        <f>SUM(Q13:Q15)</f>
        <v>106800</v>
      </c>
      <c r="R16" s="77" t="s">
        <v>72</v>
      </c>
      <c r="S16" s="78">
        <f>SUM(S13:S15)</f>
        <v>125536</v>
      </c>
      <c r="T16" s="77" t="s">
        <v>72</v>
      </c>
      <c r="U16" s="78">
        <f>SUM(U13:U15)</f>
        <v>143950</v>
      </c>
      <c r="V16" s="77" t="s">
        <v>72</v>
      </c>
      <c r="W16" s="78">
        <f>SUM(W13:W15)</f>
        <v>151050</v>
      </c>
      <c r="X16" s="77" t="s">
        <v>72</v>
      </c>
      <c r="Y16" s="78">
        <f>SUM(Y13:Y15)</f>
        <v>112600</v>
      </c>
      <c r="Z16" s="77" t="s">
        <v>72</v>
      </c>
      <c r="AA16" s="78">
        <f>SUM(AA13:AA15)</f>
        <v>147264</v>
      </c>
      <c r="AB16" s="77" t="s">
        <v>72</v>
      </c>
      <c r="AC16" s="78">
        <f>SUM(AC13:AC15)</f>
        <v>104950</v>
      </c>
      <c r="AD16" s="77" t="s">
        <v>72</v>
      </c>
      <c r="AE16" s="78">
        <f>SUM(AE13:AE15)</f>
        <v>53500</v>
      </c>
      <c r="AF16" s="77" t="s">
        <v>72</v>
      </c>
      <c r="AG16" s="78">
        <f>SUM(AG13:AG15)</f>
        <v>74450</v>
      </c>
    </row>
    <row r="17" spans="1:25" x14ac:dyDescent="0.2">
      <c r="A17" s="62">
        <v>5</v>
      </c>
      <c r="B17" s="45" t="s">
        <v>73</v>
      </c>
      <c r="C17" s="43">
        <v>6000</v>
      </c>
      <c r="D17" s="43">
        <f t="shared" si="0"/>
        <v>5000</v>
      </c>
      <c r="E17" s="43">
        <f t="shared" si="1"/>
        <v>1000</v>
      </c>
      <c r="F17" s="43" t="s">
        <v>41</v>
      </c>
      <c r="G17" s="43">
        <f t="shared" si="2"/>
        <v>42600</v>
      </c>
      <c r="H17" s="36"/>
      <c r="I17" s="30"/>
      <c r="J17" s="56"/>
      <c r="K17" s="79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5" x14ac:dyDescent="0.2">
      <c r="A18" s="62">
        <v>6</v>
      </c>
      <c r="B18" s="45" t="s">
        <v>74</v>
      </c>
      <c r="C18" s="43">
        <v>7200</v>
      </c>
      <c r="D18" s="43">
        <f t="shared" si="0"/>
        <v>6000</v>
      </c>
      <c r="E18" s="43">
        <f t="shared" si="1"/>
        <v>1200</v>
      </c>
      <c r="F18" s="43" t="s">
        <v>41</v>
      </c>
      <c r="G18" s="43">
        <f t="shared" si="2"/>
        <v>35400</v>
      </c>
      <c r="H18" s="36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5" x14ac:dyDescent="0.2">
      <c r="A19" s="62">
        <v>7</v>
      </c>
      <c r="B19" s="45" t="s">
        <v>75</v>
      </c>
      <c r="C19" s="43">
        <v>7200</v>
      </c>
      <c r="D19" s="43">
        <f t="shared" si="0"/>
        <v>6000</v>
      </c>
      <c r="E19" s="43">
        <f t="shared" si="1"/>
        <v>1200</v>
      </c>
      <c r="F19" s="43" t="s">
        <v>41</v>
      </c>
      <c r="G19" s="43">
        <f t="shared" si="2"/>
        <v>28200</v>
      </c>
      <c r="H19" s="36"/>
      <c r="I19" s="30"/>
      <c r="J19" s="80" t="s">
        <v>76</v>
      </c>
      <c r="K19" s="30"/>
      <c r="L19" s="30"/>
      <c r="N19" s="70" t="s">
        <v>77</v>
      </c>
      <c r="O19" s="72">
        <f>SUM(C299,C385,C473,C530,C588,C619,C651,C688,C717,C745,C834,C869,C903,C936,C969,C1003,C1063,C1096,C1129,C1155)</f>
        <v>68750</v>
      </c>
      <c r="P19" s="70" t="s">
        <v>78</v>
      </c>
      <c r="Q19" s="72">
        <f>SUM(C300,C386,C474,C531,C589,C620,C652,C689,C718,C746,C835,C870,C904,C937,C970,C1004,C1036,C1064,C1097,C1130,C1156,C1184)</f>
        <v>96000</v>
      </c>
      <c r="R19" s="70" t="s">
        <v>79</v>
      </c>
      <c r="S19" s="72"/>
      <c r="T19" s="70" t="s">
        <v>80</v>
      </c>
      <c r="U19" s="72"/>
      <c r="V19" s="70"/>
      <c r="W19" s="72"/>
      <c r="X19" s="73"/>
      <c r="Y19" s="73"/>
    </row>
    <row r="20" spans="1:25" x14ac:dyDescent="0.2">
      <c r="A20" s="62">
        <v>8</v>
      </c>
      <c r="B20" s="45" t="s">
        <v>81</v>
      </c>
      <c r="C20" s="43">
        <v>7200</v>
      </c>
      <c r="D20" s="43">
        <f t="shared" si="0"/>
        <v>6000</v>
      </c>
      <c r="E20" s="43">
        <f t="shared" si="1"/>
        <v>1200</v>
      </c>
      <c r="F20" s="43" t="s">
        <v>41</v>
      </c>
      <c r="G20" s="43">
        <f t="shared" si="2"/>
        <v>21000</v>
      </c>
      <c r="H20" s="36"/>
      <c r="I20" s="30"/>
      <c r="J20" s="81" t="s">
        <v>82</v>
      </c>
      <c r="K20" s="81" t="s">
        <v>12</v>
      </c>
      <c r="L20" s="30"/>
      <c r="N20" s="76" t="s">
        <v>83</v>
      </c>
      <c r="O20" s="75">
        <v>0</v>
      </c>
      <c r="P20" s="76" t="s">
        <v>84</v>
      </c>
      <c r="Q20" s="75">
        <v>0</v>
      </c>
      <c r="R20" s="76" t="s">
        <v>85</v>
      </c>
      <c r="S20" s="75"/>
      <c r="T20" s="76" t="s">
        <v>86</v>
      </c>
      <c r="U20" s="75"/>
      <c r="V20" s="76"/>
      <c r="W20" s="75"/>
      <c r="X20" s="73"/>
      <c r="Y20" s="73"/>
    </row>
    <row r="21" spans="1:25" x14ac:dyDescent="0.2">
      <c r="A21" s="62">
        <v>9</v>
      </c>
      <c r="B21" s="45" t="s">
        <v>87</v>
      </c>
      <c r="C21" s="65">
        <v>4800</v>
      </c>
      <c r="D21" s="43">
        <f t="shared" si="0"/>
        <v>4000</v>
      </c>
      <c r="E21" s="43">
        <f t="shared" si="1"/>
        <v>800</v>
      </c>
      <c r="F21" s="43" t="s">
        <v>41</v>
      </c>
      <c r="G21" s="43">
        <f t="shared" si="2"/>
        <v>16200</v>
      </c>
      <c r="H21" s="36"/>
      <c r="I21" s="30"/>
      <c r="J21" s="82">
        <v>45726</v>
      </c>
      <c r="K21" s="83">
        <v>25536</v>
      </c>
      <c r="L21" s="30"/>
      <c r="N21" s="74"/>
      <c r="O21" s="75"/>
      <c r="P21" s="74"/>
      <c r="Q21" s="75"/>
      <c r="R21" s="74"/>
      <c r="S21" s="75"/>
      <c r="T21" s="74"/>
      <c r="U21" s="75"/>
      <c r="V21" s="74"/>
      <c r="W21" s="75"/>
      <c r="X21" s="73"/>
      <c r="Y21" s="73"/>
    </row>
    <row r="22" spans="1:25" x14ac:dyDescent="0.2">
      <c r="A22" s="84">
        <v>10</v>
      </c>
      <c r="B22" s="85" t="s">
        <v>88</v>
      </c>
      <c r="C22" s="86">
        <v>7200</v>
      </c>
      <c r="D22" s="87">
        <f t="shared" si="0"/>
        <v>6000</v>
      </c>
      <c r="E22" s="87">
        <f t="shared" si="1"/>
        <v>1200</v>
      </c>
      <c r="F22" s="87" t="s">
        <v>41</v>
      </c>
      <c r="G22" s="87">
        <f t="shared" si="2"/>
        <v>9000</v>
      </c>
      <c r="H22" s="36"/>
      <c r="I22" s="30"/>
      <c r="J22" s="82">
        <v>45735</v>
      </c>
      <c r="K22" s="83">
        <v>18000</v>
      </c>
      <c r="L22" s="30"/>
      <c r="N22" s="74"/>
      <c r="O22" s="75"/>
      <c r="P22" s="74"/>
      <c r="Q22" s="75"/>
      <c r="R22" s="74"/>
      <c r="S22" s="75"/>
      <c r="T22" s="74"/>
      <c r="U22" s="75"/>
      <c r="V22" s="74"/>
      <c r="W22" s="75"/>
      <c r="X22" s="73"/>
      <c r="Y22" s="73"/>
    </row>
    <row r="23" spans="1:25" x14ac:dyDescent="0.2">
      <c r="A23" s="45">
        <v>11</v>
      </c>
      <c r="B23" s="45" t="s">
        <v>89</v>
      </c>
      <c r="C23" s="65">
        <v>6000</v>
      </c>
      <c r="D23" s="43">
        <f t="shared" si="0"/>
        <v>5000</v>
      </c>
      <c r="E23" s="43">
        <f t="shared" si="1"/>
        <v>1000</v>
      </c>
      <c r="F23" s="43" t="s">
        <v>41</v>
      </c>
      <c r="G23" s="43">
        <f t="shared" si="2"/>
        <v>3000</v>
      </c>
      <c r="H23" s="36"/>
      <c r="I23" s="30"/>
      <c r="J23" s="82">
        <v>45740</v>
      </c>
      <c r="K23" s="83">
        <v>21600</v>
      </c>
      <c r="L23" s="30"/>
      <c r="N23" s="77" t="s">
        <v>72</v>
      </c>
      <c r="O23" s="78">
        <f>SUM(O19:O22)</f>
        <v>68750</v>
      </c>
      <c r="P23" s="77" t="s">
        <v>72</v>
      </c>
      <c r="Q23" s="78">
        <f>SUM(Q19:Q22)</f>
        <v>96000</v>
      </c>
      <c r="R23" s="77" t="s">
        <v>72</v>
      </c>
      <c r="S23" s="78">
        <f>SUM(S19:S22)</f>
        <v>0</v>
      </c>
      <c r="T23" s="77" t="s">
        <v>72</v>
      </c>
      <c r="U23" s="78">
        <f>SUM(U19:U22)</f>
        <v>0</v>
      </c>
      <c r="V23" s="77" t="s">
        <v>72</v>
      </c>
      <c r="W23" s="78">
        <f>SUM(W19:W22)</f>
        <v>0</v>
      </c>
    </row>
    <row r="24" spans="1:25" x14ac:dyDescent="0.2">
      <c r="A24" s="45">
        <v>12</v>
      </c>
      <c r="B24" s="45" t="s">
        <v>90</v>
      </c>
      <c r="C24" s="65">
        <v>3000</v>
      </c>
      <c r="D24" s="43">
        <f t="shared" si="0"/>
        <v>2500</v>
      </c>
      <c r="E24" s="43">
        <f t="shared" si="1"/>
        <v>500</v>
      </c>
      <c r="F24" s="43" t="s">
        <v>41</v>
      </c>
      <c r="G24" s="43">
        <f t="shared" si="2"/>
        <v>0</v>
      </c>
      <c r="H24" s="36"/>
      <c r="I24" s="30"/>
      <c r="J24" s="82">
        <v>45747</v>
      </c>
      <c r="K24" s="83">
        <v>27950</v>
      </c>
      <c r="L24" s="30" t="s">
        <v>91</v>
      </c>
      <c r="O24" s="30"/>
      <c r="P24" s="88"/>
      <c r="T24" s="30"/>
      <c r="U24" s="30"/>
      <c r="V24" s="30"/>
      <c r="W24" s="30"/>
    </row>
    <row r="25" spans="1:25" x14ac:dyDescent="0.2">
      <c r="A25" s="89"/>
      <c r="B25" s="90"/>
      <c r="C25" s="91"/>
      <c r="D25" s="92">
        <f>SUMIFS(D13:D24, F13:F24, "Y")</f>
        <v>60000</v>
      </c>
      <c r="E25" s="92">
        <f>SUMIFS(E13:E24, F13:F24, "Y")</f>
        <v>12000</v>
      </c>
      <c r="F25" s="92">
        <f>(SUMIFS(D13:D24, F13:F24, "Y") + SUMIFS(E13:E24, F13:F24, "Y"))</f>
        <v>72000</v>
      </c>
      <c r="G25" s="91"/>
      <c r="H25" s="93"/>
      <c r="I25" s="30"/>
      <c r="J25" s="94">
        <v>45754</v>
      </c>
      <c r="K25" s="83">
        <v>21464</v>
      </c>
      <c r="L25" s="30"/>
      <c r="O25" s="30"/>
      <c r="P25" s="88"/>
      <c r="T25" s="30"/>
      <c r="U25" s="30"/>
      <c r="V25" s="30"/>
      <c r="W25" s="30"/>
    </row>
    <row r="26" spans="1:2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95">
        <v>45756</v>
      </c>
      <c r="K26" s="83">
        <f>18000</f>
        <v>18000</v>
      </c>
      <c r="L26" s="30"/>
      <c r="M26" s="30"/>
      <c r="N26" s="70" t="s">
        <v>92</v>
      </c>
      <c r="O26" s="72"/>
      <c r="P26" s="70" t="s">
        <v>93</v>
      </c>
      <c r="Q26" s="72"/>
      <c r="R26" s="70" t="s">
        <v>94</v>
      </c>
      <c r="S26" s="72"/>
      <c r="T26" s="70" t="s">
        <v>95</v>
      </c>
      <c r="U26" s="72"/>
      <c r="V26" s="70" t="s">
        <v>96</v>
      </c>
      <c r="W26" s="72"/>
    </row>
    <row r="27" spans="1:25" x14ac:dyDescent="0.2">
      <c r="A27" s="30"/>
      <c r="B27" s="30"/>
      <c r="C27" s="30"/>
      <c r="D27" s="30"/>
      <c r="E27" s="30"/>
      <c r="F27" s="30"/>
      <c r="G27" s="30"/>
      <c r="H27" s="30"/>
      <c r="I27" s="30"/>
      <c r="J27" s="82">
        <v>45768</v>
      </c>
      <c r="K27" s="83">
        <v>23500</v>
      </c>
      <c r="L27" s="30"/>
      <c r="M27" s="30"/>
      <c r="N27" s="76" t="s">
        <v>97</v>
      </c>
      <c r="O27" s="75"/>
      <c r="P27" s="76" t="s">
        <v>98</v>
      </c>
      <c r="Q27" s="75">
        <v>0</v>
      </c>
      <c r="R27" s="76" t="s">
        <v>99</v>
      </c>
      <c r="S27" s="75"/>
      <c r="T27" s="76" t="s">
        <v>100</v>
      </c>
      <c r="U27" s="75"/>
      <c r="V27" s="76" t="s">
        <v>101</v>
      </c>
      <c r="W27" s="75"/>
    </row>
    <row r="28" spans="1:25" x14ac:dyDescent="0.2">
      <c r="A28" s="30"/>
      <c r="B28" s="30"/>
      <c r="C28" s="30"/>
      <c r="D28" s="30"/>
      <c r="E28" s="30"/>
      <c r="F28" s="30"/>
      <c r="G28" s="30"/>
      <c r="H28" s="30"/>
      <c r="I28" s="30"/>
      <c r="J28" s="82">
        <v>45775</v>
      </c>
      <c r="K28" s="83">
        <v>24450</v>
      </c>
      <c r="L28" s="30"/>
      <c r="M28" s="30"/>
      <c r="N28" s="74"/>
      <c r="O28" s="75"/>
      <c r="P28" s="74"/>
      <c r="Q28" s="75"/>
      <c r="R28" s="74"/>
      <c r="S28" s="75"/>
      <c r="T28" s="74"/>
      <c r="U28" s="75"/>
      <c r="V28" s="74"/>
      <c r="W28" s="75"/>
    </row>
    <row r="29" spans="1:2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96">
        <v>45782</v>
      </c>
      <c r="K29" s="97">
        <v>18750</v>
      </c>
      <c r="L29" s="30"/>
      <c r="M29" s="30"/>
      <c r="N29" s="74"/>
      <c r="O29" s="75"/>
      <c r="P29" s="74"/>
      <c r="Q29" s="75"/>
      <c r="R29" s="74"/>
      <c r="S29" s="75"/>
      <c r="T29" s="74"/>
      <c r="U29" s="75"/>
      <c r="V29" s="74"/>
      <c r="W29" s="75"/>
    </row>
    <row r="30" spans="1:25" x14ac:dyDescent="0.2">
      <c r="A30" s="30"/>
      <c r="B30" s="30"/>
      <c r="C30" s="30"/>
      <c r="D30" s="30"/>
      <c r="E30" s="30"/>
      <c r="F30" s="30"/>
      <c r="G30" s="30"/>
      <c r="H30" s="30"/>
      <c r="I30" s="30"/>
      <c r="J30" s="98"/>
      <c r="K30" s="97"/>
      <c r="L30" s="30"/>
      <c r="M30" s="30"/>
      <c r="N30" s="77" t="s">
        <v>72</v>
      </c>
      <c r="O30" s="78">
        <f>SUM(O26:O29)</f>
        <v>0</v>
      </c>
      <c r="P30" s="77" t="s">
        <v>72</v>
      </c>
      <c r="Q30" s="78">
        <f>SUM(Q26:Q29)</f>
        <v>0</v>
      </c>
      <c r="R30" s="77" t="s">
        <v>72</v>
      </c>
      <c r="S30" s="78">
        <f>SUM(S26:S29)</f>
        <v>0</v>
      </c>
      <c r="T30" s="77" t="s">
        <v>72</v>
      </c>
      <c r="U30" s="78">
        <f>SUM(U26:U29)</f>
        <v>0</v>
      </c>
      <c r="V30" s="77" t="s">
        <v>72</v>
      </c>
      <c r="W30" s="78">
        <f>SUM(W26:W29)</f>
        <v>0</v>
      </c>
    </row>
    <row r="31" spans="1:25" x14ac:dyDescent="0.2">
      <c r="A31" s="256" t="s">
        <v>102</v>
      </c>
      <c r="B31" s="257"/>
      <c r="C31" s="31"/>
      <c r="D31" s="31"/>
      <c r="E31" s="31"/>
      <c r="F31" s="31"/>
      <c r="G31" s="31"/>
      <c r="H31" s="32"/>
      <c r="I31" s="30"/>
      <c r="J31" s="49"/>
      <c r="K31" s="99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5" x14ac:dyDescent="0.2">
      <c r="A32" s="265" t="s">
        <v>7</v>
      </c>
      <c r="B32" s="259"/>
      <c r="C32" s="33">
        <v>70000</v>
      </c>
      <c r="D32" s="35"/>
      <c r="E32" s="35"/>
      <c r="F32" s="35"/>
      <c r="G32" s="35"/>
      <c r="H32" s="36"/>
      <c r="I32" s="30"/>
      <c r="J32" s="49"/>
      <c r="K32" s="99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</row>
    <row r="33" spans="1:23" x14ac:dyDescent="0.2">
      <c r="A33" s="265" t="s">
        <v>8</v>
      </c>
      <c r="B33" s="259"/>
      <c r="C33" s="37" t="s">
        <v>9</v>
      </c>
      <c r="D33" s="35"/>
      <c r="E33" s="38"/>
      <c r="F33" s="38"/>
      <c r="G33" s="38"/>
      <c r="H33" s="39" t="s">
        <v>10</v>
      </c>
      <c r="I33" s="30"/>
      <c r="J33" s="98"/>
      <c r="K33" s="97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spans="1:23" x14ac:dyDescent="0.2">
      <c r="A34" s="265" t="s">
        <v>103</v>
      </c>
      <c r="B34" s="259"/>
      <c r="C34" s="43">
        <v>14000</v>
      </c>
      <c r="D34" s="44"/>
      <c r="E34" s="266" t="s">
        <v>14</v>
      </c>
      <c r="F34" s="45" t="s">
        <v>15</v>
      </c>
      <c r="G34" s="43">
        <v>70000</v>
      </c>
      <c r="H34" s="46"/>
      <c r="I34" s="30"/>
      <c r="J34" s="98"/>
      <c r="K34" s="97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spans="1:23" x14ac:dyDescent="0.2">
      <c r="A35" s="265" t="s">
        <v>17</v>
      </c>
      <c r="B35" s="259"/>
      <c r="C35" s="43">
        <v>2</v>
      </c>
      <c r="D35" s="44"/>
      <c r="E35" s="261"/>
      <c r="F35" s="45" t="s">
        <v>18</v>
      </c>
      <c r="G35" s="43">
        <v>0</v>
      </c>
      <c r="H35" s="46"/>
      <c r="I35" s="30"/>
      <c r="J35" s="98"/>
      <c r="K35" s="97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3" x14ac:dyDescent="0.2">
      <c r="A36" s="265" t="s">
        <v>20</v>
      </c>
      <c r="B36" s="259"/>
      <c r="C36" s="43">
        <f>C34*C35</f>
        <v>28000</v>
      </c>
      <c r="D36" s="35"/>
      <c r="E36" s="54"/>
      <c r="F36" s="35"/>
      <c r="G36" s="44"/>
      <c r="H36" s="36"/>
      <c r="I36" s="30"/>
      <c r="J36" s="98"/>
      <c r="K36" s="97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spans="1:23" x14ac:dyDescent="0.2">
      <c r="A37" s="265" t="s">
        <v>22</v>
      </c>
      <c r="B37" s="259"/>
      <c r="C37" s="33">
        <f>C32+C36</f>
        <v>98000</v>
      </c>
      <c r="D37" s="35"/>
      <c r="E37" s="35"/>
      <c r="F37" s="35"/>
      <c r="G37" s="35"/>
      <c r="H37" s="36"/>
      <c r="I37" s="30"/>
      <c r="J37" s="98"/>
      <c r="K37" s="97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</row>
    <row r="38" spans="1:23" x14ac:dyDescent="0.2">
      <c r="A38" s="265" t="s">
        <v>104</v>
      </c>
      <c r="B38" s="259"/>
      <c r="C38" s="57">
        <v>12250</v>
      </c>
      <c r="D38" s="35" t="s">
        <v>105</v>
      </c>
      <c r="E38" s="35"/>
      <c r="F38" s="35"/>
      <c r="G38" s="35"/>
      <c r="H38" s="36"/>
      <c r="I38" s="30"/>
      <c r="J38" s="98"/>
      <c r="K38" s="97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3" x14ac:dyDescent="0.2">
      <c r="A39" s="265" t="s">
        <v>28</v>
      </c>
      <c r="B39" s="259"/>
      <c r="C39" s="58" t="s">
        <v>29</v>
      </c>
      <c r="D39" s="35"/>
      <c r="E39" s="35"/>
      <c r="F39" s="35"/>
      <c r="G39" s="35"/>
      <c r="H39" s="36"/>
      <c r="I39" s="30"/>
      <c r="J39" s="98"/>
      <c r="K39" s="97"/>
      <c r="L39" s="88"/>
      <c r="M39" s="88"/>
      <c r="N39" s="30"/>
      <c r="O39" s="30"/>
      <c r="P39" s="30"/>
      <c r="Q39" s="30"/>
      <c r="R39" s="30"/>
      <c r="S39" s="30"/>
      <c r="T39" s="30"/>
      <c r="U39" s="30"/>
      <c r="V39" s="30"/>
      <c r="W39" s="30"/>
    </row>
    <row r="40" spans="1:23" x14ac:dyDescent="0.2">
      <c r="A40" s="62" t="s">
        <v>31</v>
      </c>
      <c r="B40" s="63" t="s">
        <v>106</v>
      </c>
      <c r="C40" s="45" t="s">
        <v>33</v>
      </c>
      <c r="D40" s="45" t="s">
        <v>34</v>
      </c>
      <c r="E40" s="45" t="s">
        <v>35</v>
      </c>
      <c r="F40" s="45" t="s">
        <v>36</v>
      </c>
      <c r="G40" s="45" t="s">
        <v>37</v>
      </c>
      <c r="H40" s="36"/>
      <c r="I40" s="30"/>
      <c r="J40" s="49"/>
      <c r="K40" s="99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</row>
    <row r="41" spans="1:23" x14ac:dyDescent="0.2">
      <c r="A41" s="62">
        <v>0</v>
      </c>
      <c r="B41" s="65"/>
      <c r="C41" s="65"/>
      <c r="D41" s="65"/>
      <c r="E41" s="65"/>
      <c r="F41" s="65"/>
      <c r="G41" s="43">
        <f>C37</f>
        <v>98000</v>
      </c>
      <c r="H41" s="36"/>
      <c r="I41" s="30"/>
      <c r="J41" s="49"/>
      <c r="K41" s="99"/>
      <c r="L41" s="30"/>
      <c r="M41" s="53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spans="1:23" x14ac:dyDescent="0.2">
      <c r="A42" s="62">
        <v>1</v>
      </c>
      <c r="B42" s="100">
        <v>45667</v>
      </c>
      <c r="C42" s="43">
        <v>12250</v>
      </c>
      <c r="D42" s="43">
        <f t="shared" ref="D42:D45" si="3">C42/1.4</f>
        <v>8750</v>
      </c>
      <c r="E42" s="43">
        <f t="shared" ref="E42:E45" si="4">C42-D42</f>
        <v>3500</v>
      </c>
      <c r="F42" s="43" t="s">
        <v>41</v>
      </c>
      <c r="G42" s="43">
        <f t="shared" ref="G42:G49" si="5">(G41-C42)</f>
        <v>85750</v>
      </c>
      <c r="H42" s="36"/>
      <c r="I42" s="30"/>
      <c r="J42" s="101"/>
      <c r="K42" s="99"/>
      <c r="L42" s="30"/>
      <c r="M42" s="53"/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 spans="1:23" x14ac:dyDescent="0.2">
      <c r="A43" s="62">
        <v>2</v>
      </c>
      <c r="B43" s="100">
        <v>45674</v>
      </c>
      <c r="C43" s="43">
        <v>12250</v>
      </c>
      <c r="D43" s="43">
        <f t="shared" si="3"/>
        <v>8750</v>
      </c>
      <c r="E43" s="43">
        <f t="shared" si="4"/>
        <v>3500</v>
      </c>
      <c r="F43" s="43" t="s">
        <v>41</v>
      </c>
      <c r="G43" s="43">
        <f t="shared" si="5"/>
        <v>73500</v>
      </c>
      <c r="H43" s="36"/>
      <c r="I43" s="30"/>
      <c r="J43" s="49"/>
      <c r="K43" s="83"/>
      <c r="L43" s="30"/>
      <c r="M43" s="53"/>
      <c r="N43" s="30"/>
      <c r="O43" s="30"/>
      <c r="P43" s="30"/>
      <c r="Q43" s="30"/>
      <c r="R43" s="30"/>
      <c r="S43" s="30"/>
      <c r="T43" s="30"/>
      <c r="U43" s="30"/>
      <c r="V43" s="30"/>
      <c r="W43" s="30"/>
    </row>
    <row r="44" spans="1:23" x14ac:dyDescent="0.2">
      <c r="A44" s="62">
        <v>3</v>
      </c>
      <c r="B44" s="100">
        <v>45681</v>
      </c>
      <c r="C44" s="43">
        <v>12250</v>
      </c>
      <c r="D44" s="43">
        <f t="shared" si="3"/>
        <v>8750</v>
      </c>
      <c r="E44" s="43">
        <f t="shared" si="4"/>
        <v>3500</v>
      </c>
      <c r="F44" s="43" t="s">
        <v>41</v>
      </c>
      <c r="G44" s="43">
        <f t="shared" si="5"/>
        <v>61250</v>
      </c>
      <c r="H44" s="36"/>
      <c r="I44" s="30"/>
      <c r="J44" s="49"/>
      <c r="K44" s="83"/>
      <c r="L44" s="30"/>
      <c r="M44" s="53"/>
      <c r="N44" s="30"/>
      <c r="O44" s="30"/>
      <c r="P44" s="30"/>
      <c r="Q44" s="30"/>
      <c r="R44" s="30"/>
      <c r="S44" s="30"/>
      <c r="T44" s="30"/>
      <c r="U44" s="30"/>
      <c r="V44" s="30"/>
      <c r="W44" s="30"/>
    </row>
    <row r="45" spans="1:23" x14ac:dyDescent="0.2">
      <c r="A45" s="62">
        <v>4</v>
      </c>
      <c r="B45" s="100">
        <v>45685</v>
      </c>
      <c r="C45" s="43">
        <v>61250</v>
      </c>
      <c r="D45" s="43">
        <f t="shared" si="3"/>
        <v>43750</v>
      </c>
      <c r="E45" s="43">
        <f t="shared" si="4"/>
        <v>17500</v>
      </c>
      <c r="F45" s="43" t="s">
        <v>41</v>
      </c>
      <c r="G45" s="43">
        <f t="shared" si="5"/>
        <v>0</v>
      </c>
      <c r="H45" s="36"/>
      <c r="I45" s="30"/>
      <c r="J45" s="49" t="s">
        <v>72</v>
      </c>
      <c r="K45" s="102">
        <f>SUM(K21:K44)</f>
        <v>199250</v>
      </c>
      <c r="L45" s="30"/>
      <c r="M45" s="30"/>
      <c r="N45" s="80"/>
      <c r="O45" s="30"/>
      <c r="P45" s="30"/>
      <c r="Q45" s="30"/>
      <c r="R45" s="30"/>
      <c r="S45" s="30"/>
      <c r="T45" s="30"/>
      <c r="U45" s="30"/>
      <c r="V45" s="30"/>
      <c r="W45" s="30"/>
    </row>
    <row r="46" spans="1:23" x14ac:dyDescent="0.2">
      <c r="A46" s="62">
        <v>5</v>
      </c>
      <c r="B46" s="103"/>
      <c r="C46" s="43"/>
      <c r="D46" s="43"/>
      <c r="E46" s="43"/>
      <c r="F46" s="43" t="s">
        <v>107</v>
      </c>
      <c r="G46" s="43">
        <f t="shared" si="5"/>
        <v>0</v>
      </c>
      <c r="H46" s="36"/>
      <c r="I46" s="30"/>
      <c r="J46" s="80"/>
      <c r="K46" s="104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</row>
    <row r="47" spans="1:23" x14ac:dyDescent="0.2">
      <c r="A47" s="62">
        <v>6</v>
      </c>
      <c r="B47" s="103"/>
      <c r="C47" s="43"/>
      <c r="D47" s="43"/>
      <c r="E47" s="43"/>
      <c r="F47" s="43" t="s">
        <v>107</v>
      </c>
      <c r="G47" s="43">
        <f t="shared" si="5"/>
        <v>0</v>
      </c>
      <c r="H47" s="36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 spans="1:23" x14ac:dyDescent="0.2">
      <c r="A48" s="62">
        <v>7</v>
      </c>
      <c r="B48" s="103"/>
      <c r="C48" s="43"/>
      <c r="D48" s="43"/>
      <c r="E48" s="43"/>
      <c r="F48" s="43" t="s">
        <v>107</v>
      </c>
      <c r="G48" s="43">
        <f t="shared" si="5"/>
        <v>0</v>
      </c>
      <c r="H48" s="36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</row>
    <row r="49" spans="1:23" x14ac:dyDescent="0.2">
      <c r="A49" s="62">
        <v>8</v>
      </c>
      <c r="B49" s="103"/>
      <c r="C49" s="43"/>
      <c r="D49" s="43"/>
      <c r="E49" s="43"/>
      <c r="F49" s="43" t="s">
        <v>107</v>
      </c>
      <c r="G49" s="43">
        <f t="shared" si="5"/>
        <v>0</v>
      </c>
      <c r="H49" s="36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</row>
    <row r="50" spans="1:23" x14ac:dyDescent="0.2">
      <c r="A50" s="105"/>
      <c r="B50" s="103"/>
      <c r="C50" s="65"/>
      <c r="D50" s="65"/>
      <c r="E50" s="65"/>
      <c r="F50" s="65"/>
      <c r="G50" s="65"/>
      <c r="H50" s="36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</row>
    <row r="51" spans="1:23" x14ac:dyDescent="0.2">
      <c r="A51" s="105"/>
      <c r="B51" s="106"/>
      <c r="C51" s="65"/>
      <c r="D51" s="65"/>
      <c r="E51" s="65"/>
      <c r="F51" s="65"/>
      <c r="G51" s="65"/>
      <c r="H51" s="36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</row>
    <row r="52" spans="1:23" x14ac:dyDescent="0.2">
      <c r="A52" s="89"/>
      <c r="B52" s="90"/>
      <c r="C52" s="91"/>
      <c r="D52" s="92">
        <f>SUMIFS(D42:D51, F42:F51, "Y")</f>
        <v>70000</v>
      </c>
      <c r="E52" s="92">
        <f>SUMIFS(E42:E51, F42:F51, "Y")</f>
        <v>28000</v>
      </c>
      <c r="F52" s="92">
        <f>(SUMIFS(D42:D51, F42:F51, "Y") + SUMIFS(E42:E51, F42:F51, "Y"))</f>
        <v>98000</v>
      </c>
      <c r="G52" s="91"/>
      <c r="H52" s="93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</row>
    <row r="53" spans="1:2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107"/>
      <c r="K53" s="108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</row>
    <row r="54" spans="1:2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107"/>
      <c r="K54" s="109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</row>
    <row r="55" spans="1:2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107"/>
      <c r="K55" s="109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</row>
    <row r="56" spans="1:23" x14ac:dyDescent="0.2">
      <c r="A56" s="30"/>
      <c r="B56" s="30"/>
      <c r="C56" s="30"/>
      <c r="D56" s="30"/>
      <c r="E56" s="30"/>
      <c r="F56" s="30"/>
      <c r="G56" s="30"/>
      <c r="H56" s="30"/>
      <c r="I56" s="30"/>
      <c r="J56" s="107"/>
      <c r="K56" s="109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</row>
    <row r="57" spans="1:23" x14ac:dyDescent="0.2">
      <c r="A57" s="30"/>
      <c r="B57" s="30"/>
      <c r="C57" s="30"/>
      <c r="D57" s="30"/>
      <c r="E57" s="30"/>
      <c r="F57" s="30"/>
      <c r="G57" s="30"/>
      <c r="H57" s="30"/>
      <c r="I57" s="30"/>
      <c r="J57" s="107"/>
      <c r="K57" s="10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</row>
    <row r="58" spans="1:23" x14ac:dyDescent="0.2">
      <c r="A58" s="256" t="s">
        <v>108</v>
      </c>
      <c r="B58" s="257"/>
      <c r="C58" s="31"/>
      <c r="D58" s="31"/>
      <c r="E58" s="31"/>
      <c r="F58" s="31"/>
      <c r="G58" s="31"/>
      <c r="H58" s="32"/>
      <c r="I58" s="30"/>
      <c r="J58" s="107"/>
      <c r="K58" s="109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</row>
    <row r="59" spans="1:23" x14ac:dyDescent="0.2">
      <c r="A59" s="265" t="s">
        <v>7</v>
      </c>
      <c r="B59" s="259"/>
      <c r="C59" s="33">
        <v>20000</v>
      </c>
      <c r="D59" s="35"/>
      <c r="E59" s="35"/>
      <c r="F59" s="35"/>
      <c r="G59" s="35"/>
      <c r="H59" s="36"/>
      <c r="I59" s="30"/>
      <c r="J59" s="61"/>
      <c r="K59" s="10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</row>
    <row r="60" spans="1:23" x14ac:dyDescent="0.2">
      <c r="A60" s="265" t="s">
        <v>8</v>
      </c>
      <c r="B60" s="259"/>
      <c r="C60" s="37" t="s">
        <v>9</v>
      </c>
      <c r="D60" s="35"/>
      <c r="E60" s="38"/>
      <c r="F60" s="38"/>
      <c r="G60" s="38"/>
      <c r="H60" s="39" t="s">
        <v>10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</row>
    <row r="61" spans="1:23" x14ac:dyDescent="0.2">
      <c r="A61" s="265" t="s">
        <v>103</v>
      </c>
      <c r="B61" s="259"/>
      <c r="C61" s="43">
        <v>4000</v>
      </c>
      <c r="D61" s="44"/>
      <c r="E61" s="266" t="s">
        <v>14</v>
      </c>
      <c r="F61" s="45" t="s">
        <v>15</v>
      </c>
      <c r="G61" s="43">
        <v>20000</v>
      </c>
      <c r="H61" s="46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</row>
    <row r="62" spans="1:23" x14ac:dyDescent="0.2">
      <c r="A62" s="265" t="s">
        <v>17</v>
      </c>
      <c r="B62" s="259"/>
      <c r="C62" s="43">
        <v>2</v>
      </c>
      <c r="D62" s="44"/>
      <c r="E62" s="261"/>
      <c r="F62" s="45" t="s">
        <v>18</v>
      </c>
      <c r="G62" s="43">
        <v>0</v>
      </c>
      <c r="H62" s="46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 spans="1:23" x14ac:dyDescent="0.2">
      <c r="A63" s="265" t="s">
        <v>20</v>
      </c>
      <c r="B63" s="259"/>
      <c r="C63" s="43">
        <f>C61*C62</f>
        <v>8000</v>
      </c>
      <c r="D63" s="35"/>
      <c r="E63" s="54"/>
      <c r="F63" s="35"/>
      <c r="G63" s="44"/>
      <c r="H63" s="36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23" x14ac:dyDescent="0.2">
      <c r="A64" s="265" t="s">
        <v>22</v>
      </c>
      <c r="B64" s="259"/>
      <c r="C64" s="33">
        <f>C59+C63</f>
        <v>28000</v>
      </c>
      <c r="D64" s="35"/>
      <c r="E64" s="35"/>
      <c r="F64" s="35"/>
      <c r="G64" s="35"/>
      <c r="H64" s="36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 spans="1:23" x14ac:dyDescent="0.2">
      <c r="A65" s="265" t="s">
        <v>109</v>
      </c>
      <c r="B65" s="259"/>
      <c r="C65" s="57">
        <v>3500</v>
      </c>
      <c r="D65" s="35" t="s">
        <v>105</v>
      </c>
      <c r="E65" s="35"/>
      <c r="F65" s="35"/>
      <c r="G65" s="35"/>
      <c r="H65" s="36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 spans="1:23" x14ac:dyDescent="0.2">
      <c r="A66" s="265" t="s">
        <v>28</v>
      </c>
      <c r="B66" s="259"/>
      <c r="C66" s="58" t="s">
        <v>29</v>
      </c>
      <c r="D66" s="35"/>
      <c r="E66" s="35"/>
      <c r="F66" s="35"/>
      <c r="G66" s="35"/>
      <c r="H66" s="36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</row>
    <row r="67" spans="1:23" x14ac:dyDescent="0.2">
      <c r="A67" s="62" t="s">
        <v>31</v>
      </c>
      <c r="B67" s="63" t="s">
        <v>106</v>
      </c>
      <c r="C67" s="45" t="s">
        <v>33</v>
      </c>
      <c r="D67" s="45" t="s">
        <v>34</v>
      </c>
      <c r="E67" s="45" t="s">
        <v>35</v>
      </c>
      <c r="F67" s="45" t="s">
        <v>36</v>
      </c>
      <c r="G67" s="45" t="s">
        <v>37</v>
      </c>
      <c r="H67" s="36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spans="1:23" x14ac:dyDescent="0.2">
      <c r="A68" s="62">
        <v>0</v>
      </c>
      <c r="B68" s="65"/>
      <c r="C68" s="65"/>
      <c r="D68" s="65"/>
      <c r="E68" s="65"/>
      <c r="F68" s="65"/>
      <c r="G68" s="43">
        <f>C64</f>
        <v>28000</v>
      </c>
      <c r="H68" s="36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</row>
    <row r="69" spans="1:23" x14ac:dyDescent="0.2">
      <c r="A69" s="62">
        <v>1</v>
      </c>
      <c r="B69" s="100">
        <v>45667</v>
      </c>
      <c r="C69" s="43">
        <v>3500</v>
      </c>
      <c r="D69" s="43">
        <f t="shared" ref="D69:D76" si="6">C69/1.4</f>
        <v>2500</v>
      </c>
      <c r="E69" s="43">
        <f t="shared" ref="E69:E76" si="7">C69-D69</f>
        <v>1000</v>
      </c>
      <c r="F69" s="43" t="s">
        <v>41</v>
      </c>
      <c r="G69" s="43">
        <f t="shared" ref="G69:G76" si="8">(G68-C69)</f>
        <v>24500</v>
      </c>
      <c r="H69" s="36"/>
      <c r="I69" s="8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spans="1:23" x14ac:dyDescent="0.2">
      <c r="A70" s="62">
        <v>2</v>
      </c>
      <c r="B70" s="100">
        <v>45674</v>
      </c>
      <c r="C70" s="43">
        <v>3500</v>
      </c>
      <c r="D70" s="43">
        <f t="shared" si="6"/>
        <v>2500</v>
      </c>
      <c r="E70" s="43">
        <f t="shared" si="7"/>
        <v>1000</v>
      </c>
      <c r="F70" s="43" t="s">
        <v>41</v>
      </c>
      <c r="G70" s="43">
        <f t="shared" si="8"/>
        <v>21000</v>
      </c>
      <c r="H70" s="36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</row>
    <row r="71" spans="1:23" x14ac:dyDescent="0.2">
      <c r="A71" s="62">
        <v>3</v>
      </c>
      <c r="B71" s="100">
        <v>45685</v>
      </c>
      <c r="C71" s="43">
        <v>3500</v>
      </c>
      <c r="D71" s="43">
        <f t="shared" si="6"/>
        <v>2500</v>
      </c>
      <c r="E71" s="43">
        <f t="shared" si="7"/>
        <v>1000</v>
      </c>
      <c r="F71" s="43" t="s">
        <v>41</v>
      </c>
      <c r="G71" s="43">
        <f t="shared" si="8"/>
        <v>17500</v>
      </c>
      <c r="H71" s="36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  <row r="72" spans="1:23" x14ac:dyDescent="0.2">
      <c r="A72" s="62">
        <v>4</v>
      </c>
      <c r="B72" s="100">
        <v>45691</v>
      </c>
      <c r="C72" s="43">
        <v>3500</v>
      </c>
      <c r="D72" s="43">
        <f t="shared" si="6"/>
        <v>2500</v>
      </c>
      <c r="E72" s="43">
        <f t="shared" si="7"/>
        <v>1000</v>
      </c>
      <c r="F72" s="43" t="s">
        <v>41</v>
      </c>
      <c r="G72" s="43">
        <f t="shared" si="8"/>
        <v>14000</v>
      </c>
      <c r="H72" s="36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</row>
    <row r="73" spans="1:23" x14ac:dyDescent="0.2">
      <c r="A73" s="62">
        <v>5</v>
      </c>
      <c r="B73" s="103">
        <v>45698</v>
      </c>
      <c r="C73" s="43">
        <v>3500</v>
      </c>
      <c r="D73" s="43">
        <f t="shared" si="6"/>
        <v>2500</v>
      </c>
      <c r="E73" s="43">
        <f t="shared" si="7"/>
        <v>1000</v>
      </c>
      <c r="F73" s="43" t="s">
        <v>41</v>
      </c>
      <c r="G73" s="43">
        <f t="shared" si="8"/>
        <v>10500</v>
      </c>
      <c r="H73" s="36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</row>
    <row r="74" spans="1:23" x14ac:dyDescent="0.2">
      <c r="A74" s="62">
        <v>6</v>
      </c>
      <c r="B74" s="103">
        <v>45705</v>
      </c>
      <c r="C74" s="43">
        <v>3500</v>
      </c>
      <c r="D74" s="43">
        <f t="shared" si="6"/>
        <v>2500</v>
      </c>
      <c r="E74" s="43">
        <f t="shared" si="7"/>
        <v>1000</v>
      </c>
      <c r="F74" s="43" t="s">
        <v>41</v>
      </c>
      <c r="G74" s="43">
        <f t="shared" si="8"/>
        <v>7000</v>
      </c>
      <c r="H74" s="36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</row>
    <row r="75" spans="1:23" x14ac:dyDescent="0.2">
      <c r="A75" s="62">
        <v>7</v>
      </c>
      <c r="B75" s="103">
        <v>45712</v>
      </c>
      <c r="C75" s="43">
        <v>3500</v>
      </c>
      <c r="D75" s="43">
        <f t="shared" si="6"/>
        <v>2500</v>
      </c>
      <c r="E75" s="43">
        <f t="shared" si="7"/>
        <v>1000</v>
      </c>
      <c r="F75" s="43" t="s">
        <v>41</v>
      </c>
      <c r="G75" s="43">
        <f t="shared" si="8"/>
        <v>3500</v>
      </c>
      <c r="H75" s="36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</row>
    <row r="76" spans="1:23" x14ac:dyDescent="0.2">
      <c r="A76" s="62">
        <v>8</v>
      </c>
      <c r="B76" s="103">
        <v>45719</v>
      </c>
      <c r="C76" s="43">
        <v>3500</v>
      </c>
      <c r="D76" s="43">
        <f t="shared" si="6"/>
        <v>2500</v>
      </c>
      <c r="E76" s="43">
        <f t="shared" si="7"/>
        <v>1000</v>
      </c>
      <c r="F76" s="43" t="s">
        <v>41</v>
      </c>
      <c r="G76" s="43">
        <f t="shared" si="8"/>
        <v>0</v>
      </c>
      <c r="H76" s="36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</row>
    <row r="77" spans="1:23" x14ac:dyDescent="0.2">
      <c r="A77" s="62">
        <v>9</v>
      </c>
      <c r="B77" s="103"/>
      <c r="C77" s="65"/>
      <c r="D77" s="43"/>
      <c r="E77" s="43"/>
      <c r="F77" s="65"/>
      <c r="G77" s="65"/>
      <c r="H77" s="36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spans="1:23" x14ac:dyDescent="0.2">
      <c r="A78" s="62">
        <v>10</v>
      </c>
      <c r="B78" s="106"/>
      <c r="C78" s="65"/>
      <c r="D78" s="43"/>
      <c r="E78" s="43"/>
      <c r="F78" s="65"/>
      <c r="G78" s="65"/>
      <c r="H78" s="36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</row>
    <row r="79" spans="1:23" x14ac:dyDescent="0.2">
      <c r="A79" s="89"/>
      <c r="B79" s="90"/>
      <c r="C79" s="91"/>
      <c r="D79" s="92">
        <f>SUMIFS(D69:D78, F69:F78, "Y")</f>
        <v>20000</v>
      </c>
      <c r="E79" s="92">
        <f>SUMIFS(E69:E78, F69:F78, "Y")</f>
        <v>8000</v>
      </c>
      <c r="F79" s="92">
        <f>(SUMIFS(D69:D78, F69:F78, "Y") + SUMIFS(E69:E78, F69:F78, "Y"))</f>
        <v>28000</v>
      </c>
      <c r="G79" s="91"/>
      <c r="H79" s="9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 spans="1:23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</row>
    <row r="81" spans="1:23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 spans="1:23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</row>
    <row r="83" spans="1:23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spans="1:23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</row>
    <row r="85" spans="1:23" x14ac:dyDescent="0.2">
      <c r="A85" s="256" t="s">
        <v>110</v>
      </c>
      <c r="B85" s="257"/>
      <c r="C85" s="31"/>
      <c r="D85" s="31"/>
      <c r="E85" s="31"/>
      <c r="F85" s="31"/>
      <c r="G85" s="31"/>
      <c r="H85" s="32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 spans="1:23" x14ac:dyDescent="0.2">
      <c r="A86" s="265" t="s">
        <v>7</v>
      </c>
      <c r="B86" s="259"/>
      <c r="C86" s="33">
        <v>20000</v>
      </c>
      <c r="D86" s="34" t="s">
        <v>111</v>
      </c>
      <c r="E86" s="35"/>
      <c r="F86" s="35"/>
      <c r="G86" s="35"/>
      <c r="H86" s="36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</row>
    <row r="87" spans="1:23" x14ac:dyDescent="0.2">
      <c r="A87" s="265" t="s">
        <v>8</v>
      </c>
      <c r="B87" s="259"/>
      <c r="C87" s="37" t="s">
        <v>112</v>
      </c>
      <c r="D87" s="35"/>
      <c r="E87" s="38"/>
      <c r="F87" s="38"/>
      <c r="G87" s="38"/>
      <c r="H87" s="39" t="s">
        <v>10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</row>
    <row r="88" spans="1:23" x14ac:dyDescent="0.2">
      <c r="A88" s="265" t="s">
        <v>103</v>
      </c>
      <c r="B88" s="259"/>
      <c r="C88" s="43">
        <v>4000</v>
      </c>
      <c r="D88" s="44"/>
      <c r="E88" s="266" t="s">
        <v>14</v>
      </c>
      <c r="F88" s="45" t="s">
        <v>15</v>
      </c>
      <c r="G88" s="43">
        <v>20000</v>
      </c>
      <c r="H88" s="46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</row>
    <row r="89" spans="1:23" x14ac:dyDescent="0.2">
      <c r="A89" s="265" t="s">
        <v>17</v>
      </c>
      <c r="B89" s="259"/>
      <c r="C89" s="43">
        <v>2</v>
      </c>
      <c r="D89" s="44"/>
      <c r="E89" s="261"/>
      <c r="F89" s="45" t="s">
        <v>18</v>
      </c>
      <c r="G89" s="43">
        <v>0</v>
      </c>
      <c r="H89" s="46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</row>
    <row r="90" spans="1:23" x14ac:dyDescent="0.2">
      <c r="A90" s="265" t="s">
        <v>20</v>
      </c>
      <c r="B90" s="259"/>
      <c r="C90" s="43">
        <f>C88*C89</f>
        <v>8000</v>
      </c>
      <c r="D90" s="35"/>
      <c r="E90" s="54"/>
      <c r="F90" s="35"/>
      <c r="G90" s="44"/>
      <c r="H90" s="36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</row>
    <row r="91" spans="1:23" x14ac:dyDescent="0.2">
      <c r="A91" s="265" t="s">
        <v>22</v>
      </c>
      <c r="B91" s="259"/>
      <c r="C91" s="33">
        <f>C86+C90</f>
        <v>28000</v>
      </c>
      <c r="D91" s="35"/>
      <c r="E91" s="35"/>
      <c r="F91" s="35"/>
      <c r="G91" s="35"/>
      <c r="H91" s="36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</row>
    <row r="92" spans="1:23" x14ac:dyDescent="0.2">
      <c r="A92" s="265" t="s">
        <v>24</v>
      </c>
      <c r="B92" s="259"/>
      <c r="C92" s="57">
        <v>480</v>
      </c>
      <c r="D92" s="35" t="s">
        <v>113</v>
      </c>
      <c r="E92" s="35"/>
      <c r="F92" s="35" t="s">
        <v>114</v>
      </c>
      <c r="G92" s="35"/>
      <c r="H92" s="36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</row>
    <row r="93" spans="1:23" x14ac:dyDescent="0.2">
      <c r="A93" s="265" t="s">
        <v>28</v>
      </c>
      <c r="B93" s="259"/>
      <c r="C93" s="58" t="s">
        <v>29</v>
      </c>
      <c r="D93" s="35"/>
      <c r="E93" s="35"/>
      <c r="F93" s="35"/>
      <c r="G93" s="35"/>
      <c r="H93" s="36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</row>
    <row r="94" spans="1:23" x14ac:dyDescent="0.2">
      <c r="A94" s="62" t="s">
        <v>31</v>
      </c>
      <c r="B94" s="63" t="s">
        <v>106</v>
      </c>
      <c r="C94" s="45" t="s">
        <v>33</v>
      </c>
      <c r="D94" s="45" t="s">
        <v>34</v>
      </c>
      <c r="E94" s="45" t="s">
        <v>35</v>
      </c>
      <c r="F94" s="45" t="s">
        <v>36</v>
      </c>
      <c r="G94" s="45" t="s">
        <v>37</v>
      </c>
      <c r="H94" s="36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</row>
    <row r="95" spans="1:23" x14ac:dyDescent="0.2">
      <c r="A95" s="62">
        <v>0</v>
      </c>
      <c r="B95" s="65"/>
      <c r="C95" s="65"/>
      <c r="D95" s="65"/>
      <c r="E95" s="65"/>
      <c r="F95" s="65"/>
      <c r="G95" s="43">
        <f>C91</f>
        <v>28000</v>
      </c>
      <c r="H95" s="36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</row>
    <row r="96" spans="1:23" x14ac:dyDescent="0.2">
      <c r="A96" s="62">
        <v>1</v>
      </c>
      <c r="B96" s="45" t="s">
        <v>115</v>
      </c>
      <c r="C96" s="43">
        <v>1920</v>
      </c>
      <c r="D96" s="43">
        <f t="shared" ref="D96:D101" si="9">C96/1.4</f>
        <v>1371.4285714285716</v>
      </c>
      <c r="E96" s="43">
        <f t="shared" ref="E96:E101" si="10">C96-D96</f>
        <v>548.57142857142844</v>
      </c>
      <c r="F96" s="43" t="s">
        <v>41</v>
      </c>
      <c r="G96" s="43">
        <f t="shared" ref="G96:G103" si="11">(G95-C96)</f>
        <v>26080</v>
      </c>
      <c r="H96" s="36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</row>
    <row r="97" spans="1:23" x14ac:dyDescent="0.2">
      <c r="A97" s="62">
        <v>2</v>
      </c>
      <c r="B97" s="45" t="s">
        <v>116</v>
      </c>
      <c r="C97" s="43">
        <v>2400</v>
      </c>
      <c r="D97" s="43">
        <f t="shared" si="9"/>
        <v>1714.2857142857144</v>
      </c>
      <c r="E97" s="43">
        <f t="shared" si="10"/>
        <v>685.71428571428555</v>
      </c>
      <c r="F97" s="43" t="s">
        <v>41</v>
      </c>
      <c r="G97" s="43">
        <f t="shared" si="11"/>
        <v>23680</v>
      </c>
      <c r="H97" s="36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spans="1:23" x14ac:dyDescent="0.2">
      <c r="A98" s="62">
        <v>3</v>
      </c>
      <c r="B98" s="45" t="s">
        <v>117</v>
      </c>
      <c r="C98" s="43">
        <v>1920</v>
      </c>
      <c r="D98" s="43">
        <f t="shared" si="9"/>
        <v>1371.4285714285716</v>
      </c>
      <c r="E98" s="43">
        <f t="shared" si="10"/>
        <v>548.57142857142844</v>
      </c>
      <c r="F98" s="43" t="s">
        <v>41</v>
      </c>
      <c r="G98" s="43">
        <f t="shared" si="11"/>
        <v>21760</v>
      </c>
      <c r="H98" s="36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</row>
    <row r="99" spans="1:23" x14ac:dyDescent="0.2">
      <c r="A99" s="62">
        <v>4</v>
      </c>
      <c r="B99" s="45" t="s">
        <v>118</v>
      </c>
      <c r="C99" s="43">
        <v>3360</v>
      </c>
      <c r="D99" s="43">
        <f t="shared" si="9"/>
        <v>2400</v>
      </c>
      <c r="E99" s="43">
        <f t="shared" si="10"/>
        <v>960</v>
      </c>
      <c r="F99" s="43" t="s">
        <v>41</v>
      </c>
      <c r="G99" s="43">
        <f t="shared" si="11"/>
        <v>18400</v>
      </c>
      <c r="H99" s="36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</row>
    <row r="100" spans="1:23" x14ac:dyDescent="0.2">
      <c r="A100" s="62">
        <v>5</v>
      </c>
      <c r="B100" s="45" t="s">
        <v>119</v>
      </c>
      <c r="C100" s="43">
        <v>2880</v>
      </c>
      <c r="D100" s="43">
        <f t="shared" si="9"/>
        <v>2057.1428571428573</v>
      </c>
      <c r="E100" s="43">
        <f t="shared" si="10"/>
        <v>822.85714285714266</v>
      </c>
      <c r="F100" s="43" t="s">
        <v>41</v>
      </c>
      <c r="G100" s="43">
        <f t="shared" si="11"/>
        <v>15520</v>
      </c>
      <c r="H100" s="36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</row>
    <row r="101" spans="1:23" x14ac:dyDescent="0.2">
      <c r="A101" s="62">
        <v>6</v>
      </c>
      <c r="B101" s="45" t="s">
        <v>120</v>
      </c>
      <c r="C101" s="43">
        <v>15520</v>
      </c>
      <c r="D101" s="43">
        <f t="shared" si="9"/>
        <v>11085.714285714286</v>
      </c>
      <c r="E101" s="43">
        <f t="shared" si="10"/>
        <v>4434.2857142857138</v>
      </c>
      <c r="F101" s="43" t="s">
        <v>41</v>
      </c>
      <c r="G101" s="43">
        <f t="shared" si="11"/>
        <v>0</v>
      </c>
      <c r="H101" s="36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</row>
    <row r="102" spans="1:23" x14ac:dyDescent="0.2">
      <c r="A102" s="62">
        <v>7</v>
      </c>
      <c r="B102" s="103"/>
      <c r="C102" s="43"/>
      <c r="D102" s="43"/>
      <c r="E102" s="43"/>
      <c r="F102" s="43" t="s">
        <v>107</v>
      </c>
      <c r="G102" s="43">
        <f t="shared" si="11"/>
        <v>0</v>
      </c>
      <c r="H102" s="36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</row>
    <row r="103" spans="1:23" x14ac:dyDescent="0.2">
      <c r="A103" s="62">
        <v>8</v>
      </c>
      <c r="B103" s="103"/>
      <c r="C103" s="43"/>
      <c r="D103" s="43"/>
      <c r="E103" s="43"/>
      <c r="F103" s="43" t="s">
        <v>107</v>
      </c>
      <c r="G103" s="43">
        <f t="shared" si="11"/>
        <v>0</v>
      </c>
      <c r="H103" s="36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 spans="1:23" x14ac:dyDescent="0.2">
      <c r="A104" s="105"/>
      <c r="B104" s="106"/>
      <c r="C104" s="65"/>
      <c r="D104" s="65"/>
      <c r="E104" s="65"/>
      <c r="F104" s="65"/>
      <c r="G104" s="65"/>
      <c r="H104" s="36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</row>
    <row r="105" spans="1:23" x14ac:dyDescent="0.2">
      <c r="A105" s="105"/>
      <c r="B105" s="106"/>
      <c r="C105" s="65"/>
      <c r="D105" s="65"/>
      <c r="E105" s="65"/>
      <c r="F105" s="65"/>
      <c r="G105" s="65"/>
      <c r="H105" s="36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</row>
    <row r="106" spans="1:23" x14ac:dyDescent="0.2">
      <c r="A106" s="89"/>
      <c r="B106" s="90"/>
      <c r="C106" s="91"/>
      <c r="D106" s="92">
        <f>SUMIFS(D96:D105, F96:F105, "Y")</f>
        <v>20000</v>
      </c>
      <c r="E106" s="92">
        <f>SUMIFS(E96:E105, F96:F105, "Y")</f>
        <v>7999.9999999999982</v>
      </c>
      <c r="F106" s="92">
        <f>(SUMIFS(D96:D105, F96:F105, "Y") + SUMIFS(E96:E105, F96:F105, "Y"))</f>
        <v>28000</v>
      </c>
      <c r="G106" s="91"/>
      <c r="H106" s="9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</row>
    <row r="107" spans="1:23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</row>
    <row r="108" spans="1:23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</row>
    <row r="109" spans="1:23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</row>
    <row r="110" spans="1:23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</row>
    <row r="111" spans="1:23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</row>
    <row r="112" spans="1:23" x14ac:dyDescent="0.2">
      <c r="A112" s="256" t="s">
        <v>121</v>
      </c>
      <c r="B112" s="257"/>
      <c r="C112" s="31"/>
      <c r="D112" s="31"/>
      <c r="E112" s="31"/>
      <c r="F112" s="31"/>
      <c r="G112" s="31"/>
      <c r="H112" s="32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pans="1:23" x14ac:dyDescent="0.2">
      <c r="A113" s="265" t="s">
        <v>7</v>
      </c>
      <c r="B113" s="259"/>
      <c r="C113" s="33">
        <v>30000</v>
      </c>
      <c r="D113" s="110" t="s">
        <v>122</v>
      </c>
      <c r="E113" s="35"/>
      <c r="F113" s="35"/>
      <c r="G113" s="35"/>
      <c r="H113" s="36"/>
      <c r="I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pans="1:23" x14ac:dyDescent="0.2">
      <c r="A114" s="265" t="s">
        <v>8</v>
      </c>
      <c r="B114" s="259"/>
      <c r="C114" s="37" t="s">
        <v>123</v>
      </c>
      <c r="D114" s="35"/>
      <c r="E114" s="38"/>
      <c r="F114" s="38"/>
      <c r="G114" s="38"/>
      <c r="H114" s="39" t="s">
        <v>10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 x14ac:dyDescent="0.2">
      <c r="A115" s="265" t="s">
        <v>103</v>
      </c>
      <c r="B115" s="259"/>
      <c r="C115" s="43">
        <v>6000</v>
      </c>
      <c r="D115" s="44"/>
      <c r="E115" s="266" t="s">
        <v>14</v>
      </c>
      <c r="F115" s="45" t="s">
        <v>15</v>
      </c>
      <c r="G115" s="43">
        <v>0</v>
      </c>
      <c r="H115" s="46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</row>
    <row r="116" spans="1:23" x14ac:dyDescent="0.2">
      <c r="A116" s="265" t="s">
        <v>17</v>
      </c>
      <c r="B116" s="259"/>
      <c r="C116" s="43">
        <v>2</v>
      </c>
      <c r="D116" s="44"/>
      <c r="E116" s="261"/>
      <c r="F116" s="45" t="s">
        <v>18</v>
      </c>
      <c r="G116" s="43">
        <v>30000</v>
      </c>
      <c r="H116" s="46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</row>
    <row r="117" spans="1:23" x14ac:dyDescent="0.2">
      <c r="A117" s="265" t="s">
        <v>20</v>
      </c>
      <c r="B117" s="259"/>
      <c r="C117" s="43">
        <f>C115*C116</f>
        <v>12000</v>
      </c>
      <c r="D117" s="35"/>
      <c r="E117" s="54"/>
      <c r="F117" s="35"/>
      <c r="G117" s="44"/>
      <c r="H117" s="36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</row>
    <row r="118" spans="1:23" x14ac:dyDescent="0.2">
      <c r="A118" s="265" t="s">
        <v>22</v>
      </c>
      <c r="B118" s="259"/>
      <c r="C118" s="33">
        <f>C113+C117</f>
        <v>42000</v>
      </c>
      <c r="D118" s="35"/>
      <c r="E118" s="35"/>
      <c r="F118" s="35"/>
      <c r="G118" s="35"/>
      <c r="H118" s="36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</row>
    <row r="119" spans="1:23" x14ac:dyDescent="0.2">
      <c r="A119" s="265" t="s">
        <v>124</v>
      </c>
      <c r="B119" s="259"/>
      <c r="C119" s="57">
        <v>5250</v>
      </c>
      <c r="D119" s="35" t="s">
        <v>125</v>
      </c>
      <c r="E119" s="35"/>
      <c r="F119" s="35"/>
      <c r="G119" s="35"/>
      <c r="H119" s="36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</row>
    <row r="120" spans="1:23" x14ac:dyDescent="0.2">
      <c r="A120" s="265" t="s">
        <v>28</v>
      </c>
      <c r="B120" s="259"/>
      <c r="C120" s="58" t="s">
        <v>29</v>
      </c>
      <c r="D120" s="35"/>
      <c r="E120" s="35"/>
      <c r="F120" s="35"/>
      <c r="G120" s="35"/>
      <c r="H120" s="36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</row>
    <row r="121" spans="1:23" x14ac:dyDescent="0.2">
      <c r="A121" s="62" t="s">
        <v>31</v>
      </c>
      <c r="B121" s="63" t="s">
        <v>106</v>
      </c>
      <c r="C121" s="45" t="s">
        <v>33</v>
      </c>
      <c r="D121" s="45" t="s">
        <v>34</v>
      </c>
      <c r="E121" s="45" t="s">
        <v>35</v>
      </c>
      <c r="F121" s="45" t="s">
        <v>36</v>
      </c>
      <c r="G121" s="45" t="s">
        <v>37</v>
      </c>
      <c r="H121" s="36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</row>
    <row r="122" spans="1:23" x14ac:dyDescent="0.2">
      <c r="A122" s="62">
        <v>0</v>
      </c>
      <c r="B122" s="65"/>
      <c r="C122" s="65"/>
      <c r="D122" s="65"/>
      <c r="E122" s="65"/>
      <c r="F122" s="65"/>
      <c r="G122" s="43">
        <f>C118</f>
        <v>42000</v>
      </c>
      <c r="H122" s="36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</row>
    <row r="123" spans="1:23" x14ac:dyDescent="0.2">
      <c r="A123" s="62">
        <v>1</v>
      </c>
      <c r="B123" s="45" t="s">
        <v>126</v>
      </c>
      <c r="C123" s="43">
        <v>5250</v>
      </c>
      <c r="D123" s="43">
        <f t="shared" ref="D123:D130" si="12">C123/1.4</f>
        <v>3750.0000000000005</v>
      </c>
      <c r="E123" s="43">
        <f t="shared" ref="E123:E130" si="13">C123-D123</f>
        <v>1499.9999999999995</v>
      </c>
      <c r="F123" s="43" t="s">
        <v>41</v>
      </c>
      <c r="G123" s="43">
        <f t="shared" ref="G123:G130" si="14">(G122-C123)</f>
        <v>36750</v>
      </c>
      <c r="H123" s="36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</row>
    <row r="124" spans="1:23" x14ac:dyDescent="0.2">
      <c r="A124" s="62">
        <v>2</v>
      </c>
      <c r="B124" s="45" t="s">
        <v>127</v>
      </c>
      <c r="C124" s="43">
        <v>5250</v>
      </c>
      <c r="D124" s="43">
        <f t="shared" si="12"/>
        <v>3750.0000000000005</v>
      </c>
      <c r="E124" s="43">
        <f t="shared" si="13"/>
        <v>1499.9999999999995</v>
      </c>
      <c r="F124" s="43" t="s">
        <v>41</v>
      </c>
      <c r="G124" s="43">
        <f t="shared" si="14"/>
        <v>31500</v>
      </c>
      <c r="H124" s="36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</row>
    <row r="125" spans="1:23" x14ac:dyDescent="0.2">
      <c r="A125" s="62">
        <v>3</v>
      </c>
      <c r="B125" s="45" t="s">
        <v>128</v>
      </c>
      <c r="C125" s="43">
        <v>5250</v>
      </c>
      <c r="D125" s="43">
        <f t="shared" si="12"/>
        <v>3750.0000000000005</v>
      </c>
      <c r="E125" s="43">
        <f t="shared" si="13"/>
        <v>1499.9999999999995</v>
      </c>
      <c r="F125" s="43" t="s">
        <v>41</v>
      </c>
      <c r="G125" s="43">
        <f t="shared" si="14"/>
        <v>26250</v>
      </c>
      <c r="H125" s="36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</row>
    <row r="126" spans="1:23" x14ac:dyDescent="0.2">
      <c r="A126" s="62">
        <v>4</v>
      </c>
      <c r="B126" s="45" t="s">
        <v>129</v>
      </c>
      <c r="C126" s="43">
        <v>5250</v>
      </c>
      <c r="D126" s="43">
        <f t="shared" si="12"/>
        <v>3750.0000000000005</v>
      </c>
      <c r="E126" s="43">
        <f t="shared" si="13"/>
        <v>1499.9999999999995</v>
      </c>
      <c r="F126" s="43" t="s">
        <v>41</v>
      </c>
      <c r="G126" s="43">
        <f t="shared" si="14"/>
        <v>21000</v>
      </c>
      <c r="H126" s="36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</row>
    <row r="127" spans="1:23" x14ac:dyDescent="0.2">
      <c r="A127" s="62">
        <v>5</v>
      </c>
      <c r="B127" s="45" t="s">
        <v>130</v>
      </c>
      <c r="C127" s="43">
        <v>5250</v>
      </c>
      <c r="D127" s="43">
        <f t="shared" si="12"/>
        <v>3750.0000000000005</v>
      </c>
      <c r="E127" s="43">
        <f t="shared" si="13"/>
        <v>1499.9999999999995</v>
      </c>
      <c r="F127" s="43" t="s">
        <v>41</v>
      </c>
      <c r="G127" s="43">
        <f t="shared" si="14"/>
        <v>15750</v>
      </c>
      <c r="H127" s="36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</row>
    <row r="128" spans="1:23" x14ac:dyDescent="0.2">
      <c r="A128" s="62">
        <v>6</v>
      </c>
      <c r="B128" s="45" t="s">
        <v>131</v>
      </c>
      <c r="C128" s="43">
        <v>5250</v>
      </c>
      <c r="D128" s="43">
        <f t="shared" si="12"/>
        <v>3750.0000000000005</v>
      </c>
      <c r="E128" s="43">
        <f t="shared" si="13"/>
        <v>1499.9999999999995</v>
      </c>
      <c r="F128" s="43" t="s">
        <v>41</v>
      </c>
      <c r="G128" s="43">
        <f t="shared" si="14"/>
        <v>10500</v>
      </c>
      <c r="H128" s="36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</row>
    <row r="129" spans="1:23" x14ac:dyDescent="0.2">
      <c r="A129" s="62">
        <v>7</v>
      </c>
      <c r="B129" s="45" t="s">
        <v>132</v>
      </c>
      <c r="C129" s="43">
        <v>5250</v>
      </c>
      <c r="D129" s="43">
        <f t="shared" si="12"/>
        <v>3750.0000000000005</v>
      </c>
      <c r="E129" s="43">
        <f t="shared" si="13"/>
        <v>1499.9999999999995</v>
      </c>
      <c r="F129" s="43" t="s">
        <v>41</v>
      </c>
      <c r="G129" s="43">
        <f t="shared" si="14"/>
        <v>5250</v>
      </c>
      <c r="H129" s="36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</row>
    <row r="130" spans="1:23" x14ac:dyDescent="0.2">
      <c r="A130" s="62">
        <v>8</v>
      </c>
      <c r="B130" s="45" t="s">
        <v>133</v>
      </c>
      <c r="C130" s="43">
        <v>5250</v>
      </c>
      <c r="D130" s="43">
        <f t="shared" si="12"/>
        <v>3750.0000000000005</v>
      </c>
      <c r="E130" s="43">
        <f t="shared" si="13"/>
        <v>1499.9999999999995</v>
      </c>
      <c r="F130" s="43" t="s">
        <v>41</v>
      </c>
      <c r="G130" s="43">
        <f t="shared" si="14"/>
        <v>0</v>
      </c>
      <c r="H130" s="36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</row>
    <row r="131" spans="1:23" x14ac:dyDescent="0.2">
      <c r="A131" s="62">
        <v>9</v>
      </c>
      <c r="B131" s="106"/>
      <c r="C131" s="65"/>
      <c r="D131" s="65"/>
      <c r="E131" s="65"/>
      <c r="F131" s="65"/>
      <c r="G131" s="65"/>
      <c r="H131" s="36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</row>
    <row r="132" spans="1:23" x14ac:dyDescent="0.2">
      <c r="A132" s="62">
        <v>10</v>
      </c>
      <c r="B132" s="106"/>
      <c r="C132" s="65"/>
      <c r="D132" s="65"/>
      <c r="E132" s="65"/>
      <c r="F132" s="65"/>
      <c r="G132" s="65"/>
      <c r="H132" s="36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</row>
    <row r="133" spans="1:23" x14ac:dyDescent="0.2">
      <c r="A133" s="89"/>
      <c r="B133" s="90"/>
      <c r="C133" s="91"/>
      <c r="D133" s="92">
        <f>SUMIFS(D123:D132, F123:F132, "Y")</f>
        <v>30000.000000000004</v>
      </c>
      <c r="E133" s="92">
        <f>SUMIFS(E123:E132, F123:F132, "Y")</f>
        <v>11999.999999999998</v>
      </c>
      <c r="F133" s="92">
        <f>(SUMIFS(D123:D132, F123:F132, "Y") + SUMIFS(E123:E132, F123:F132, "Y"))</f>
        <v>42000</v>
      </c>
      <c r="G133" s="91"/>
      <c r="H133" s="93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</row>
    <row r="134" spans="1:23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</row>
    <row r="135" spans="1:23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</row>
    <row r="136" spans="1:23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</row>
    <row r="137" spans="1:23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</row>
    <row r="138" spans="1:23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</row>
    <row r="139" spans="1:23" x14ac:dyDescent="0.2">
      <c r="A139" s="256" t="s">
        <v>134</v>
      </c>
      <c r="B139" s="257"/>
      <c r="C139" s="31"/>
      <c r="D139" s="31"/>
      <c r="E139" s="31"/>
      <c r="F139" s="31"/>
      <c r="G139" s="31"/>
      <c r="H139" s="32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</row>
    <row r="140" spans="1:23" x14ac:dyDescent="0.2">
      <c r="A140" s="265" t="s">
        <v>7</v>
      </c>
      <c r="B140" s="259"/>
      <c r="C140" s="33">
        <v>20000</v>
      </c>
      <c r="D140" s="35"/>
      <c r="E140" s="35"/>
      <c r="F140" s="35"/>
      <c r="G140" s="35"/>
      <c r="H140" s="36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</row>
    <row r="141" spans="1:23" x14ac:dyDescent="0.2">
      <c r="A141" s="265" t="s">
        <v>8</v>
      </c>
      <c r="B141" s="259"/>
      <c r="C141" s="37" t="s">
        <v>123</v>
      </c>
      <c r="D141" s="35"/>
      <c r="E141" s="38"/>
      <c r="F141" s="38"/>
      <c r="G141" s="38"/>
      <c r="H141" s="39" t="s">
        <v>10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</row>
    <row r="142" spans="1:23" x14ac:dyDescent="0.2">
      <c r="A142" s="265" t="s">
        <v>103</v>
      </c>
      <c r="B142" s="259"/>
      <c r="C142" s="43">
        <v>4000</v>
      </c>
      <c r="D142" s="44"/>
      <c r="E142" s="266" t="s">
        <v>14</v>
      </c>
      <c r="F142" s="45" t="s">
        <v>15</v>
      </c>
      <c r="G142" s="43">
        <v>3550</v>
      </c>
      <c r="H142" s="46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</row>
    <row r="143" spans="1:23" x14ac:dyDescent="0.2">
      <c r="A143" s="265" t="s">
        <v>17</v>
      </c>
      <c r="B143" s="259"/>
      <c r="C143" s="43">
        <v>2</v>
      </c>
      <c r="D143" s="44"/>
      <c r="E143" s="261"/>
      <c r="F143" s="45" t="s">
        <v>18</v>
      </c>
      <c r="G143" s="43">
        <v>16450</v>
      </c>
      <c r="H143" s="46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</row>
    <row r="144" spans="1:23" x14ac:dyDescent="0.2">
      <c r="A144" s="265" t="s">
        <v>20</v>
      </c>
      <c r="B144" s="259"/>
      <c r="C144" s="43">
        <f>C142*C143</f>
        <v>8000</v>
      </c>
      <c r="D144" s="35"/>
      <c r="E144" s="54"/>
      <c r="F144" s="35"/>
      <c r="G144" s="44"/>
      <c r="H144" s="36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</row>
    <row r="145" spans="1:23" x14ac:dyDescent="0.2">
      <c r="A145" s="265" t="s">
        <v>22</v>
      </c>
      <c r="B145" s="259"/>
      <c r="C145" s="33">
        <f>C140+C144</f>
        <v>28000</v>
      </c>
      <c r="D145" s="35"/>
      <c r="E145" s="35"/>
      <c r="F145" s="35"/>
      <c r="G145" s="35"/>
      <c r="H145" s="36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</row>
    <row r="146" spans="1:23" x14ac:dyDescent="0.2">
      <c r="A146" s="265" t="s">
        <v>24</v>
      </c>
      <c r="B146" s="259"/>
      <c r="C146" s="57">
        <v>500</v>
      </c>
      <c r="D146" s="35" t="s">
        <v>135</v>
      </c>
      <c r="E146" s="35"/>
      <c r="F146" s="35"/>
      <c r="G146" s="35"/>
      <c r="H146" s="36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</row>
    <row r="147" spans="1:23" x14ac:dyDescent="0.2">
      <c r="A147" s="265" t="s">
        <v>28</v>
      </c>
      <c r="B147" s="259"/>
      <c r="C147" s="58" t="s">
        <v>29</v>
      </c>
      <c r="D147" s="35"/>
      <c r="E147" s="35"/>
      <c r="F147" s="35"/>
      <c r="G147" s="35"/>
      <c r="H147" s="36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</row>
    <row r="148" spans="1:23" x14ac:dyDescent="0.2">
      <c r="A148" s="62" t="s">
        <v>31</v>
      </c>
      <c r="B148" s="63" t="s">
        <v>106</v>
      </c>
      <c r="C148" s="45" t="s">
        <v>33</v>
      </c>
      <c r="D148" s="45" t="s">
        <v>34</v>
      </c>
      <c r="E148" s="45" t="s">
        <v>35</v>
      </c>
      <c r="F148" s="45" t="s">
        <v>36</v>
      </c>
      <c r="G148" s="45" t="s">
        <v>37</v>
      </c>
      <c r="H148" s="36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</row>
    <row r="149" spans="1:23" x14ac:dyDescent="0.2">
      <c r="A149" s="62">
        <v>0</v>
      </c>
      <c r="B149" s="65"/>
      <c r="C149" s="65"/>
      <c r="D149" s="65"/>
      <c r="E149" s="65"/>
      <c r="F149" s="65"/>
      <c r="G149" s="43">
        <f>C145</f>
        <v>28000</v>
      </c>
      <c r="H149" s="36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</row>
    <row r="150" spans="1:23" x14ac:dyDescent="0.2">
      <c r="A150" s="62">
        <v>1</v>
      </c>
      <c r="B150" s="100">
        <v>45673</v>
      </c>
      <c r="C150" s="43">
        <v>1500</v>
      </c>
      <c r="D150" s="43">
        <f t="shared" ref="D150:D160" si="15">C150/1.4</f>
        <v>1071.4285714285716</v>
      </c>
      <c r="E150" s="43">
        <f t="shared" ref="E150:E160" si="16">C150-D150</f>
        <v>428.57142857142844</v>
      </c>
      <c r="F150" s="43" t="s">
        <v>41</v>
      </c>
      <c r="G150" s="43">
        <f t="shared" ref="G150:G160" si="17">(G149-C150)</f>
        <v>26500</v>
      </c>
      <c r="H150" s="36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</row>
    <row r="151" spans="1:23" x14ac:dyDescent="0.2">
      <c r="A151" s="62">
        <v>2</v>
      </c>
      <c r="B151" s="100">
        <v>45677</v>
      </c>
      <c r="C151" s="43">
        <v>1500</v>
      </c>
      <c r="D151" s="43">
        <f t="shared" si="15"/>
        <v>1071.4285714285716</v>
      </c>
      <c r="E151" s="43">
        <f t="shared" si="16"/>
        <v>428.57142857142844</v>
      </c>
      <c r="F151" s="43" t="s">
        <v>41</v>
      </c>
      <c r="G151" s="43">
        <f t="shared" si="17"/>
        <v>25000</v>
      </c>
      <c r="H151" s="36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</row>
    <row r="152" spans="1:23" x14ac:dyDescent="0.2">
      <c r="A152" s="62">
        <v>3</v>
      </c>
      <c r="B152" s="100">
        <v>45685</v>
      </c>
      <c r="C152" s="43">
        <v>2500</v>
      </c>
      <c r="D152" s="43">
        <f t="shared" si="15"/>
        <v>1785.7142857142858</v>
      </c>
      <c r="E152" s="43">
        <f t="shared" si="16"/>
        <v>714.28571428571422</v>
      </c>
      <c r="F152" s="43" t="s">
        <v>41</v>
      </c>
      <c r="G152" s="43">
        <f t="shared" si="17"/>
        <v>22500</v>
      </c>
      <c r="H152" s="36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</row>
    <row r="153" spans="1:23" x14ac:dyDescent="0.2">
      <c r="A153" s="62">
        <v>4</v>
      </c>
      <c r="B153" s="100">
        <v>45691</v>
      </c>
      <c r="C153" s="43">
        <v>2000</v>
      </c>
      <c r="D153" s="43">
        <f t="shared" si="15"/>
        <v>1428.5714285714287</v>
      </c>
      <c r="E153" s="43">
        <f t="shared" si="16"/>
        <v>571.42857142857133</v>
      </c>
      <c r="F153" s="43" t="s">
        <v>41</v>
      </c>
      <c r="G153" s="43">
        <f t="shared" si="17"/>
        <v>20500</v>
      </c>
      <c r="H153" s="36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</row>
    <row r="154" spans="1:23" x14ac:dyDescent="0.2">
      <c r="A154" s="62">
        <v>5</v>
      </c>
      <c r="B154" s="103">
        <v>45698</v>
      </c>
      <c r="C154" s="43">
        <v>3500</v>
      </c>
      <c r="D154" s="43">
        <f t="shared" si="15"/>
        <v>2500</v>
      </c>
      <c r="E154" s="43">
        <f t="shared" si="16"/>
        <v>1000</v>
      </c>
      <c r="F154" s="43" t="s">
        <v>41</v>
      </c>
      <c r="G154" s="43">
        <f t="shared" si="17"/>
        <v>17000</v>
      </c>
      <c r="H154" s="36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</row>
    <row r="155" spans="1:23" x14ac:dyDescent="0.2">
      <c r="A155" s="62">
        <v>6</v>
      </c>
      <c r="B155" s="103">
        <v>45705</v>
      </c>
      <c r="C155" s="43">
        <v>3000</v>
      </c>
      <c r="D155" s="43">
        <f t="shared" si="15"/>
        <v>2142.8571428571431</v>
      </c>
      <c r="E155" s="43">
        <f t="shared" si="16"/>
        <v>857.14285714285688</v>
      </c>
      <c r="F155" s="43" t="s">
        <v>41</v>
      </c>
      <c r="G155" s="43">
        <f t="shared" si="17"/>
        <v>14000</v>
      </c>
      <c r="H155" s="36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</row>
    <row r="156" spans="1:23" x14ac:dyDescent="0.2">
      <c r="A156" s="62">
        <v>7</v>
      </c>
      <c r="B156" s="103">
        <v>45712</v>
      </c>
      <c r="C156" s="43">
        <v>3000</v>
      </c>
      <c r="D156" s="43">
        <f t="shared" si="15"/>
        <v>2142.8571428571431</v>
      </c>
      <c r="E156" s="43">
        <f t="shared" si="16"/>
        <v>857.14285714285688</v>
      </c>
      <c r="F156" s="43" t="s">
        <v>41</v>
      </c>
      <c r="G156" s="43">
        <f t="shared" si="17"/>
        <v>11000</v>
      </c>
      <c r="H156" s="36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</row>
    <row r="157" spans="1:23" x14ac:dyDescent="0.2">
      <c r="A157" s="62">
        <v>8</v>
      </c>
      <c r="B157" s="103">
        <v>45719</v>
      </c>
      <c r="C157" s="43">
        <v>3000</v>
      </c>
      <c r="D157" s="43">
        <f t="shared" si="15"/>
        <v>2142.8571428571431</v>
      </c>
      <c r="E157" s="43">
        <f t="shared" si="16"/>
        <v>857.14285714285688</v>
      </c>
      <c r="F157" s="43" t="s">
        <v>41</v>
      </c>
      <c r="G157" s="43">
        <f t="shared" si="17"/>
        <v>8000</v>
      </c>
      <c r="H157" s="36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</row>
    <row r="158" spans="1:23" x14ac:dyDescent="0.2">
      <c r="A158" s="62">
        <v>9</v>
      </c>
      <c r="B158" s="103">
        <v>45726</v>
      </c>
      <c r="C158" s="65">
        <v>2500</v>
      </c>
      <c r="D158" s="43">
        <f t="shared" si="15"/>
        <v>1785.7142857142858</v>
      </c>
      <c r="E158" s="43">
        <f t="shared" si="16"/>
        <v>714.28571428571422</v>
      </c>
      <c r="F158" s="43" t="s">
        <v>41</v>
      </c>
      <c r="G158" s="43">
        <f t="shared" si="17"/>
        <v>5500</v>
      </c>
      <c r="H158" s="36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</row>
    <row r="159" spans="1:23" x14ac:dyDescent="0.2">
      <c r="A159" s="62">
        <v>10</v>
      </c>
      <c r="B159" s="103">
        <v>45733</v>
      </c>
      <c r="C159" s="65">
        <v>2000</v>
      </c>
      <c r="D159" s="43">
        <f t="shared" si="15"/>
        <v>1428.5714285714287</v>
      </c>
      <c r="E159" s="43">
        <f t="shared" si="16"/>
        <v>571.42857142857133</v>
      </c>
      <c r="F159" s="43" t="s">
        <v>41</v>
      </c>
      <c r="G159" s="43">
        <f t="shared" si="17"/>
        <v>3500</v>
      </c>
      <c r="H159" s="36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</row>
    <row r="160" spans="1:23" x14ac:dyDescent="0.2">
      <c r="A160" s="45">
        <v>11</v>
      </c>
      <c r="B160" s="45" t="s">
        <v>136</v>
      </c>
      <c r="C160" s="65">
        <v>3500</v>
      </c>
      <c r="D160" s="43">
        <f t="shared" si="15"/>
        <v>2500</v>
      </c>
      <c r="E160" s="43">
        <f t="shared" si="16"/>
        <v>1000</v>
      </c>
      <c r="F160" s="43" t="s">
        <v>41</v>
      </c>
      <c r="G160" s="43">
        <f t="shared" si="17"/>
        <v>0</v>
      </c>
      <c r="H160" s="36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</row>
    <row r="161" spans="1:23" x14ac:dyDescent="0.2">
      <c r="A161" s="89"/>
      <c r="B161" s="90"/>
      <c r="C161" s="91"/>
      <c r="D161" s="111">
        <f>SUMIFS(D150:D160, F150:F160, "Y")</f>
        <v>20000</v>
      </c>
      <c r="E161" s="111">
        <f>SUMIFS(E150:E160, F150:F160, "Y")</f>
        <v>7999.9999999999991</v>
      </c>
      <c r="F161" s="92">
        <f>(SUMIFS(D150:D160, F150:F160, "Y") + SUMIFS(E150:E160, F150:F160, "Y"))</f>
        <v>28000</v>
      </c>
      <c r="G161" s="91"/>
      <c r="H161" s="93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</row>
    <row r="162" spans="1:23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</row>
    <row r="163" spans="1:23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</row>
    <row r="164" spans="1:23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</row>
    <row r="165" spans="1:23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spans="1:23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spans="1:23" x14ac:dyDescent="0.2">
      <c r="A167" s="256" t="s">
        <v>137</v>
      </c>
      <c r="B167" s="257"/>
      <c r="C167" s="31"/>
      <c r="D167" s="31"/>
      <c r="E167" s="31"/>
      <c r="F167" s="31"/>
      <c r="G167" s="31"/>
      <c r="H167" s="32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</row>
    <row r="168" spans="1:23" x14ac:dyDescent="0.2">
      <c r="A168" s="265" t="s">
        <v>7</v>
      </c>
      <c r="B168" s="259"/>
      <c r="C168" s="33">
        <v>50000</v>
      </c>
      <c r="D168" s="35"/>
      <c r="E168" s="35"/>
      <c r="F168" s="35"/>
      <c r="G168" s="35"/>
      <c r="H168" s="36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</row>
    <row r="169" spans="1:23" x14ac:dyDescent="0.2">
      <c r="A169" s="265" t="s">
        <v>8</v>
      </c>
      <c r="B169" s="259"/>
      <c r="C169" s="112">
        <v>45673</v>
      </c>
      <c r="D169" s="35"/>
      <c r="E169" s="38"/>
      <c r="F169" s="38"/>
      <c r="G169" s="38"/>
      <c r="H169" s="39" t="s">
        <v>10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</row>
    <row r="170" spans="1:23" x14ac:dyDescent="0.2">
      <c r="A170" s="265" t="s">
        <v>103</v>
      </c>
      <c r="B170" s="259"/>
      <c r="C170" s="43">
        <v>10000</v>
      </c>
      <c r="D170" s="44"/>
      <c r="E170" s="266" t="s">
        <v>14</v>
      </c>
      <c r="F170" s="45" t="s">
        <v>15</v>
      </c>
      <c r="G170" s="43">
        <v>50000</v>
      </c>
      <c r="H170" s="46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</row>
    <row r="171" spans="1:23" x14ac:dyDescent="0.2">
      <c r="A171" s="265" t="s">
        <v>17</v>
      </c>
      <c r="B171" s="259"/>
      <c r="C171" s="43">
        <v>2</v>
      </c>
      <c r="D171" s="44"/>
      <c r="E171" s="261"/>
      <c r="F171" s="45" t="s">
        <v>18</v>
      </c>
      <c r="G171" s="43">
        <v>0</v>
      </c>
      <c r="H171" s="46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</row>
    <row r="172" spans="1:23" x14ac:dyDescent="0.2">
      <c r="A172" s="265" t="s">
        <v>20</v>
      </c>
      <c r="B172" s="259"/>
      <c r="C172" s="43">
        <f>C170*C171</f>
        <v>20000</v>
      </c>
      <c r="D172" s="35"/>
      <c r="E172" s="54"/>
      <c r="F172" s="35"/>
      <c r="G172" s="44"/>
      <c r="H172" s="36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</row>
    <row r="173" spans="1:23" x14ac:dyDescent="0.2">
      <c r="A173" s="265" t="s">
        <v>22</v>
      </c>
      <c r="B173" s="259"/>
      <c r="C173" s="33">
        <f>C168+C172</f>
        <v>70000</v>
      </c>
      <c r="D173" s="35"/>
      <c r="E173" s="35"/>
      <c r="F173" s="35"/>
      <c r="G173" s="35"/>
      <c r="H173" s="36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</row>
    <row r="174" spans="1:23" x14ac:dyDescent="0.2">
      <c r="A174" s="265" t="s">
        <v>24</v>
      </c>
      <c r="B174" s="259"/>
      <c r="C174" s="57">
        <v>1200</v>
      </c>
      <c r="D174" s="35" t="s">
        <v>138</v>
      </c>
      <c r="E174" s="35"/>
      <c r="F174" s="35"/>
      <c r="G174" s="35"/>
      <c r="H174" s="36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</row>
    <row r="175" spans="1:23" x14ac:dyDescent="0.2">
      <c r="A175" s="265" t="s">
        <v>28</v>
      </c>
      <c r="B175" s="259"/>
      <c r="C175" s="58" t="s">
        <v>29</v>
      </c>
      <c r="D175" s="35"/>
      <c r="E175" s="35"/>
      <c r="F175" s="35"/>
      <c r="G175" s="35"/>
      <c r="H175" s="36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</row>
    <row r="176" spans="1:23" x14ac:dyDescent="0.2">
      <c r="A176" s="62" t="s">
        <v>31</v>
      </c>
      <c r="B176" s="63" t="s">
        <v>106</v>
      </c>
      <c r="C176" s="45" t="s">
        <v>33</v>
      </c>
      <c r="D176" s="45" t="s">
        <v>34</v>
      </c>
      <c r="E176" s="45" t="s">
        <v>35</v>
      </c>
      <c r="F176" s="45" t="s">
        <v>36</v>
      </c>
      <c r="G176" s="45" t="s">
        <v>37</v>
      </c>
      <c r="H176" s="36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</row>
    <row r="177" spans="1:23" x14ac:dyDescent="0.2">
      <c r="A177" s="62">
        <v>0</v>
      </c>
      <c r="B177" s="65"/>
      <c r="C177" s="65"/>
      <c r="D177" s="65"/>
      <c r="E177" s="65"/>
      <c r="F177" s="65"/>
      <c r="G177" s="43">
        <f>C173</f>
        <v>70000</v>
      </c>
      <c r="H177" s="36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</row>
    <row r="178" spans="1:23" x14ac:dyDescent="0.2">
      <c r="A178" s="62">
        <v>1</v>
      </c>
      <c r="B178" s="100">
        <v>45677</v>
      </c>
      <c r="C178" s="43">
        <v>3600</v>
      </c>
      <c r="D178" s="43">
        <f t="shared" ref="D178:D187" si="18">C178/1.4</f>
        <v>2571.4285714285716</v>
      </c>
      <c r="E178" s="43">
        <f t="shared" ref="E178:E187" si="19">C178-D178</f>
        <v>1028.5714285714284</v>
      </c>
      <c r="F178" s="43" t="s">
        <v>41</v>
      </c>
      <c r="G178" s="43">
        <f t="shared" ref="G178:G185" si="20">(G177-C178)</f>
        <v>66400</v>
      </c>
      <c r="H178" s="36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</row>
    <row r="179" spans="1:23" x14ac:dyDescent="0.2">
      <c r="A179" s="62">
        <v>2</v>
      </c>
      <c r="B179" s="100">
        <v>45685</v>
      </c>
      <c r="C179" s="43">
        <v>7200</v>
      </c>
      <c r="D179" s="43">
        <f t="shared" si="18"/>
        <v>5142.8571428571431</v>
      </c>
      <c r="E179" s="43">
        <f t="shared" si="19"/>
        <v>2057.1428571428569</v>
      </c>
      <c r="F179" s="43" t="s">
        <v>41</v>
      </c>
      <c r="G179" s="43">
        <f t="shared" si="20"/>
        <v>59200</v>
      </c>
      <c r="H179" s="36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</row>
    <row r="180" spans="1:23" x14ac:dyDescent="0.2">
      <c r="A180" s="62">
        <v>3</v>
      </c>
      <c r="B180" s="100">
        <v>45691</v>
      </c>
      <c r="C180" s="43">
        <v>7200</v>
      </c>
      <c r="D180" s="43">
        <f t="shared" si="18"/>
        <v>5142.8571428571431</v>
      </c>
      <c r="E180" s="43">
        <f t="shared" si="19"/>
        <v>2057.1428571428569</v>
      </c>
      <c r="F180" s="43" t="s">
        <v>41</v>
      </c>
      <c r="G180" s="43">
        <f t="shared" si="20"/>
        <v>52000</v>
      </c>
      <c r="H180" s="36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</row>
    <row r="181" spans="1:23" x14ac:dyDescent="0.2">
      <c r="A181" s="62">
        <v>4</v>
      </c>
      <c r="B181" s="100">
        <v>45698</v>
      </c>
      <c r="C181" s="43">
        <v>7200</v>
      </c>
      <c r="D181" s="43">
        <f t="shared" si="18"/>
        <v>5142.8571428571431</v>
      </c>
      <c r="E181" s="43">
        <f t="shared" si="19"/>
        <v>2057.1428571428569</v>
      </c>
      <c r="F181" s="43" t="s">
        <v>41</v>
      </c>
      <c r="G181" s="43">
        <f t="shared" si="20"/>
        <v>44800</v>
      </c>
      <c r="H181" s="36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</row>
    <row r="182" spans="1:23" x14ac:dyDescent="0.2">
      <c r="A182" s="62">
        <v>5</v>
      </c>
      <c r="B182" s="103">
        <v>45705</v>
      </c>
      <c r="C182" s="43">
        <v>8400</v>
      </c>
      <c r="D182" s="43">
        <f t="shared" si="18"/>
        <v>6000</v>
      </c>
      <c r="E182" s="43">
        <f t="shared" si="19"/>
        <v>2400</v>
      </c>
      <c r="F182" s="43" t="s">
        <v>41</v>
      </c>
      <c r="G182" s="43">
        <f t="shared" si="20"/>
        <v>36400</v>
      </c>
      <c r="H182" s="36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</row>
    <row r="183" spans="1:23" x14ac:dyDescent="0.2">
      <c r="A183" s="62">
        <v>6</v>
      </c>
      <c r="B183" s="103">
        <v>45712</v>
      </c>
      <c r="C183" s="43">
        <v>8400</v>
      </c>
      <c r="D183" s="43">
        <f t="shared" si="18"/>
        <v>6000</v>
      </c>
      <c r="E183" s="43">
        <f t="shared" si="19"/>
        <v>2400</v>
      </c>
      <c r="F183" s="43" t="s">
        <v>41</v>
      </c>
      <c r="G183" s="43">
        <f t="shared" si="20"/>
        <v>28000</v>
      </c>
      <c r="H183" s="36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</row>
    <row r="184" spans="1:23" x14ac:dyDescent="0.2">
      <c r="A184" s="62">
        <v>7</v>
      </c>
      <c r="B184" s="103">
        <v>45712</v>
      </c>
      <c r="C184" s="43">
        <v>28000</v>
      </c>
      <c r="D184" s="43">
        <f t="shared" si="18"/>
        <v>20000</v>
      </c>
      <c r="E184" s="43">
        <f t="shared" si="19"/>
        <v>8000</v>
      </c>
      <c r="F184" s="43" t="s">
        <v>41</v>
      </c>
      <c r="G184" s="43">
        <f t="shared" si="20"/>
        <v>0</v>
      </c>
      <c r="H184" s="36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</row>
    <row r="185" spans="1:23" x14ac:dyDescent="0.2">
      <c r="A185" s="62">
        <v>8</v>
      </c>
      <c r="B185" s="103"/>
      <c r="C185" s="43"/>
      <c r="D185" s="43">
        <f t="shared" si="18"/>
        <v>0</v>
      </c>
      <c r="E185" s="43">
        <f t="shared" si="19"/>
        <v>0</v>
      </c>
      <c r="F185" s="43" t="s">
        <v>107</v>
      </c>
      <c r="G185" s="43">
        <f t="shared" si="20"/>
        <v>0</v>
      </c>
      <c r="H185" s="36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</row>
    <row r="186" spans="1:23" x14ac:dyDescent="0.2">
      <c r="A186" s="105"/>
      <c r="B186" s="106"/>
      <c r="C186" s="65"/>
      <c r="D186" s="43">
        <f t="shared" si="18"/>
        <v>0</v>
      </c>
      <c r="E186" s="43">
        <f t="shared" si="19"/>
        <v>0</v>
      </c>
      <c r="F186" s="65"/>
      <c r="G186" s="65"/>
      <c r="H186" s="36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</row>
    <row r="187" spans="1:23" x14ac:dyDescent="0.2">
      <c r="A187" s="105"/>
      <c r="B187" s="106"/>
      <c r="C187" s="65"/>
      <c r="D187" s="43">
        <f t="shared" si="18"/>
        <v>0</v>
      </c>
      <c r="E187" s="43">
        <f t="shared" si="19"/>
        <v>0</v>
      </c>
      <c r="F187" s="65"/>
      <c r="G187" s="65"/>
      <c r="H187" s="36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</row>
    <row r="188" spans="1:23" x14ac:dyDescent="0.2">
      <c r="A188" s="89"/>
      <c r="B188" s="90"/>
      <c r="C188" s="91"/>
      <c r="D188" s="92">
        <f>SUMIFS(D178:D187, F178:F187, "Y")</f>
        <v>50000</v>
      </c>
      <c r="E188" s="92">
        <f>SUMIFS(E178:E187, F178:F187, "Y")</f>
        <v>20000</v>
      </c>
      <c r="F188" s="92">
        <f>(SUMIFS(D178:D187, F178:F187, "Y") + SUMIFS(E178:E187, F178:F187, "Y"))</f>
        <v>70000</v>
      </c>
      <c r="G188" s="91"/>
      <c r="H188" s="93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</row>
    <row r="189" spans="1:23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</row>
    <row r="190" spans="1:23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</row>
    <row r="191" spans="1:23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</row>
    <row r="192" spans="1:23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</row>
    <row r="193" spans="1:23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</row>
    <row r="194" spans="1:23" x14ac:dyDescent="0.2">
      <c r="A194" s="256" t="s">
        <v>139</v>
      </c>
      <c r="B194" s="257"/>
      <c r="C194" s="31"/>
      <c r="D194" s="31"/>
      <c r="E194" s="31"/>
      <c r="F194" s="31"/>
      <c r="G194" s="31"/>
      <c r="H194" s="32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</row>
    <row r="195" spans="1:23" x14ac:dyDescent="0.2">
      <c r="A195" s="265" t="s">
        <v>7</v>
      </c>
      <c r="B195" s="259"/>
      <c r="C195" s="33">
        <v>50000</v>
      </c>
      <c r="D195" s="35"/>
      <c r="E195" s="35"/>
      <c r="F195" s="35"/>
      <c r="G195" s="35"/>
      <c r="H195" s="36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</row>
    <row r="196" spans="1:23" x14ac:dyDescent="0.2">
      <c r="A196" s="265" t="s">
        <v>8</v>
      </c>
      <c r="B196" s="259"/>
      <c r="C196" s="112">
        <v>45674</v>
      </c>
      <c r="D196" s="35"/>
      <c r="E196" s="38"/>
      <c r="F196" s="38"/>
      <c r="G196" s="38"/>
      <c r="H196" s="39" t="s">
        <v>10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</row>
    <row r="197" spans="1:23" x14ac:dyDescent="0.2">
      <c r="A197" s="265" t="s">
        <v>103</v>
      </c>
      <c r="B197" s="259"/>
      <c r="C197" s="43">
        <v>10000</v>
      </c>
      <c r="D197" s="44"/>
      <c r="E197" s="266" t="s">
        <v>14</v>
      </c>
      <c r="F197" s="45" t="s">
        <v>15</v>
      </c>
      <c r="G197" s="43">
        <v>50000</v>
      </c>
      <c r="H197" s="46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</row>
    <row r="198" spans="1:23" x14ac:dyDescent="0.2">
      <c r="A198" s="265" t="s">
        <v>17</v>
      </c>
      <c r="B198" s="259"/>
      <c r="C198" s="43">
        <v>1</v>
      </c>
      <c r="D198" s="44" t="s">
        <v>140</v>
      </c>
      <c r="E198" s="261"/>
      <c r="F198" s="45" t="s">
        <v>18</v>
      </c>
      <c r="G198" s="43">
        <v>0</v>
      </c>
      <c r="H198" s="46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</row>
    <row r="199" spans="1:23" x14ac:dyDescent="0.2">
      <c r="A199" s="265" t="s">
        <v>20</v>
      </c>
      <c r="B199" s="259"/>
      <c r="C199" s="43">
        <f>C197*C198</f>
        <v>10000</v>
      </c>
      <c r="D199" s="35"/>
      <c r="E199" s="54"/>
      <c r="F199" s="35"/>
      <c r="G199" s="44"/>
      <c r="H199" s="36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</row>
    <row r="200" spans="1:23" x14ac:dyDescent="0.2">
      <c r="A200" s="265" t="s">
        <v>22</v>
      </c>
      <c r="B200" s="259"/>
      <c r="C200" s="33">
        <f>C195+C199</f>
        <v>60000</v>
      </c>
      <c r="D200" s="35"/>
      <c r="E200" s="35"/>
      <c r="F200" s="35"/>
      <c r="G200" s="35"/>
      <c r="H200" s="36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</row>
    <row r="201" spans="1:23" x14ac:dyDescent="0.2">
      <c r="A201" s="265" t="s">
        <v>24</v>
      </c>
      <c r="B201" s="259"/>
      <c r="C201" s="57">
        <v>1500</v>
      </c>
      <c r="D201" s="35" t="s">
        <v>141</v>
      </c>
      <c r="E201" s="35"/>
      <c r="F201" s="35"/>
      <c r="G201" s="35"/>
      <c r="H201" s="36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</row>
    <row r="202" spans="1:23" x14ac:dyDescent="0.2">
      <c r="A202" s="265" t="s">
        <v>28</v>
      </c>
      <c r="B202" s="259"/>
      <c r="C202" s="58" t="s">
        <v>29</v>
      </c>
      <c r="D202" s="35"/>
      <c r="E202" s="35"/>
      <c r="F202" s="35"/>
      <c r="G202" s="35"/>
      <c r="H202" s="36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</row>
    <row r="203" spans="1:23" x14ac:dyDescent="0.2">
      <c r="A203" s="62" t="s">
        <v>31</v>
      </c>
      <c r="B203" s="63" t="s">
        <v>106</v>
      </c>
      <c r="C203" s="45" t="s">
        <v>33</v>
      </c>
      <c r="D203" s="45" t="s">
        <v>34</v>
      </c>
      <c r="E203" s="45" t="s">
        <v>35</v>
      </c>
      <c r="F203" s="45" t="s">
        <v>36</v>
      </c>
      <c r="G203" s="45" t="s">
        <v>37</v>
      </c>
      <c r="H203" s="36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</row>
    <row r="204" spans="1:23" x14ac:dyDescent="0.2">
      <c r="A204" s="62">
        <v>0</v>
      </c>
      <c r="B204" s="65"/>
      <c r="C204" s="65"/>
      <c r="D204" s="65"/>
      <c r="E204" s="65"/>
      <c r="F204" s="65"/>
      <c r="G204" s="43">
        <f>C200</f>
        <v>60000</v>
      </c>
      <c r="H204" s="36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</row>
    <row r="205" spans="1:23" x14ac:dyDescent="0.2">
      <c r="A205" s="62">
        <v>1</v>
      </c>
      <c r="B205" s="100">
        <v>45685</v>
      </c>
      <c r="C205" s="43">
        <v>11300</v>
      </c>
      <c r="D205" s="43">
        <f t="shared" ref="D205:D208" si="21">C205/1.2</f>
        <v>9416.6666666666679</v>
      </c>
      <c r="E205" s="43">
        <f t="shared" ref="E205:E208" si="22">C205-D205</f>
        <v>1883.3333333333321</v>
      </c>
      <c r="F205" s="43" t="s">
        <v>41</v>
      </c>
      <c r="G205" s="43">
        <f t="shared" ref="G205:G210" si="23">(G204-C205)</f>
        <v>48700</v>
      </c>
      <c r="H205" s="36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</row>
    <row r="206" spans="1:23" x14ac:dyDescent="0.2">
      <c r="A206" s="62">
        <v>2</v>
      </c>
      <c r="B206" s="100">
        <v>45691</v>
      </c>
      <c r="C206" s="43">
        <v>8200</v>
      </c>
      <c r="D206" s="43">
        <f t="shared" si="21"/>
        <v>6833.3333333333339</v>
      </c>
      <c r="E206" s="43">
        <f t="shared" si="22"/>
        <v>1366.6666666666661</v>
      </c>
      <c r="F206" s="43" t="s">
        <v>41</v>
      </c>
      <c r="G206" s="43">
        <f t="shared" si="23"/>
        <v>40500</v>
      </c>
      <c r="H206" s="36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</row>
    <row r="207" spans="1:23" x14ac:dyDescent="0.2">
      <c r="A207" s="62">
        <v>3</v>
      </c>
      <c r="B207" s="100">
        <v>45698</v>
      </c>
      <c r="C207" s="43">
        <v>10500</v>
      </c>
      <c r="D207" s="43">
        <f t="shared" si="21"/>
        <v>8750</v>
      </c>
      <c r="E207" s="43">
        <f t="shared" si="22"/>
        <v>1750</v>
      </c>
      <c r="F207" s="43" t="s">
        <v>41</v>
      </c>
      <c r="G207" s="43">
        <f t="shared" si="23"/>
        <v>30000</v>
      </c>
      <c r="H207" s="36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</row>
    <row r="208" spans="1:23" x14ac:dyDescent="0.2">
      <c r="A208" s="62">
        <v>4</v>
      </c>
      <c r="B208" s="100">
        <v>45699</v>
      </c>
      <c r="C208" s="43">
        <v>30000</v>
      </c>
      <c r="D208" s="43">
        <f t="shared" si="21"/>
        <v>25000</v>
      </c>
      <c r="E208" s="43">
        <f t="shared" si="22"/>
        <v>5000</v>
      </c>
      <c r="F208" s="43" t="s">
        <v>41</v>
      </c>
      <c r="G208" s="43">
        <f t="shared" si="23"/>
        <v>0</v>
      </c>
      <c r="H208" s="36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</row>
    <row r="209" spans="1:23" x14ac:dyDescent="0.2">
      <c r="A209" s="62">
        <v>5</v>
      </c>
      <c r="B209" s="103"/>
      <c r="C209" s="43"/>
      <c r="D209" s="43"/>
      <c r="E209" s="43"/>
      <c r="F209" s="43" t="s">
        <v>107</v>
      </c>
      <c r="G209" s="43">
        <f t="shared" si="23"/>
        <v>0</v>
      </c>
      <c r="H209" s="36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</row>
    <row r="210" spans="1:23" x14ac:dyDescent="0.2">
      <c r="A210" s="62">
        <v>6</v>
      </c>
      <c r="B210" s="103"/>
      <c r="C210" s="43"/>
      <c r="D210" s="43"/>
      <c r="E210" s="43"/>
      <c r="F210" s="43" t="s">
        <v>107</v>
      </c>
      <c r="G210" s="43">
        <f t="shared" si="23"/>
        <v>0</v>
      </c>
      <c r="H210" s="36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</row>
    <row r="211" spans="1:23" x14ac:dyDescent="0.2">
      <c r="A211" s="62">
        <v>7</v>
      </c>
      <c r="B211" s="103"/>
      <c r="C211" s="65"/>
      <c r="D211" s="65"/>
      <c r="E211" s="65"/>
      <c r="F211" s="43" t="s">
        <v>107</v>
      </c>
      <c r="G211" s="65"/>
      <c r="H211" s="36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</row>
    <row r="212" spans="1:23" x14ac:dyDescent="0.2">
      <c r="A212" s="62">
        <v>8</v>
      </c>
      <c r="B212" s="103"/>
      <c r="C212" s="65"/>
      <c r="D212" s="65"/>
      <c r="E212" s="65"/>
      <c r="F212" s="43" t="s">
        <v>107</v>
      </c>
      <c r="G212" s="65"/>
      <c r="H212" s="36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</row>
    <row r="213" spans="1:23" x14ac:dyDescent="0.2">
      <c r="A213" s="105"/>
      <c r="B213" s="106"/>
      <c r="C213" s="65"/>
      <c r="D213" s="65"/>
      <c r="E213" s="65"/>
      <c r="F213" s="65"/>
      <c r="G213" s="65"/>
      <c r="H213" s="36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</row>
    <row r="214" spans="1:23" x14ac:dyDescent="0.2">
      <c r="A214" s="105"/>
      <c r="B214" s="106"/>
      <c r="C214" s="65"/>
      <c r="D214" s="65"/>
      <c r="E214" s="65"/>
      <c r="F214" s="65"/>
      <c r="G214" s="65"/>
      <c r="H214" s="36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</row>
    <row r="215" spans="1:23" x14ac:dyDescent="0.2">
      <c r="A215" s="89"/>
      <c r="B215" s="90"/>
      <c r="C215" s="91"/>
      <c r="D215" s="111">
        <f>SUMIFS(D205:D214, F205:F214, "Y")</f>
        <v>50000</v>
      </c>
      <c r="E215" s="111">
        <f>SUMIFS(E205:E214, F205:F214, "Y")</f>
        <v>9999.9999999999982</v>
      </c>
      <c r="F215" s="92">
        <f>(SUMIFS(D205:D214, F205:F214, "Y") + SUMIFS(E205:E214, F205:F214, "Y"))</f>
        <v>60000</v>
      </c>
      <c r="G215" s="91"/>
      <c r="H215" s="93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</row>
    <row r="216" spans="1:23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</row>
    <row r="217" spans="1:23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</row>
    <row r="218" spans="1:23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</row>
    <row r="219" spans="1:23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spans="1:23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spans="1:23" x14ac:dyDescent="0.2">
      <c r="A221" s="256" t="s">
        <v>142</v>
      </c>
      <c r="B221" s="257"/>
      <c r="C221" s="31" t="s">
        <v>143</v>
      </c>
      <c r="D221" s="31"/>
      <c r="E221" s="31"/>
      <c r="F221" s="31"/>
      <c r="G221" s="31"/>
      <c r="H221" s="32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</row>
    <row r="222" spans="1:23" x14ac:dyDescent="0.2">
      <c r="A222" s="265" t="s">
        <v>7</v>
      </c>
      <c r="B222" s="259"/>
      <c r="C222" s="33">
        <v>10000</v>
      </c>
      <c r="D222" s="35"/>
      <c r="E222" s="35"/>
      <c r="F222" s="35"/>
      <c r="G222" s="35"/>
      <c r="H222" s="36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</row>
    <row r="223" spans="1:23" x14ac:dyDescent="0.2">
      <c r="A223" s="265" t="s">
        <v>8</v>
      </c>
      <c r="B223" s="259"/>
      <c r="C223" s="112">
        <v>45673</v>
      </c>
      <c r="D223" s="35"/>
      <c r="E223" s="38"/>
      <c r="F223" s="38"/>
      <c r="G223" s="38"/>
      <c r="H223" s="39" t="s">
        <v>10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</row>
    <row r="224" spans="1:23" x14ac:dyDescent="0.2">
      <c r="A224" s="265" t="s">
        <v>103</v>
      </c>
      <c r="B224" s="259"/>
      <c r="C224" s="43">
        <v>2000</v>
      </c>
      <c r="D224" s="44"/>
      <c r="E224" s="266" t="s">
        <v>14</v>
      </c>
      <c r="F224" s="45" t="s">
        <v>15</v>
      </c>
      <c r="G224" s="43">
        <v>10000</v>
      </c>
      <c r="H224" s="46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</row>
    <row r="225" spans="1:23" x14ac:dyDescent="0.2">
      <c r="A225" s="265" t="s">
        <v>17</v>
      </c>
      <c r="B225" s="259"/>
      <c r="C225" s="43">
        <v>1</v>
      </c>
      <c r="D225" s="44"/>
      <c r="E225" s="261"/>
      <c r="F225" s="45" t="s">
        <v>18</v>
      </c>
      <c r="G225" s="43">
        <v>0</v>
      </c>
      <c r="H225" s="46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</row>
    <row r="226" spans="1:23" x14ac:dyDescent="0.2">
      <c r="A226" s="265" t="s">
        <v>20</v>
      </c>
      <c r="B226" s="259"/>
      <c r="C226" s="43">
        <f>C224*C225</f>
        <v>2000</v>
      </c>
      <c r="D226" s="35"/>
      <c r="E226" s="54"/>
      <c r="F226" s="35"/>
      <c r="G226" s="44"/>
      <c r="H226" s="36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</row>
    <row r="227" spans="1:23" x14ac:dyDescent="0.2">
      <c r="A227" s="265" t="s">
        <v>22</v>
      </c>
      <c r="B227" s="259"/>
      <c r="C227" s="33">
        <f>C222+C226</f>
        <v>12000</v>
      </c>
      <c r="D227" s="35"/>
      <c r="E227" s="35"/>
      <c r="F227" s="35"/>
      <c r="G227" s="35"/>
      <c r="H227" s="36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</row>
    <row r="228" spans="1:23" x14ac:dyDescent="0.2">
      <c r="A228" s="265" t="s">
        <v>144</v>
      </c>
      <c r="B228" s="259"/>
      <c r="C228" s="57">
        <v>6000</v>
      </c>
      <c r="D228" s="35"/>
      <c r="E228" s="35"/>
      <c r="F228" s="35"/>
      <c r="G228" s="35"/>
      <c r="H228" s="36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</row>
    <row r="229" spans="1:23" x14ac:dyDescent="0.2">
      <c r="A229" s="265" t="s">
        <v>28</v>
      </c>
      <c r="B229" s="259"/>
      <c r="C229" s="58" t="s">
        <v>145</v>
      </c>
      <c r="D229" s="35"/>
      <c r="E229" s="35"/>
      <c r="F229" s="35"/>
      <c r="G229" s="35"/>
      <c r="H229" s="36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</row>
    <row r="230" spans="1:23" x14ac:dyDescent="0.2">
      <c r="A230" s="62" t="s">
        <v>31</v>
      </c>
      <c r="B230" s="63" t="s">
        <v>106</v>
      </c>
      <c r="C230" s="45" t="s">
        <v>33</v>
      </c>
      <c r="D230" s="45" t="s">
        <v>34</v>
      </c>
      <c r="E230" s="45" t="s">
        <v>35</v>
      </c>
      <c r="F230" s="45" t="s">
        <v>36</v>
      </c>
      <c r="G230" s="45" t="s">
        <v>37</v>
      </c>
      <c r="H230" s="36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</row>
    <row r="231" spans="1:23" x14ac:dyDescent="0.2">
      <c r="A231" s="62">
        <v>0</v>
      </c>
      <c r="B231" s="65"/>
      <c r="C231" s="65"/>
      <c r="D231" s="65"/>
      <c r="E231" s="65"/>
      <c r="F231" s="65"/>
      <c r="G231" s="43">
        <f>C227</f>
        <v>12000</v>
      </c>
      <c r="H231" s="36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</row>
    <row r="232" spans="1:23" x14ac:dyDescent="0.2">
      <c r="A232" s="62">
        <v>1</v>
      </c>
      <c r="B232" s="100">
        <v>45689</v>
      </c>
      <c r="C232" s="43">
        <v>6000</v>
      </c>
      <c r="D232" s="43">
        <v>5000</v>
      </c>
      <c r="E232" s="43">
        <v>1000</v>
      </c>
      <c r="F232" s="43" t="s">
        <v>41</v>
      </c>
      <c r="G232" s="43">
        <f t="shared" ref="G232:G233" si="24">(G231-C232)</f>
        <v>6000</v>
      </c>
      <c r="H232" s="36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</row>
    <row r="233" spans="1:23" x14ac:dyDescent="0.2">
      <c r="A233" s="62">
        <v>2</v>
      </c>
      <c r="B233" s="100">
        <v>45705</v>
      </c>
      <c r="C233" s="43">
        <v>6000</v>
      </c>
      <c r="D233" s="43">
        <v>5000</v>
      </c>
      <c r="E233" s="43">
        <v>1000</v>
      </c>
      <c r="F233" s="43" t="s">
        <v>41</v>
      </c>
      <c r="G233" s="43">
        <f t="shared" si="24"/>
        <v>0</v>
      </c>
      <c r="H233" s="36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</row>
    <row r="234" spans="1:23" x14ac:dyDescent="0.2">
      <c r="A234" s="62">
        <v>3</v>
      </c>
      <c r="B234" s="113"/>
      <c r="C234" s="65"/>
      <c r="D234" s="65"/>
      <c r="E234" s="65"/>
      <c r="F234" s="65"/>
      <c r="G234" s="65"/>
      <c r="H234" s="36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</row>
    <row r="235" spans="1:23" x14ac:dyDescent="0.2">
      <c r="A235" s="62">
        <v>4</v>
      </c>
      <c r="B235" s="113"/>
      <c r="C235" s="65"/>
      <c r="D235" s="65"/>
      <c r="E235" s="65"/>
      <c r="F235" s="65"/>
      <c r="G235" s="65"/>
      <c r="H235" s="36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</row>
    <row r="236" spans="1:23" x14ac:dyDescent="0.2">
      <c r="A236" s="62">
        <v>5</v>
      </c>
      <c r="B236" s="106"/>
      <c r="C236" s="65"/>
      <c r="D236" s="65"/>
      <c r="E236" s="65"/>
      <c r="F236" s="65"/>
      <c r="G236" s="65"/>
      <c r="H236" s="36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</row>
    <row r="237" spans="1:23" x14ac:dyDescent="0.2">
      <c r="A237" s="62">
        <v>6</v>
      </c>
      <c r="B237" s="106"/>
      <c r="C237" s="65"/>
      <c r="D237" s="65"/>
      <c r="E237" s="65"/>
      <c r="F237" s="65"/>
      <c r="G237" s="65"/>
      <c r="H237" s="36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</row>
    <row r="238" spans="1:23" x14ac:dyDescent="0.2">
      <c r="A238" s="62">
        <v>7</v>
      </c>
      <c r="B238" s="106"/>
      <c r="C238" s="65"/>
      <c r="D238" s="65"/>
      <c r="E238" s="65"/>
      <c r="F238" s="43" t="s">
        <v>107</v>
      </c>
      <c r="G238" s="65"/>
      <c r="H238" s="36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</row>
    <row r="239" spans="1:23" x14ac:dyDescent="0.2">
      <c r="A239" s="62">
        <v>8</v>
      </c>
      <c r="B239" s="106"/>
      <c r="C239" s="65"/>
      <c r="D239" s="65"/>
      <c r="E239" s="65"/>
      <c r="F239" s="43" t="s">
        <v>107</v>
      </c>
      <c r="G239" s="65"/>
      <c r="H239" s="36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</row>
    <row r="240" spans="1:23" x14ac:dyDescent="0.2">
      <c r="A240" s="105"/>
      <c r="B240" s="106"/>
      <c r="C240" s="65"/>
      <c r="D240" s="65"/>
      <c r="E240" s="65"/>
      <c r="F240" s="65"/>
      <c r="G240" s="65"/>
      <c r="H240" s="36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</row>
    <row r="241" spans="1:23" x14ac:dyDescent="0.2">
      <c r="A241" s="105"/>
      <c r="B241" s="106"/>
      <c r="C241" s="65"/>
      <c r="D241" s="65"/>
      <c r="E241" s="65"/>
      <c r="F241" s="65"/>
      <c r="G241" s="65"/>
      <c r="H241" s="36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</row>
    <row r="242" spans="1:23" x14ac:dyDescent="0.2">
      <c r="A242" s="89"/>
      <c r="B242" s="90"/>
      <c r="C242" s="91"/>
      <c r="D242" s="92">
        <f>SUMIFS(D232:D241, F232:F241, "Y")</f>
        <v>10000</v>
      </c>
      <c r="E242" s="92">
        <f>SUMIFS(E232:E241, F232:F241, "Y")</f>
        <v>2000</v>
      </c>
      <c r="F242" s="92">
        <f>(SUMIFS(D232:D241, F232:F241, "Y") + SUMIFS(E232:E241, F232:F241, "Y"))</f>
        <v>12000</v>
      </c>
      <c r="G242" s="91"/>
      <c r="H242" s="93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</row>
    <row r="243" spans="1:23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</row>
    <row r="244" spans="1:23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</row>
    <row r="245" spans="1:23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</row>
    <row r="246" spans="1:23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</row>
    <row r="247" spans="1:23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</row>
    <row r="248" spans="1:23" x14ac:dyDescent="0.2">
      <c r="A248" s="256" t="s">
        <v>146</v>
      </c>
      <c r="B248" s="257"/>
      <c r="C248" s="114" t="s">
        <v>147</v>
      </c>
      <c r="D248" s="31"/>
      <c r="E248" s="31"/>
      <c r="F248" s="31"/>
      <c r="G248" s="31"/>
      <c r="H248" s="32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</row>
    <row r="249" spans="1:23" x14ac:dyDescent="0.2">
      <c r="A249" s="265" t="s">
        <v>7</v>
      </c>
      <c r="B249" s="259"/>
      <c r="C249" s="33">
        <v>30000</v>
      </c>
      <c r="D249" s="115"/>
      <c r="E249" s="35"/>
      <c r="F249" s="35"/>
      <c r="G249" s="35"/>
      <c r="H249" s="36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</row>
    <row r="250" spans="1:23" x14ac:dyDescent="0.2">
      <c r="A250" s="265" t="s">
        <v>8</v>
      </c>
      <c r="B250" s="259"/>
      <c r="C250" s="37" t="s">
        <v>148</v>
      </c>
      <c r="D250" s="35"/>
      <c r="E250" s="38"/>
      <c r="F250" s="38"/>
      <c r="G250" s="38"/>
      <c r="H250" s="39" t="s">
        <v>10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</row>
    <row r="251" spans="1:23" x14ac:dyDescent="0.2">
      <c r="A251" s="265" t="s">
        <v>103</v>
      </c>
      <c r="B251" s="259"/>
      <c r="C251" s="43">
        <v>6000</v>
      </c>
      <c r="D251" s="44"/>
      <c r="E251" s="266" t="s">
        <v>14</v>
      </c>
      <c r="F251" s="45" t="s">
        <v>15</v>
      </c>
      <c r="G251" s="43">
        <v>10660</v>
      </c>
      <c r="H251" s="46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</row>
    <row r="252" spans="1:23" x14ac:dyDescent="0.2">
      <c r="A252" s="265" t="s">
        <v>17</v>
      </c>
      <c r="B252" s="259"/>
      <c r="C252" s="43">
        <v>1</v>
      </c>
      <c r="D252" s="44"/>
      <c r="E252" s="261"/>
      <c r="F252" s="45" t="s">
        <v>18</v>
      </c>
      <c r="G252" s="43">
        <v>19340</v>
      </c>
      <c r="H252" s="46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</row>
    <row r="253" spans="1:23" x14ac:dyDescent="0.2">
      <c r="A253" s="265" t="s">
        <v>20</v>
      </c>
      <c r="B253" s="259"/>
      <c r="C253" s="43">
        <f>C251*C252</f>
        <v>6000</v>
      </c>
      <c r="D253" s="35"/>
      <c r="E253" s="54"/>
      <c r="F253" s="35"/>
      <c r="G253" s="44"/>
      <c r="H253" s="36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</row>
    <row r="254" spans="1:23" x14ac:dyDescent="0.2">
      <c r="A254" s="265" t="s">
        <v>22</v>
      </c>
      <c r="B254" s="259"/>
      <c r="C254" s="33">
        <f>C249+C253</f>
        <v>36000</v>
      </c>
      <c r="D254" s="35"/>
      <c r="E254" s="35"/>
      <c r="F254" s="35"/>
      <c r="G254" s="35"/>
      <c r="H254" s="36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</row>
    <row r="255" spans="1:23" x14ac:dyDescent="0.2">
      <c r="A255" s="265" t="s">
        <v>149</v>
      </c>
      <c r="B255" s="259"/>
      <c r="C255" s="116">
        <v>18000</v>
      </c>
      <c r="D255" s="117">
        <v>45707</v>
      </c>
      <c r="E255" s="35"/>
      <c r="F255" s="35"/>
      <c r="G255" s="35"/>
      <c r="H255" s="36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</row>
    <row r="256" spans="1:23" x14ac:dyDescent="0.2">
      <c r="A256" s="265" t="s">
        <v>28</v>
      </c>
      <c r="B256" s="259"/>
      <c r="C256" s="58" t="s">
        <v>145</v>
      </c>
      <c r="D256" s="35"/>
      <c r="E256" s="35"/>
      <c r="F256" s="35"/>
      <c r="G256" s="35"/>
      <c r="H256" s="36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</row>
    <row r="257" spans="1:23" x14ac:dyDescent="0.2">
      <c r="A257" s="62" t="s">
        <v>31</v>
      </c>
      <c r="B257" s="63" t="s">
        <v>106</v>
      </c>
      <c r="C257" s="45" t="s">
        <v>33</v>
      </c>
      <c r="D257" s="45" t="s">
        <v>34</v>
      </c>
      <c r="E257" s="45" t="s">
        <v>35</v>
      </c>
      <c r="F257" s="45" t="s">
        <v>36</v>
      </c>
      <c r="G257" s="45" t="s">
        <v>37</v>
      </c>
      <c r="H257" s="36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</row>
    <row r="258" spans="1:23" x14ac:dyDescent="0.2">
      <c r="A258" s="62">
        <v>0</v>
      </c>
      <c r="B258" s="65"/>
      <c r="C258" s="65"/>
      <c r="D258" s="65"/>
      <c r="E258" s="65"/>
      <c r="F258" s="65"/>
      <c r="G258" s="43">
        <f>C254</f>
        <v>36000</v>
      </c>
      <c r="H258" s="36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</row>
    <row r="259" spans="1:23" x14ac:dyDescent="0.2">
      <c r="A259" s="62">
        <v>1</v>
      </c>
      <c r="B259" s="100">
        <v>45694</v>
      </c>
      <c r="C259" s="43">
        <v>18000</v>
      </c>
      <c r="D259" s="43">
        <v>15000</v>
      </c>
      <c r="E259" s="43">
        <v>3000</v>
      </c>
      <c r="F259" s="43" t="s">
        <v>41</v>
      </c>
      <c r="G259" s="43">
        <f t="shared" ref="G259:G266" si="25">(G258-C259)</f>
        <v>18000</v>
      </c>
      <c r="H259" s="36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</row>
    <row r="260" spans="1:23" x14ac:dyDescent="0.2">
      <c r="A260" s="62">
        <v>2</v>
      </c>
      <c r="B260" s="100">
        <v>45709</v>
      </c>
      <c r="C260" s="43">
        <v>18000</v>
      </c>
      <c r="D260" s="43">
        <v>15000</v>
      </c>
      <c r="E260" s="43">
        <v>3000</v>
      </c>
      <c r="F260" s="43" t="s">
        <v>41</v>
      </c>
      <c r="G260" s="43">
        <f t="shared" si="25"/>
        <v>0</v>
      </c>
      <c r="H260" s="36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</row>
    <row r="261" spans="1:23" x14ac:dyDescent="0.2">
      <c r="A261" s="62">
        <v>3</v>
      </c>
      <c r="B261" s="45"/>
      <c r="C261" s="43"/>
      <c r="D261" s="43"/>
      <c r="E261" s="43"/>
      <c r="F261" s="43" t="s">
        <v>107</v>
      </c>
      <c r="G261" s="43">
        <f t="shared" si="25"/>
        <v>0</v>
      </c>
      <c r="H261" s="36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</row>
    <row r="262" spans="1:23" x14ac:dyDescent="0.2">
      <c r="A262" s="62">
        <v>4</v>
      </c>
      <c r="B262" s="113"/>
      <c r="C262" s="43"/>
      <c r="D262" s="43"/>
      <c r="E262" s="43"/>
      <c r="F262" s="43" t="s">
        <v>107</v>
      </c>
      <c r="G262" s="43">
        <f t="shared" si="25"/>
        <v>0</v>
      </c>
      <c r="H262" s="36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</row>
    <row r="263" spans="1:23" x14ac:dyDescent="0.2">
      <c r="A263" s="62">
        <v>5</v>
      </c>
      <c r="B263" s="106"/>
      <c r="C263" s="43"/>
      <c r="D263" s="43"/>
      <c r="E263" s="43"/>
      <c r="F263" s="43" t="s">
        <v>107</v>
      </c>
      <c r="G263" s="43">
        <f t="shared" si="25"/>
        <v>0</v>
      </c>
      <c r="H263" s="36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</row>
    <row r="264" spans="1:23" x14ac:dyDescent="0.2">
      <c r="A264" s="62">
        <v>6</v>
      </c>
      <c r="B264" s="106"/>
      <c r="C264" s="43"/>
      <c r="D264" s="43"/>
      <c r="E264" s="43"/>
      <c r="F264" s="43" t="s">
        <v>107</v>
      </c>
      <c r="G264" s="43">
        <f t="shared" si="25"/>
        <v>0</v>
      </c>
      <c r="H264" s="36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</row>
    <row r="265" spans="1:23" x14ac:dyDescent="0.2">
      <c r="A265" s="62">
        <v>7</v>
      </c>
      <c r="B265" s="106"/>
      <c r="C265" s="43"/>
      <c r="D265" s="43"/>
      <c r="E265" s="43"/>
      <c r="F265" s="43" t="s">
        <v>107</v>
      </c>
      <c r="G265" s="43">
        <f t="shared" si="25"/>
        <v>0</v>
      </c>
      <c r="H265" s="36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</row>
    <row r="266" spans="1:23" x14ac:dyDescent="0.2">
      <c r="A266" s="62">
        <v>8</v>
      </c>
      <c r="B266" s="106"/>
      <c r="C266" s="43"/>
      <c r="D266" s="43"/>
      <c r="E266" s="43"/>
      <c r="F266" s="43" t="s">
        <v>107</v>
      </c>
      <c r="G266" s="43">
        <f t="shared" si="25"/>
        <v>0</v>
      </c>
      <c r="H266" s="36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</row>
    <row r="267" spans="1:23" x14ac:dyDescent="0.2">
      <c r="A267" s="105"/>
      <c r="B267" s="106"/>
      <c r="C267" s="65"/>
      <c r="D267" s="65"/>
      <c r="E267" s="65"/>
      <c r="F267" s="65"/>
      <c r="G267" s="65"/>
      <c r="H267" s="36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</row>
    <row r="268" spans="1:23" x14ac:dyDescent="0.2">
      <c r="A268" s="105"/>
      <c r="B268" s="106"/>
      <c r="C268" s="65"/>
      <c r="D268" s="65"/>
      <c r="E268" s="65"/>
      <c r="F268" s="65"/>
      <c r="G268" s="65"/>
      <c r="H268" s="36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</row>
    <row r="269" spans="1:23" x14ac:dyDescent="0.2">
      <c r="A269" s="89"/>
      <c r="B269" s="90"/>
      <c r="C269" s="91"/>
      <c r="D269" s="92">
        <f>SUMIFS(D259:D268, F259:F268, "Y")</f>
        <v>30000</v>
      </c>
      <c r="E269" s="92">
        <f>SUMIFS(E259:E268, F259:F268, "Y")</f>
        <v>6000</v>
      </c>
      <c r="F269" s="92">
        <f>(SUMIFS(D259:D268, F259:F268, "Y") + SUMIFS(E259:E268, F259:F268, "Y"))</f>
        <v>36000</v>
      </c>
      <c r="G269" s="91"/>
      <c r="H269" s="93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</row>
    <row r="270" spans="1:23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</row>
    <row r="271" spans="1:23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</row>
    <row r="272" spans="1:23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</row>
    <row r="273" spans="1:23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</row>
    <row r="274" spans="1:23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</row>
    <row r="275" spans="1:23" x14ac:dyDescent="0.2">
      <c r="A275" s="256" t="s">
        <v>150</v>
      </c>
      <c r="B275" s="257"/>
      <c r="C275" s="118"/>
      <c r="D275" s="119"/>
      <c r="E275" s="119"/>
      <c r="F275" s="119"/>
      <c r="G275" s="119"/>
      <c r="H275" s="12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</row>
    <row r="276" spans="1:23" x14ac:dyDescent="0.2">
      <c r="A276" s="258" t="s">
        <v>7</v>
      </c>
      <c r="B276" s="259"/>
      <c r="C276" s="121">
        <v>200000</v>
      </c>
      <c r="D276" s="122"/>
      <c r="E276" s="30"/>
      <c r="F276" s="30"/>
      <c r="G276" s="30"/>
      <c r="H276" s="123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</row>
    <row r="277" spans="1:23" x14ac:dyDescent="0.2">
      <c r="A277" s="258" t="s">
        <v>8</v>
      </c>
      <c r="B277" s="259"/>
      <c r="C277" s="124" t="s">
        <v>151</v>
      </c>
      <c r="D277" s="30"/>
      <c r="E277" s="49"/>
      <c r="F277" s="49"/>
      <c r="G277" s="49"/>
      <c r="H277" s="125" t="s">
        <v>10</v>
      </c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</row>
    <row r="278" spans="1:23" x14ac:dyDescent="0.2">
      <c r="A278" s="258" t="s">
        <v>152</v>
      </c>
      <c r="B278" s="259"/>
      <c r="C278" s="50">
        <v>30000</v>
      </c>
      <c r="D278" s="66"/>
      <c r="E278" s="260" t="s">
        <v>14</v>
      </c>
      <c r="F278" s="126" t="s">
        <v>15</v>
      </c>
      <c r="G278" s="50">
        <v>86190</v>
      </c>
      <c r="H278" s="127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</row>
    <row r="279" spans="1:23" x14ac:dyDescent="0.2">
      <c r="A279" s="258" t="s">
        <v>17</v>
      </c>
      <c r="B279" s="259"/>
      <c r="C279" s="50">
        <v>3</v>
      </c>
      <c r="D279" s="66" t="s">
        <v>153</v>
      </c>
      <c r="E279" s="261"/>
      <c r="F279" s="126" t="s">
        <v>18</v>
      </c>
      <c r="G279" s="50">
        <v>113810</v>
      </c>
      <c r="H279" s="127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</row>
    <row r="280" spans="1:23" x14ac:dyDescent="0.2">
      <c r="A280" s="258" t="s">
        <v>20</v>
      </c>
      <c r="B280" s="259"/>
      <c r="C280" s="50">
        <f>C278*C279</f>
        <v>90000</v>
      </c>
      <c r="D280" s="30"/>
      <c r="E280" s="128"/>
      <c r="F280" s="30"/>
      <c r="G280" s="66"/>
      <c r="H280" s="123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</row>
    <row r="281" spans="1:23" x14ac:dyDescent="0.2">
      <c r="A281" s="258" t="s">
        <v>22</v>
      </c>
      <c r="B281" s="259"/>
      <c r="C281" s="121">
        <f>C276+C280</f>
        <v>290000</v>
      </c>
      <c r="D281" s="30"/>
      <c r="E281" s="30"/>
      <c r="F281" s="30"/>
      <c r="G281" s="30"/>
      <c r="H281" s="123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</row>
    <row r="282" spans="1:23" x14ac:dyDescent="0.2">
      <c r="A282" s="258" t="s">
        <v>154</v>
      </c>
      <c r="B282" s="259"/>
      <c r="C282" s="129">
        <v>3000</v>
      </c>
      <c r="D282" s="30" t="s">
        <v>155</v>
      </c>
      <c r="E282" s="30"/>
      <c r="F282" s="30"/>
      <c r="G282" s="30"/>
      <c r="H282" s="123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</row>
    <row r="283" spans="1:23" x14ac:dyDescent="0.2">
      <c r="A283" s="258" t="s">
        <v>28</v>
      </c>
      <c r="B283" s="259"/>
      <c r="C283" s="130" t="s">
        <v>29</v>
      </c>
      <c r="D283" s="30"/>
      <c r="E283" s="30"/>
      <c r="F283" s="30"/>
      <c r="G283" s="30"/>
      <c r="H283" s="123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</row>
    <row r="284" spans="1:23" x14ac:dyDescent="0.2">
      <c r="A284" s="131" t="s">
        <v>31</v>
      </c>
      <c r="B284" s="132" t="s">
        <v>106</v>
      </c>
      <c r="C284" s="133" t="s">
        <v>33</v>
      </c>
      <c r="D284" s="133" t="s">
        <v>34</v>
      </c>
      <c r="E284" s="133" t="s">
        <v>35</v>
      </c>
      <c r="F284" s="133" t="s">
        <v>36</v>
      </c>
      <c r="G284" s="133" t="s">
        <v>37</v>
      </c>
      <c r="H284" s="123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</row>
    <row r="285" spans="1:23" x14ac:dyDescent="0.2">
      <c r="A285" s="134">
        <v>0</v>
      </c>
      <c r="B285" s="135"/>
      <c r="C285" s="135"/>
      <c r="D285" s="135"/>
      <c r="E285" s="135"/>
      <c r="F285" s="135"/>
      <c r="G285" s="50">
        <f>C281</f>
        <v>290000</v>
      </c>
      <c r="H285" s="123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</row>
    <row r="286" spans="1:23" x14ac:dyDescent="0.2">
      <c r="A286" s="134">
        <v>1</v>
      </c>
      <c r="B286" s="136">
        <v>45691</v>
      </c>
      <c r="C286" s="50">
        <v>12000</v>
      </c>
      <c r="D286" s="50">
        <f t="shared" ref="D286:D302" si="26">C286/1.45</f>
        <v>8275.8620689655181</v>
      </c>
      <c r="E286" s="50">
        <f t="shared" ref="E286:E302" si="27">C286-D286</f>
        <v>3724.1379310344819</v>
      </c>
      <c r="F286" s="50" t="s">
        <v>41</v>
      </c>
      <c r="G286" s="50">
        <f t="shared" ref="G286:G302" si="28">(G285-C286)</f>
        <v>278000</v>
      </c>
      <c r="H286" s="123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</row>
    <row r="287" spans="1:23" x14ac:dyDescent="0.2">
      <c r="A287" s="134">
        <v>2</v>
      </c>
      <c r="B287" s="136">
        <v>45698</v>
      </c>
      <c r="C287" s="50">
        <v>18000</v>
      </c>
      <c r="D287" s="50">
        <f t="shared" si="26"/>
        <v>12413.793103448275</v>
      </c>
      <c r="E287" s="50">
        <f t="shared" si="27"/>
        <v>5586.2068965517246</v>
      </c>
      <c r="F287" s="50" t="s">
        <v>41</v>
      </c>
      <c r="G287" s="50">
        <f t="shared" si="28"/>
        <v>260000</v>
      </c>
      <c r="H287" s="123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</row>
    <row r="288" spans="1:23" x14ac:dyDescent="0.2">
      <c r="A288" s="134">
        <v>3</v>
      </c>
      <c r="B288" s="136">
        <v>45705</v>
      </c>
      <c r="C288" s="50">
        <v>21000</v>
      </c>
      <c r="D288" s="50">
        <f t="shared" si="26"/>
        <v>14482.758620689656</v>
      </c>
      <c r="E288" s="50">
        <f t="shared" si="27"/>
        <v>6517.2413793103442</v>
      </c>
      <c r="F288" s="50" t="s">
        <v>41</v>
      </c>
      <c r="G288" s="50">
        <f t="shared" si="28"/>
        <v>239000</v>
      </c>
      <c r="H288" s="123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</row>
    <row r="289" spans="1:23" x14ac:dyDescent="0.2">
      <c r="A289" s="134">
        <v>4</v>
      </c>
      <c r="B289" s="136">
        <v>45712</v>
      </c>
      <c r="C289" s="50">
        <v>21000</v>
      </c>
      <c r="D289" s="50">
        <f t="shared" si="26"/>
        <v>14482.758620689656</v>
      </c>
      <c r="E289" s="50">
        <f t="shared" si="27"/>
        <v>6517.2413793103442</v>
      </c>
      <c r="F289" s="50" t="s">
        <v>41</v>
      </c>
      <c r="G289" s="50">
        <f t="shared" si="28"/>
        <v>218000</v>
      </c>
      <c r="H289" s="123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</row>
    <row r="290" spans="1:23" x14ac:dyDescent="0.2">
      <c r="A290" s="134">
        <v>5</v>
      </c>
      <c r="B290" s="137">
        <v>45719</v>
      </c>
      <c r="C290" s="50">
        <v>21000</v>
      </c>
      <c r="D290" s="50">
        <f t="shared" si="26"/>
        <v>14482.758620689656</v>
      </c>
      <c r="E290" s="50">
        <f t="shared" si="27"/>
        <v>6517.2413793103442</v>
      </c>
      <c r="F290" s="50" t="s">
        <v>41</v>
      </c>
      <c r="G290" s="50">
        <f t="shared" si="28"/>
        <v>197000</v>
      </c>
      <c r="H290" s="123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</row>
    <row r="291" spans="1:23" x14ac:dyDescent="0.2">
      <c r="A291" s="134">
        <v>6</v>
      </c>
      <c r="B291" s="137">
        <v>45726</v>
      </c>
      <c r="C291" s="50">
        <v>18000</v>
      </c>
      <c r="D291" s="50">
        <f t="shared" si="26"/>
        <v>12413.793103448275</v>
      </c>
      <c r="E291" s="50">
        <f t="shared" si="27"/>
        <v>5586.2068965517246</v>
      </c>
      <c r="F291" s="50" t="s">
        <v>41</v>
      </c>
      <c r="G291" s="50">
        <f t="shared" si="28"/>
        <v>179000</v>
      </c>
      <c r="H291" s="123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</row>
    <row r="292" spans="1:23" x14ac:dyDescent="0.2">
      <c r="A292" s="134">
        <v>7</v>
      </c>
      <c r="B292" s="137">
        <v>45733</v>
      </c>
      <c r="C292" s="50">
        <v>18000</v>
      </c>
      <c r="D292" s="50">
        <f t="shared" si="26"/>
        <v>12413.793103448275</v>
      </c>
      <c r="E292" s="50">
        <f t="shared" si="27"/>
        <v>5586.2068965517246</v>
      </c>
      <c r="F292" s="50" t="s">
        <v>41</v>
      </c>
      <c r="G292" s="50">
        <f t="shared" si="28"/>
        <v>161000</v>
      </c>
      <c r="H292" s="123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</row>
    <row r="293" spans="1:23" x14ac:dyDescent="0.2">
      <c r="A293" s="134">
        <v>8</v>
      </c>
      <c r="B293" s="137">
        <v>45740</v>
      </c>
      <c r="C293" s="50">
        <v>18000</v>
      </c>
      <c r="D293" s="50">
        <f t="shared" si="26"/>
        <v>12413.793103448275</v>
      </c>
      <c r="E293" s="50">
        <f t="shared" si="27"/>
        <v>5586.2068965517246</v>
      </c>
      <c r="F293" s="50" t="s">
        <v>41</v>
      </c>
      <c r="G293" s="50">
        <f t="shared" si="28"/>
        <v>143000</v>
      </c>
      <c r="H293" s="123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</row>
    <row r="294" spans="1:23" x14ac:dyDescent="0.2">
      <c r="A294" s="134">
        <v>9</v>
      </c>
      <c r="B294" s="137">
        <v>45747</v>
      </c>
      <c r="C294" s="135">
        <v>15000</v>
      </c>
      <c r="D294" s="50">
        <f t="shared" si="26"/>
        <v>10344.827586206897</v>
      </c>
      <c r="E294" s="50">
        <f t="shared" si="27"/>
        <v>4655.1724137931033</v>
      </c>
      <c r="F294" s="50" t="s">
        <v>41</v>
      </c>
      <c r="G294" s="50">
        <f t="shared" si="28"/>
        <v>128000</v>
      </c>
      <c r="H294" s="123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</row>
    <row r="295" spans="1:23" x14ac:dyDescent="0.2">
      <c r="A295" s="134">
        <v>10</v>
      </c>
      <c r="B295" s="137">
        <v>45754</v>
      </c>
      <c r="C295" s="135">
        <v>9000</v>
      </c>
      <c r="D295" s="50">
        <f t="shared" si="26"/>
        <v>6206.8965517241377</v>
      </c>
      <c r="E295" s="50">
        <f t="shared" si="27"/>
        <v>2793.1034482758623</v>
      </c>
      <c r="F295" s="50" t="s">
        <v>41</v>
      </c>
      <c r="G295" s="50">
        <f t="shared" si="28"/>
        <v>119000</v>
      </c>
      <c r="H295" s="123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</row>
    <row r="296" spans="1:23" x14ac:dyDescent="0.2">
      <c r="A296" s="134">
        <v>11</v>
      </c>
      <c r="B296" s="137">
        <v>45761</v>
      </c>
      <c r="C296" s="135">
        <v>12000</v>
      </c>
      <c r="D296" s="50">
        <f t="shared" si="26"/>
        <v>8275.8620689655181</v>
      </c>
      <c r="E296" s="50">
        <f t="shared" si="27"/>
        <v>3724.1379310344819</v>
      </c>
      <c r="F296" s="50" t="s">
        <v>41</v>
      </c>
      <c r="G296" s="50">
        <f t="shared" si="28"/>
        <v>107000</v>
      </c>
      <c r="H296" s="123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</row>
    <row r="297" spans="1:23" x14ac:dyDescent="0.2">
      <c r="A297" s="134">
        <v>12</v>
      </c>
      <c r="B297" s="137">
        <v>45768</v>
      </c>
      <c r="C297" s="135">
        <v>3000</v>
      </c>
      <c r="D297" s="50">
        <f t="shared" si="26"/>
        <v>2068.9655172413795</v>
      </c>
      <c r="E297" s="50">
        <f t="shared" si="27"/>
        <v>931.03448275862047</v>
      </c>
      <c r="F297" s="50" t="s">
        <v>41</v>
      </c>
      <c r="G297" s="50">
        <f t="shared" si="28"/>
        <v>104000</v>
      </c>
      <c r="H297" s="123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</row>
    <row r="298" spans="1:23" x14ac:dyDescent="0.2">
      <c r="A298" s="134">
        <v>13</v>
      </c>
      <c r="B298" s="137">
        <v>45775</v>
      </c>
      <c r="C298" s="135">
        <v>6000</v>
      </c>
      <c r="D298" s="50">
        <f t="shared" si="26"/>
        <v>4137.9310344827591</v>
      </c>
      <c r="E298" s="50">
        <f t="shared" si="27"/>
        <v>1862.0689655172409</v>
      </c>
      <c r="F298" s="50" t="s">
        <v>41</v>
      </c>
      <c r="G298" s="50">
        <f t="shared" si="28"/>
        <v>98000</v>
      </c>
      <c r="H298" s="123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</row>
    <row r="299" spans="1:23" x14ac:dyDescent="0.2">
      <c r="A299" s="134">
        <v>14</v>
      </c>
      <c r="B299" s="137">
        <v>45782</v>
      </c>
      <c r="C299" s="135">
        <v>3000</v>
      </c>
      <c r="D299" s="50">
        <f t="shared" si="26"/>
        <v>2068.9655172413795</v>
      </c>
      <c r="E299" s="50">
        <f t="shared" si="27"/>
        <v>931.03448275862047</v>
      </c>
      <c r="F299" s="50" t="s">
        <v>41</v>
      </c>
      <c r="G299" s="50">
        <f t="shared" si="28"/>
        <v>95000</v>
      </c>
      <c r="H299" s="123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</row>
    <row r="300" spans="1:23" x14ac:dyDescent="0.2">
      <c r="A300" s="134">
        <v>15</v>
      </c>
      <c r="B300" s="137">
        <v>45789</v>
      </c>
      <c r="C300" s="135">
        <v>6000</v>
      </c>
      <c r="D300" s="50">
        <f t="shared" si="26"/>
        <v>4137.9310344827591</v>
      </c>
      <c r="E300" s="50">
        <f t="shared" si="27"/>
        <v>1862.0689655172409</v>
      </c>
      <c r="F300" s="50" t="s">
        <v>107</v>
      </c>
      <c r="G300" s="50">
        <f t="shared" si="28"/>
        <v>89000</v>
      </c>
      <c r="H300" s="123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</row>
    <row r="301" spans="1:23" x14ac:dyDescent="0.2">
      <c r="A301" s="134">
        <v>16</v>
      </c>
      <c r="B301" s="137">
        <v>45796</v>
      </c>
      <c r="C301" s="135"/>
      <c r="D301" s="50">
        <f t="shared" si="26"/>
        <v>0</v>
      </c>
      <c r="E301" s="50">
        <f t="shared" si="27"/>
        <v>0</v>
      </c>
      <c r="F301" s="50" t="s">
        <v>107</v>
      </c>
      <c r="G301" s="50">
        <f t="shared" si="28"/>
        <v>89000</v>
      </c>
      <c r="H301" s="123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</row>
    <row r="302" spans="1:23" x14ac:dyDescent="0.2">
      <c r="A302" s="134">
        <v>17</v>
      </c>
      <c r="B302" s="137">
        <v>45803</v>
      </c>
      <c r="C302" s="135"/>
      <c r="D302" s="50">
        <f t="shared" si="26"/>
        <v>0</v>
      </c>
      <c r="E302" s="50">
        <f t="shared" si="27"/>
        <v>0</v>
      </c>
      <c r="F302" s="50" t="s">
        <v>107</v>
      </c>
      <c r="G302" s="50">
        <f t="shared" si="28"/>
        <v>89000</v>
      </c>
      <c r="H302" s="123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</row>
    <row r="303" spans="1:23" x14ac:dyDescent="0.2">
      <c r="A303" s="138"/>
      <c r="B303" s="139"/>
      <c r="C303" s="140"/>
      <c r="D303" s="141">
        <f>SUMIFS(D286:D302, F286:F302, "Y")</f>
        <v>134482.75862068965</v>
      </c>
      <c r="E303" s="142">
        <f>SUMIFS(E286:E302, F286:F302, "Y")</f>
        <v>60517.241379310341</v>
      </c>
      <c r="F303" s="143">
        <f>(SUMIFS(D286:D302, F286:F302, "Y") + SUMIFS(E286:E302, F286:F302, "Y"))</f>
        <v>195000</v>
      </c>
      <c r="G303" s="140"/>
      <c r="H303" s="144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</row>
    <row r="304" spans="1:23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</row>
    <row r="305" spans="1:23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</row>
    <row r="306" spans="1:23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</row>
    <row r="307" spans="1:23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spans="1:23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</row>
    <row r="309" spans="1:23" x14ac:dyDescent="0.2">
      <c r="A309" s="256" t="s">
        <v>156</v>
      </c>
      <c r="B309" s="257"/>
      <c r="C309" s="31"/>
      <c r="D309" s="31"/>
      <c r="E309" s="31"/>
      <c r="F309" s="31"/>
      <c r="G309" s="31"/>
      <c r="H309" s="32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</row>
    <row r="310" spans="1:23" x14ac:dyDescent="0.2">
      <c r="A310" s="265" t="s">
        <v>7</v>
      </c>
      <c r="B310" s="259"/>
      <c r="C310" s="33">
        <v>50000</v>
      </c>
      <c r="D310" s="35"/>
      <c r="E310" s="35"/>
      <c r="F310" s="35"/>
      <c r="G310" s="35"/>
      <c r="H310" s="36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</row>
    <row r="311" spans="1:23" x14ac:dyDescent="0.2">
      <c r="A311" s="265" t="s">
        <v>8</v>
      </c>
      <c r="B311" s="259"/>
      <c r="C311" s="112">
        <v>45691</v>
      </c>
      <c r="D311" s="35"/>
      <c r="E311" s="38"/>
      <c r="F311" s="38"/>
      <c r="G311" s="38"/>
      <c r="H311" s="39" t="s">
        <v>10</v>
      </c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</row>
    <row r="312" spans="1:23" x14ac:dyDescent="0.2">
      <c r="A312" s="265" t="s">
        <v>103</v>
      </c>
      <c r="B312" s="259"/>
      <c r="C312" s="43">
        <v>10000</v>
      </c>
      <c r="D312" s="44"/>
      <c r="E312" s="266" t="s">
        <v>14</v>
      </c>
      <c r="F312" s="45" t="s">
        <v>15</v>
      </c>
      <c r="G312" s="43">
        <v>0</v>
      </c>
      <c r="H312" s="46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</row>
    <row r="313" spans="1:23" x14ac:dyDescent="0.2">
      <c r="A313" s="265" t="s">
        <v>17</v>
      </c>
      <c r="B313" s="259"/>
      <c r="C313" s="43">
        <v>2</v>
      </c>
      <c r="D313" s="44"/>
      <c r="E313" s="261"/>
      <c r="F313" s="45" t="s">
        <v>18</v>
      </c>
      <c r="G313" s="43">
        <v>50000</v>
      </c>
      <c r="H313" s="46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</row>
    <row r="314" spans="1:23" x14ac:dyDescent="0.2">
      <c r="A314" s="265" t="s">
        <v>20</v>
      </c>
      <c r="B314" s="259"/>
      <c r="C314" s="43">
        <f>C312*C313</f>
        <v>20000</v>
      </c>
      <c r="D314" s="35"/>
      <c r="E314" s="54"/>
      <c r="F314" s="35"/>
      <c r="G314" s="44"/>
      <c r="H314" s="36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</row>
    <row r="315" spans="1:23" x14ac:dyDescent="0.2">
      <c r="A315" s="265" t="s">
        <v>22</v>
      </c>
      <c r="B315" s="259"/>
      <c r="C315" s="33">
        <f>C310+C314</f>
        <v>70000</v>
      </c>
      <c r="D315" s="35"/>
      <c r="E315" s="35"/>
      <c r="F315" s="35"/>
      <c r="G315" s="35"/>
      <c r="H315" s="36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</row>
    <row r="316" spans="1:23" x14ac:dyDescent="0.2">
      <c r="A316" s="265" t="s">
        <v>24</v>
      </c>
      <c r="B316" s="259"/>
      <c r="C316" s="57">
        <v>1200</v>
      </c>
      <c r="D316" s="35" t="s">
        <v>157</v>
      </c>
      <c r="E316" s="35"/>
      <c r="F316" s="35"/>
      <c r="G316" s="35"/>
      <c r="H316" s="36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</row>
    <row r="317" spans="1:23" x14ac:dyDescent="0.2">
      <c r="A317" s="265" t="s">
        <v>28</v>
      </c>
      <c r="B317" s="259"/>
      <c r="C317" s="58" t="s">
        <v>29</v>
      </c>
      <c r="D317" s="35"/>
      <c r="E317" s="35"/>
      <c r="F317" s="35"/>
      <c r="G317" s="35"/>
      <c r="H317" s="36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</row>
    <row r="318" spans="1:23" x14ac:dyDescent="0.2">
      <c r="A318" s="62" t="s">
        <v>31</v>
      </c>
      <c r="B318" s="63" t="s">
        <v>106</v>
      </c>
      <c r="C318" s="45" t="s">
        <v>33</v>
      </c>
      <c r="D318" s="45" t="s">
        <v>34</v>
      </c>
      <c r="E318" s="45" t="s">
        <v>35</v>
      </c>
      <c r="F318" s="45" t="s">
        <v>36</v>
      </c>
      <c r="G318" s="45" t="s">
        <v>37</v>
      </c>
      <c r="H318" s="36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</row>
    <row r="319" spans="1:23" x14ac:dyDescent="0.2">
      <c r="A319" s="62">
        <v>0</v>
      </c>
      <c r="B319" s="65"/>
      <c r="C319" s="65"/>
      <c r="D319" s="65"/>
      <c r="E319" s="65"/>
      <c r="F319" s="65"/>
      <c r="G319" s="43">
        <f>C315</f>
        <v>70000</v>
      </c>
      <c r="H319" s="36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  <row r="320" spans="1:23" x14ac:dyDescent="0.2">
      <c r="A320" s="62">
        <v>1</v>
      </c>
      <c r="B320" s="100">
        <v>45698</v>
      </c>
      <c r="C320" s="43">
        <v>6000</v>
      </c>
      <c r="D320" s="43">
        <f t="shared" ref="D320:D329" si="29">C320/1.4</f>
        <v>4285.7142857142862</v>
      </c>
      <c r="E320" s="43">
        <f t="shared" ref="E320:E329" si="30">C320-D320</f>
        <v>1714.2857142857138</v>
      </c>
      <c r="F320" s="43" t="s">
        <v>41</v>
      </c>
      <c r="G320" s="43">
        <f t="shared" ref="G320:G329" si="31">(G319-C320)</f>
        <v>64000</v>
      </c>
      <c r="H320" s="36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</row>
    <row r="321" spans="1:23" x14ac:dyDescent="0.2">
      <c r="A321" s="62">
        <v>2</v>
      </c>
      <c r="B321" s="100">
        <v>45705</v>
      </c>
      <c r="C321" s="43">
        <v>8400</v>
      </c>
      <c r="D321" s="43">
        <f t="shared" si="29"/>
        <v>6000</v>
      </c>
      <c r="E321" s="43">
        <f t="shared" si="30"/>
        <v>2400</v>
      </c>
      <c r="F321" s="43" t="s">
        <v>41</v>
      </c>
      <c r="G321" s="43">
        <f t="shared" si="31"/>
        <v>55600</v>
      </c>
      <c r="H321" s="36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</row>
    <row r="322" spans="1:23" x14ac:dyDescent="0.2">
      <c r="A322" s="62">
        <v>3</v>
      </c>
      <c r="B322" s="100">
        <v>45712</v>
      </c>
      <c r="C322" s="43">
        <v>8400</v>
      </c>
      <c r="D322" s="43">
        <f t="shared" si="29"/>
        <v>6000</v>
      </c>
      <c r="E322" s="43">
        <f t="shared" si="30"/>
        <v>2400</v>
      </c>
      <c r="F322" s="43" t="s">
        <v>41</v>
      </c>
      <c r="G322" s="43">
        <f t="shared" si="31"/>
        <v>47200</v>
      </c>
      <c r="H322" s="36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</row>
    <row r="323" spans="1:23" x14ac:dyDescent="0.2">
      <c r="A323" s="62">
        <v>4</v>
      </c>
      <c r="B323" s="100">
        <v>45719</v>
      </c>
      <c r="C323" s="43">
        <v>7200</v>
      </c>
      <c r="D323" s="43">
        <f t="shared" si="29"/>
        <v>5142.8571428571431</v>
      </c>
      <c r="E323" s="43">
        <f t="shared" si="30"/>
        <v>2057.1428571428569</v>
      </c>
      <c r="F323" s="43" t="s">
        <v>41</v>
      </c>
      <c r="G323" s="43">
        <f t="shared" si="31"/>
        <v>40000</v>
      </c>
      <c r="H323" s="36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</row>
    <row r="324" spans="1:23" x14ac:dyDescent="0.2">
      <c r="A324" s="62">
        <v>5</v>
      </c>
      <c r="B324" s="103">
        <v>45726</v>
      </c>
      <c r="C324" s="43">
        <v>8400</v>
      </c>
      <c r="D324" s="43">
        <f t="shared" si="29"/>
        <v>6000</v>
      </c>
      <c r="E324" s="43">
        <f t="shared" si="30"/>
        <v>2400</v>
      </c>
      <c r="F324" s="43" t="s">
        <v>41</v>
      </c>
      <c r="G324" s="43">
        <f t="shared" si="31"/>
        <v>31600</v>
      </c>
      <c r="H324" s="36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</row>
    <row r="325" spans="1:23" x14ac:dyDescent="0.2">
      <c r="A325" s="62">
        <v>6</v>
      </c>
      <c r="B325" s="103">
        <v>45733</v>
      </c>
      <c r="C325" s="43">
        <v>8400</v>
      </c>
      <c r="D325" s="43">
        <f t="shared" si="29"/>
        <v>6000</v>
      </c>
      <c r="E325" s="43">
        <f t="shared" si="30"/>
        <v>2400</v>
      </c>
      <c r="F325" s="43" t="s">
        <v>41</v>
      </c>
      <c r="G325" s="43">
        <f t="shared" si="31"/>
        <v>23200</v>
      </c>
      <c r="H325" s="36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</row>
    <row r="326" spans="1:23" x14ac:dyDescent="0.2">
      <c r="A326" s="62">
        <v>7</v>
      </c>
      <c r="B326" s="103">
        <v>45733</v>
      </c>
      <c r="C326" s="43">
        <v>23200</v>
      </c>
      <c r="D326" s="43">
        <f t="shared" si="29"/>
        <v>16571.428571428572</v>
      </c>
      <c r="E326" s="43">
        <f t="shared" si="30"/>
        <v>6628.5714285714275</v>
      </c>
      <c r="F326" s="43" t="s">
        <v>41</v>
      </c>
      <c r="G326" s="43">
        <f t="shared" si="31"/>
        <v>0</v>
      </c>
      <c r="H326" s="36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</row>
    <row r="327" spans="1:23" x14ac:dyDescent="0.2">
      <c r="A327" s="62">
        <v>8</v>
      </c>
      <c r="B327" s="103"/>
      <c r="C327" s="43"/>
      <c r="D327" s="43">
        <f t="shared" si="29"/>
        <v>0</v>
      </c>
      <c r="E327" s="43">
        <f t="shared" si="30"/>
        <v>0</v>
      </c>
      <c r="F327" s="43" t="s">
        <v>107</v>
      </c>
      <c r="G327" s="43">
        <f t="shared" si="31"/>
        <v>0</v>
      </c>
      <c r="H327" s="36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</row>
    <row r="328" spans="1:23" x14ac:dyDescent="0.2">
      <c r="A328" s="62">
        <v>9</v>
      </c>
      <c r="B328" s="103"/>
      <c r="C328" s="65"/>
      <c r="D328" s="43">
        <f t="shared" si="29"/>
        <v>0</v>
      </c>
      <c r="E328" s="43">
        <f t="shared" si="30"/>
        <v>0</v>
      </c>
      <c r="F328" s="65"/>
      <c r="G328" s="43">
        <f t="shared" si="31"/>
        <v>0</v>
      </c>
      <c r="H328" s="36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</row>
    <row r="329" spans="1:23" x14ac:dyDescent="0.2">
      <c r="A329" s="62">
        <v>10</v>
      </c>
      <c r="B329" s="103"/>
      <c r="C329" s="65"/>
      <c r="D329" s="43">
        <f t="shared" si="29"/>
        <v>0</v>
      </c>
      <c r="E329" s="43">
        <f t="shared" si="30"/>
        <v>0</v>
      </c>
      <c r="F329" s="65"/>
      <c r="G329" s="43">
        <f t="shared" si="31"/>
        <v>0</v>
      </c>
      <c r="H329" s="36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</row>
    <row r="330" spans="1:23" x14ac:dyDescent="0.2">
      <c r="A330" s="89"/>
      <c r="B330" s="90"/>
      <c r="C330" s="91"/>
      <c r="D330" s="111">
        <f>SUMIFS(D320:D329, F320:F329, "Y")</f>
        <v>50000</v>
      </c>
      <c r="E330" s="111">
        <f>SUMIFS(E320:E329, F320:F329, "Y")</f>
        <v>20000</v>
      </c>
      <c r="F330" s="92">
        <f>(SUMIFS(D320:D329, F320:F329, "Y") + SUMIFS(E320:E329, F320:F329, "Y"))</f>
        <v>70000</v>
      </c>
      <c r="G330" s="91"/>
      <c r="H330" s="93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</row>
    <row r="331" spans="1:23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</row>
    <row r="332" spans="1:23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</row>
    <row r="333" spans="1:23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</row>
    <row r="334" spans="1:23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</row>
    <row r="335" spans="1:23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</row>
    <row r="336" spans="1:23" x14ac:dyDescent="0.2">
      <c r="A336" s="256" t="s">
        <v>158</v>
      </c>
      <c r="B336" s="257"/>
      <c r="C336" s="31"/>
      <c r="D336" s="31"/>
      <c r="E336" s="31"/>
      <c r="F336" s="31"/>
      <c r="G336" s="31"/>
      <c r="H336" s="32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</row>
    <row r="337" spans="1:23" x14ac:dyDescent="0.2">
      <c r="A337" s="265" t="s">
        <v>7</v>
      </c>
      <c r="B337" s="259"/>
      <c r="C337" s="33">
        <v>50000</v>
      </c>
      <c r="D337" s="35"/>
      <c r="E337" s="35"/>
      <c r="F337" s="35"/>
      <c r="G337" s="35"/>
      <c r="H337" s="36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</row>
    <row r="338" spans="1:23" x14ac:dyDescent="0.2">
      <c r="A338" s="265" t="s">
        <v>8</v>
      </c>
      <c r="B338" s="259"/>
      <c r="C338" s="112">
        <v>45693</v>
      </c>
      <c r="D338" s="35"/>
      <c r="E338" s="38"/>
      <c r="F338" s="38"/>
      <c r="G338" s="38"/>
      <c r="H338" s="39" t="s">
        <v>10</v>
      </c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</row>
    <row r="339" spans="1:23" x14ac:dyDescent="0.2">
      <c r="A339" s="265" t="s">
        <v>103</v>
      </c>
      <c r="B339" s="259"/>
      <c r="C339" s="43">
        <v>10000</v>
      </c>
      <c r="D339" s="44"/>
      <c r="E339" s="266" t="s">
        <v>14</v>
      </c>
      <c r="F339" s="45" t="s">
        <v>15</v>
      </c>
      <c r="G339" s="43">
        <v>31450</v>
      </c>
      <c r="H339" s="46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</row>
    <row r="340" spans="1:23" x14ac:dyDescent="0.2">
      <c r="A340" s="265" t="s">
        <v>17</v>
      </c>
      <c r="B340" s="259"/>
      <c r="C340" s="43">
        <v>2</v>
      </c>
      <c r="D340" s="44"/>
      <c r="E340" s="261"/>
      <c r="F340" s="45" t="s">
        <v>18</v>
      </c>
      <c r="G340" s="43">
        <v>18550</v>
      </c>
      <c r="H340" s="46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</row>
    <row r="341" spans="1:23" x14ac:dyDescent="0.2">
      <c r="A341" s="265" t="s">
        <v>20</v>
      </c>
      <c r="B341" s="259"/>
      <c r="C341" s="43">
        <f>C339*C340</f>
        <v>20000</v>
      </c>
      <c r="D341" s="35"/>
      <c r="E341" s="54"/>
      <c r="F341" s="35"/>
      <c r="G341" s="44"/>
      <c r="H341" s="36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</row>
    <row r="342" spans="1:23" x14ac:dyDescent="0.2">
      <c r="A342" s="265" t="s">
        <v>22</v>
      </c>
      <c r="B342" s="259"/>
      <c r="C342" s="33">
        <f>C337+C341</f>
        <v>70000</v>
      </c>
      <c r="D342" s="35"/>
      <c r="E342" s="35"/>
      <c r="F342" s="35"/>
      <c r="G342" s="35"/>
      <c r="H342" s="36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</row>
    <row r="343" spans="1:23" x14ac:dyDescent="0.2">
      <c r="A343" s="265" t="s">
        <v>24</v>
      </c>
      <c r="B343" s="259"/>
      <c r="C343" s="57">
        <v>1200</v>
      </c>
      <c r="D343" s="35" t="s">
        <v>138</v>
      </c>
      <c r="E343" s="35"/>
      <c r="F343" s="35"/>
      <c r="G343" s="35"/>
      <c r="H343" s="36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</row>
    <row r="344" spans="1:23" x14ac:dyDescent="0.2">
      <c r="A344" s="265" t="s">
        <v>28</v>
      </c>
      <c r="B344" s="259"/>
      <c r="C344" s="58" t="s">
        <v>29</v>
      </c>
      <c r="D344" s="35"/>
      <c r="E344" s="35"/>
      <c r="F344" s="35"/>
      <c r="G344" s="35"/>
      <c r="H344" s="36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</row>
    <row r="345" spans="1:23" x14ac:dyDescent="0.2">
      <c r="A345" s="62" t="s">
        <v>31</v>
      </c>
      <c r="B345" s="63" t="s">
        <v>106</v>
      </c>
      <c r="C345" s="45" t="s">
        <v>33</v>
      </c>
      <c r="D345" s="45" t="s">
        <v>34</v>
      </c>
      <c r="E345" s="45" t="s">
        <v>35</v>
      </c>
      <c r="F345" s="45" t="s">
        <v>36</v>
      </c>
      <c r="G345" s="45" t="s">
        <v>37</v>
      </c>
      <c r="H345" s="36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</row>
    <row r="346" spans="1:23" x14ac:dyDescent="0.2">
      <c r="A346" s="62">
        <v>0</v>
      </c>
      <c r="B346" s="65"/>
      <c r="C346" s="65"/>
      <c r="D346" s="65"/>
      <c r="E346" s="65"/>
      <c r="F346" s="65"/>
      <c r="G346" s="43">
        <f>C342</f>
        <v>70000</v>
      </c>
      <c r="H346" s="36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</row>
    <row r="347" spans="1:23" x14ac:dyDescent="0.2">
      <c r="A347" s="62">
        <v>1</v>
      </c>
      <c r="B347" s="100">
        <v>45698</v>
      </c>
      <c r="C347" s="43">
        <v>3600</v>
      </c>
      <c r="D347" s="43">
        <f t="shared" ref="D347:D356" si="32">C347/1.4</f>
        <v>2571.4285714285716</v>
      </c>
      <c r="E347" s="43">
        <f t="shared" ref="E347:E356" si="33">C347-D347</f>
        <v>1028.5714285714284</v>
      </c>
      <c r="F347" s="43" t="s">
        <v>41</v>
      </c>
      <c r="G347" s="43">
        <f t="shared" ref="G347:G356" si="34">(G346-C347)</f>
        <v>66400</v>
      </c>
      <c r="H347" s="36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</row>
    <row r="348" spans="1:23" x14ac:dyDescent="0.2">
      <c r="A348" s="62">
        <v>2</v>
      </c>
      <c r="B348" s="100">
        <v>45705</v>
      </c>
      <c r="C348" s="43">
        <v>7200</v>
      </c>
      <c r="D348" s="43">
        <f t="shared" si="32"/>
        <v>5142.8571428571431</v>
      </c>
      <c r="E348" s="43">
        <f t="shared" si="33"/>
        <v>2057.1428571428569</v>
      </c>
      <c r="F348" s="43" t="s">
        <v>41</v>
      </c>
      <c r="G348" s="43">
        <f t="shared" si="34"/>
        <v>59200</v>
      </c>
      <c r="H348" s="36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</row>
    <row r="349" spans="1:23" x14ac:dyDescent="0.2">
      <c r="A349" s="62">
        <v>3</v>
      </c>
      <c r="B349" s="100">
        <v>45712</v>
      </c>
      <c r="C349" s="43">
        <v>7200</v>
      </c>
      <c r="D349" s="43">
        <f t="shared" si="32"/>
        <v>5142.8571428571431</v>
      </c>
      <c r="E349" s="43">
        <f t="shared" si="33"/>
        <v>2057.1428571428569</v>
      </c>
      <c r="F349" s="43" t="s">
        <v>41</v>
      </c>
      <c r="G349" s="43">
        <f t="shared" si="34"/>
        <v>52000</v>
      </c>
      <c r="H349" s="36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</row>
    <row r="350" spans="1:23" x14ac:dyDescent="0.2">
      <c r="A350" s="62">
        <v>4</v>
      </c>
      <c r="B350" s="100">
        <v>45719</v>
      </c>
      <c r="C350" s="43">
        <v>8400</v>
      </c>
      <c r="D350" s="43">
        <f t="shared" si="32"/>
        <v>6000</v>
      </c>
      <c r="E350" s="43">
        <f t="shared" si="33"/>
        <v>2400</v>
      </c>
      <c r="F350" s="43" t="s">
        <v>41</v>
      </c>
      <c r="G350" s="43">
        <f t="shared" si="34"/>
        <v>43600</v>
      </c>
      <c r="H350" s="36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</row>
    <row r="351" spans="1:23" x14ac:dyDescent="0.2">
      <c r="A351" s="62">
        <v>5</v>
      </c>
      <c r="B351" s="103">
        <v>45726</v>
      </c>
      <c r="C351" s="43">
        <v>7200</v>
      </c>
      <c r="D351" s="43">
        <f t="shared" si="32"/>
        <v>5142.8571428571431</v>
      </c>
      <c r="E351" s="43">
        <f t="shared" si="33"/>
        <v>2057.1428571428569</v>
      </c>
      <c r="F351" s="43" t="s">
        <v>41</v>
      </c>
      <c r="G351" s="43">
        <f t="shared" si="34"/>
        <v>36400</v>
      </c>
      <c r="H351" s="36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</row>
    <row r="352" spans="1:23" x14ac:dyDescent="0.2">
      <c r="A352" s="62">
        <v>6</v>
      </c>
      <c r="B352" s="103">
        <v>45733</v>
      </c>
      <c r="C352" s="43">
        <v>7200</v>
      </c>
      <c r="D352" s="43">
        <f t="shared" si="32"/>
        <v>5142.8571428571431</v>
      </c>
      <c r="E352" s="43">
        <f t="shared" si="33"/>
        <v>2057.1428571428569</v>
      </c>
      <c r="F352" s="43" t="s">
        <v>41</v>
      </c>
      <c r="G352" s="43">
        <f t="shared" si="34"/>
        <v>29200</v>
      </c>
      <c r="H352" s="36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</row>
    <row r="353" spans="1:23" x14ac:dyDescent="0.2">
      <c r="A353" s="62">
        <v>7</v>
      </c>
      <c r="B353" s="103">
        <v>45740</v>
      </c>
      <c r="C353" s="43">
        <v>7200</v>
      </c>
      <c r="D353" s="43">
        <f t="shared" si="32"/>
        <v>5142.8571428571431</v>
      </c>
      <c r="E353" s="43">
        <f t="shared" si="33"/>
        <v>2057.1428571428569</v>
      </c>
      <c r="F353" s="43" t="s">
        <v>41</v>
      </c>
      <c r="G353" s="43">
        <f t="shared" si="34"/>
        <v>22000</v>
      </c>
      <c r="H353" s="36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</row>
    <row r="354" spans="1:23" x14ac:dyDescent="0.2">
      <c r="A354" s="62">
        <v>8</v>
      </c>
      <c r="B354" s="103">
        <v>45740</v>
      </c>
      <c r="C354" s="43">
        <v>22000</v>
      </c>
      <c r="D354" s="43">
        <f t="shared" si="32"/>
        <v>15714.285714285716</v>
      </c>
      <c r="E354" s="43">
        <f t="shared" si="33"/>
        <v>6285.7142857142844</v>
      </c>
      <c r="F354" s="43" t="s">
        <v>41</v>
      </c>
      <c r="G354" s="43">
        <f t="shared" si="34"/>
        <v>0</v>
      </c>
      <c r="H354" s="36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</row>
    <row r="355" spans="1:23" x14ac:dyDescent="0.2">
      <c r="A355" s="62">
        <v>9</v>
      </c>
      <c r="B355" s="103"/>
      <c r="C355" s="65"/>
      <c r="D355" s="43">
        <f t="shared" si="32"/>
        <v>0</v>
      </c>
      <c r="E355" s="43">
        <f t="shared" si="33"/>
        <v>0</v>
      </c>
      <c r="F355" s="65"/>
      <c r="G355" s="43">
        <f t="shared" si="34"/>
        <v>0</v>
      </c>
      <c r="H355" s="36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</row>
    <row r="356" spans="1:23" x14ac:dyDescent="0.2">
      <c r="A356" s="62">
        <v>10</v>
      </c>
      <c r="B356" s="103"/>
      <c r="C356" s="65"/>
      <c r="D356" s="43">
        <f t="shared" si="32"/>
        <v>0</v>
      </c>
      <c r="E356" s="43">
        <f t="shared" si="33"/>
        <v>0</v>
      </c>
      <c r="F356" s="65"/>
      <c r="G356" s="43">
        <f t="shared" si="34"/>
        <v>0</v>
      </c>
      <c r="H356" s="36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</row>
    <row r="357" spans="1:23" x14ac:dyDescent="0.2">
      <c r="A357" s="89"/>
      <c r="B357" s="90"/>
      <c r="C357" s="91"/>
      <c r="D357" s="111">
        <f>SUMIFS(D347:D356, F347:F356, "Y")</f>
        <v>50000.000000000007</v>
      </c>
      <c r="E357" s="111">
        <f>SUMIFS(E347:E356, F347:F356, "Y")</f>
        <v>20000</v>
      </c>
      <c r="F357" s="92">
        <f>(SUMIFS(D347:D356, F347:F356, "Y") + SUMIFS(E347:E356, F347:F356, "Y"))</f>
        <v>70000</v>
      </c>
      <c r="G357" s="91"/>
      <c r="H357" s="93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</row>
    <row r="358" spans="1:23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</row>
    <row r="359" spans="1:23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</row>
    <row r="360" spans="1:23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</row>
    <row r="361" spans="1:23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</row>
    <row r="362" spans="1:23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</row>
    <row r="363" spans="1:23" x14ac:dyDescent="0.2">
      <c r="A363" s="256" t="s">
        <v>159</v>
      </c>
      <c r="B363" s="257"/>
      <c r="C363" s="118"/>
      <c r="D363" s="119"/>
      <c r="E363" s="119"/>
      <c r="F363" s="119"/>
      <c r="G363" s="119"/>
      <c r="H363" s="12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</row>
    <row r="364" spans="1:23" x14ac:dyDescent="0.2">
      <c r="A364" s="258" t="s">
        <v>7</v>
      </c>
      <c r="B364" s="259"/>
      <c r="C364" s="121">
        <v>100000</v>
      </c>
      <c r="D364" s="122"/>
      <c r="E364" s="30"/>
      <c r="F364" s="30"/>
      <c r="G364" s="30"/>
      <c r="H364" s="123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 spans="1:23" x14ac:dyDescent="0.2">
      <c r="A365" s="258" t="s">
        <v>8</v>
      </c>
      <c r="B365" s="259"/>
      <c r="C365" s="124" t="s">
        <v>160</v>
      </c>
      <c r="D365" s="30"/>
      <c r="E365" s="49"/>
      <c r="F365" s="49"/>
      <c r="G365" s="49"/>
      <c r="H365" s="125" t="s">
        <v>10</v>
      </c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 spans="1:23" x14ac:dyDescent="0.2">
      <c r="A366" s="258" t="s">
        <v>152</v>
      </c>
      <c r="B366" s="259"/>
      <c r="C366" s="50">
        <v>15000</v>
      </c>
      <c r="D366" s="66"/>
      <c r="E366" s="260" t="s">
        <v>14</v>
      </c>
      <c r="F366" s="126" t="s">
        <v>15</v>
      </c>
      <c r="G366" s="50">
        <v>5250</v>
      </c>
      <c r="H366" s="127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 spans="1:23" x14ac:dyDescent="0.2">
      <c r="A367" s="258" t="s">
        <v>17</v>
      </c>
      <c r="B367" s="259"/>
      <c r="C367" s="50">
        <v>3</v>
      </c>
      <c r="D367" s="66" t="s">
        <v>153</v>
      </c>
      <c r="E367" s="261"/>
      <c r="F367" s="126" t="s">
        <v>18</v>
      </c>
      <c r="G367" s="50">
        <v>94750</v>
      </c>
      <c r="H367" s="127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 spans="1:23" x14ac:dyDescent="0.2">
      <c r="A368" s="258" t="s">
        <v>20</v>
      </c>
      <c r="B368" s="259"/>
      <c r="C368" s="50">
        <f>C366*C367</f>
        <v>45000</v>
      </c>
      <c r="D368" s="30"/>
      <c r="E368" s="128"/>
      <c r="F368" s="30"/>
      <c r="G368" s="66"/>
      <c r="H368" s="123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 spans="1:23" x14ac:dyDescent="0.2">
      <c r="A369" s="258" t="s">
        <v>22</v>
      </c>
      <c r="B369" s="259"/>
      <c r="C369" s="121">
        <f>C364+C368</f>
        <v>145000</v>
      </c>
      <c r="D369" s="30"/>
      <c r="E369" s="30"/>
      <c r="F369" s="30"/>
      <c r="G369" s="30"/>
      <c r="H369" s="123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 spans="1:23" x14ac:dyDescent="0.2">
      <c r="A370" s="258" t="s">
        <v>154</v>
      </c>
      <c r="B370" s="259"/>
      <c r="C370" s="129">
        <v>1500</v>
      </c>
      <c r="D370" s="30" t="s">
        <v>161</v>
      </c>
      <c r="E370" s="30"/>
      <c r="F370" s="30"/>
      <c r="G370" s="30"/>
      <c r="H370" s="123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 spans="1:23" x14ac:dyDescent="0.2">
      <c r="A371" s="258" t="s">
        <v>28</v>
      </c>
      <c r="B371" s="259"/>
      <c r="C371" s="130" t="s">
        <v>29</v>
      </c>
      <c r="D371" s="30"/>
      <c r="E371" s="30"/>
      <c r="F371" s="30"/>
      <c r="G371" s="30"/>
      <c r="H371" s="123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 spans="1:23" x14ac:dyDescent="0.2">
      <c r="A372" s="131" t="s">
        <v>31</v>
      </c>
      <c r="B372" s="132" t="s">
        <v>106</v>
      </c>
      <c r="C372" s="133" t="s">
        <v>33</v>
      </c>
      <c r="D372" s="133" t="s">
        <v>34</v>
      </c>
      <c r="E372" s="133" t="s">
        <v>35</v>
      </c>
      <c r="F372" s="133" t="s">
        <v>36</v>
      </c>
      <c r="G372" s="133" t="s">
        <v>37</v>
      </c>
      <c r="H372" s="123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 spans="1:23" x14ac:dyDescent="0.2">
      <c r="A373" s="134">
        <v>0</v>
      </c>
      <c r="B373" s="135"/>
      <c r="C373" s="135"/>
      <c r="D373" s="135"/>
      <c r="E373" s="135"/>
      <c r="F373" s="135"/>
      <c r="G373" s="50">
        <f>C369</f>
        <v>145000</v>
      </c>
      <c r="H373" s="123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 spans="1:23" x14ac:dyDescent="0.2">
      <c r="A374" s="134">
        <v>1</v>
      </c>
      <c r="B374" s="136">
        <v>45705</v>
      </c>
      <c r="C374" s="50">
        <v>7500</v>
      </c>
      <c r="D374" s="50">
        <f t="shared" ref="D374:D390" si="35">C374/1.45</f>
        <v>5172.4137931034484</v>
      </c>
      <c r="E374" s="50">
        <f t="shared" ref="E374:E390" si="36">C374-D374</f>
        <v>2327.5862068965516</v>
      </c>
      <c r="F374" s="50" t="s">
        <v>41</v>
      </c>
      <c r="G374" s="50">
        <f t="shared" ref="G374:G390" si="37">(G373-C374)</f>
        <v>137500</v>
      </c>
      <c r="H374" s="123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 spans="1:23" x14ac:dyDescent="0.2">
      <c r="A375" s="134">
        <v>2</v>
      </c>
      <c r="B375" s="136">
        <v>45712</v>
      </c>
      <c r="C375" s="50">
        <v>10500</v>
      </c>
      <c r="D375" s="50">
        <f t="shared" si="35"/>
        <v>7241.3793103448279</v>
      </c>
      <c r="E375" s="50">
        <f t="shared" si="36"/>
        <v>3258.6206896551721</v>
      </c>
      <c r="F375" s="50" t="s">
        <v>41</v>
      </c>
      <c r="G375" s="50">
        <f t="shared" si="37"/>
        <v>127000</v>
      </c>
      <c r="H375" s="123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 spans="1:23" x14ac:dyDescent="0.2">
      <c r="A376" s="134">
        <v>3</v>
      </c>
      <c r="B376" s="136">
        <v>45719</v>
      </c>
      <c r="C376" s="50">
        <v>7500</v>
      </c>
      <c r="D376" s="50">
        <f t="shared" si="35"/>
        <v>5172.4137931034484</v>
      </c>
      <c r="E376" s="50">
        <f t="shared" si="36"/>
        <v>2327.5862068965516</v>
      </c>
      <c r="F376" s="50" t="s">
        <v>41</v>
      </c>
      <c r="G376" s="50">
        <f t="shared" si="37"/>
        <v>119500</v>
      </c>
      <c r="H376" s="123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 spans="1:23" x14ac:dyDescent="0.2">
      <c r="A377" s="134">
        <v>4</v>
      </c>
      <c r="B377" s="136">
        <v>45726</v>
      </c>
      <c r="C377" s="50">
        <v>10500</v>
      </c>
      <c r="D377" s="50">
        <f t="shared" si="35"/>
        <v>7241.3793103448279</v>
      </c>
      <c r="E377" s="50">
        <f t="shared" si="36"/>
        <v>3258.6206896551721</v>
      </c>
      <c r="F377" s="50" t="s">
        <v>41</v>
      </c>
      <c r="G377" s="50">
        <f t="shared" si="37"/>
        <v>109000</v>
      </c>
      <c r="H377" s="123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 spans="1:23" x14ac:dyDescent="0.2">
      <c r="A378" s="134">
        <v>5</v>
      </c>
      <c r="B378" s="137">
        <v>45733</v>
      </c>
      <c r="C378" s="50">
        <v>7500</v>
      </c>
      <c r="D378" s="50">
        <f t="shared" si="35"/>
        <v>5172.4137931034484</v>
      </c>
      <c r="E378" s="50">
        <f t="shared" si="36"/>
        <v>2327.5862068965516</v>
      </c>
      <c r="F378" s="50" t="s">
        <v>41</v>
      </c>
      <c r="G378" s="50">
        <f t="shared" si="37"/>
        <v>101500</v>
      </c>
      <c r="H378" s="123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 spans="1:23" x14ac:dyDescent="0.2">
      <c r="A379" s="134">
        <v>6</v>
      </c>
      <c r="B379" s="137">
        <v>45740</v>
      </c>
      <c r="C379" s="50">
        <v>3500</v>
      </c>
      <c r="D379" s="50">
        <f t="shared" si="35"/>
        <v>2413.7931034482758</v>
      </c>
      <c r="E379" s="50">
        <f t="shared" si="36"/>
        <v>1086.2068965517242</v>
      </c>
      <c r="F379" s="50" t="s">
        <v>41</v>
      </c>
      <c r="G379" s="50">
        <f t="shared" si="37"/>
        <v>98000</v>
      </c>
      <c r="H379" s="123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 spans="1:23" x14ac:dyDescent="0.2">
      <c r="A380" s="134">
        <v>7</v>
      </c>
      <c r="B380" s="137">
        <v>45747</v>
      </c>
      <c r="C380" s="50">
        <v>6000</v>
      </c>
      <c r="D380" s="50">
        <f t="shared" si="35"/>
        <v>4137.9310344827591</v>
      </c>
      <c r="E380" s="50">
        <f t="shared" si="36"/>
        <v>1862.0689655172409</v>
      </c>
      <c r="F380" s="50" t="s">
        <v>41</v>
      </c>
      <c r="G380" s="50">
        <f t="shared" si="37"/>
        <v>92000</v>
      </c>
      <c r="H380" s="123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 spans="1:23" x14ac:dyDescent="0.2">
      <c r="A381" s="134">
        <v>8</v>
      </c>
      <c r="B381" s="137">
        <v>45754</v>
      </c>
      <c r="C381" s="50">
        <v>4200</v>
      </c>
      <c r="D381" s="50">
        <f t="shared" si="35"/>
        <v>2896.5517241379312</v>
      </c>
      <c r="E381" s="50">
        <f t="shared" si="36"/>
        <v>1303.4482758620688</v>
      </c>
      <c r="F381" s="50" t="s">
        <v>41</v>
      </c>
      <c r="G381" s="50">
        <f t="shared" si="37"/>
        <v>87800</v>
      </c>
      <c r="H381" s="123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 spans="1:23" x14ac:dyDescent="0.2">
      <c r="A382" s="134">
        <v>9</v>
      </c>
      <c r="B382" s="137">
        <v>45761</v>
      </c>
      <c r="C382" s="135">
        <v>3700</v>
      </c>
      <c r="D382" s="50">
        <f t="shared" si="35"/>
        <v>2551.7241379310344</v>
      </c>
      <c r="E382" s="50">
        <f t="shared" si="36"/>
        <v>1148.2758620689656</v>
      </c>
      <c r="F382" s="50" t="s">
        <v>41</v>
      </c>
      <c r="G382" s="50">
        <f t="shared" si="37"/>
        <v>84100</v>
      </c>
      <c r="H382" s="123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 spans="1:23" x14ac:dyDescent="0.2">
      <c r="A383" s="134">
        <v>10</v>
      </c>
      <c r="B383" s="137">
        <v>45768</v>
      </c>
      <c r="C383" s="135">
        <v>2000</v>
      </c>
      <c r="D383" s="50">
        <f t="shared" si="35"/>
        <v>1379.3103448275863</v>
      </c>
      <c r="E383" s="50">
        <f t="shared" si="36"/>
        <v>620.68965517241372</v>
      </c>
      <c r="F383" s="50" t="s">
        <v>41</v>
      </c>
      <c r="G383" s="50">
        <f t="shared" si="37"/>
        <v>82100</v>
      </c>
      <c r="H383" s="123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 spans="1:23" x14ac:dyDescent="0.2">
      <c r="A384" s="134">
        <v>11</v>
      </c>
      <c r="B384" s="137">
        <v>45775</v>
      </c>
      <c r="C384" s="135">
        <v>3500</v>
      </c>
      <c r="D384" s="50">
        <f t="shared" si="35"/>
        <v>2413.7931034482758</v>
      </c>
      <c r="E384" s="50">
        <f t="shared" si="36"/>
        <v>1086.2068965517242</v>
      </c>
      <c r="F384" s="50" t="s">
        <v>41</v>
      </c>
      <c r="G384" s="50">
        <f t="shared" si="37"/>
        <v>78600</v>
      </c>
      <c r="H384" s="123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  <row r="385" spans="1:23" x14ac:dyDescent="0.2">
      <c r="A385" s="134">
        <v>12</v>
      </c>
      <c r="B385" s="137">
        <v>45782</v>
      </c>
      <c r="C385" s="135">
        <v>3000</v>
      </c>
      <c r="D385" s="50">
        <f t="shared" si="35"/>
        <v>2068.9655172413795</v>
      </c>
      <c r="E385" s="50">
        <f t="shared" si="36"/>
        <v>931.03448275862047</v>
      </c>
      <c r="F385" s="50" t="s">
        <v>41</v>
      </c>
      <c r="G385" s="50">
        <f t="shared" si="37"/>
        <v>75600</v>
      </c>
      <c r="H385" s="123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</row>
    <row r="386" spans="1:23" x14ac:dyDescent="0.2">
      <c r="A386" s="134">
        <v>13</v>
      </c>
      <c r="B386" s="137">
        <v>45789</v>
      </c>
      <c r="C386" s="135">
        <v>4500</v>
      </c>
      <c r="D386" s="50">
        <f t="shared" si="35"/>
        <v>3103.4482758620688</v>
      </c>
      <c r="E386" s="50">
        <f t="shared" si="36"/>
        <v>1396.5517241379312</v>
      </c>
      <c r="F386" s="50" t="s">
        <v>107</v>
      </c>
      <c r="G386" s="50">
        <f t="shared" si="37"/>
        <v>71100</v>
      </c>
      <c r="H386" s="123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</row>
    <row r="387" spans="1:23" x14ac:dyDescent="0.2">
      <c r="A387" s="134">
        <v>14</v>
      </c>
      <c r="B387" s="137">
        <v>45796</v>
      </c>
      <c r="C387" s="135"/>
      <c r="D387" s="50">
        <f t="shared" si="35"/>
        <v>0</v>
      </c>
      <c r="E387" s="50">
        <f t="shared" si="36"/>
        <v>0</v>
      </c>
      <c r="F387" s="50" t="s">
        <v>107</v>
      </c>
      <c r="G387" s="50">
        <f t="shared" si="37"/>
        <v>71100</v>
      </c>
      <c r="H387" s="123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</row>
    <row r="388" spans="1:23" x14ac:dyDescent="0.2">
      <c r="A388" s="134">
        <v>15</v>
      </c>
      <c r="B388" s="137">
        <v>45803</v>
      </c>
      <c r="C388" s="135"/>
      <c r="D388" s="50">
        <f t="shared" si="35"/>
        <v>0</v>
      </c>
      <c r="E388" s="50">
        <f t="shared" si="36"/>
        <v>0</v>
      </c>
      <c r="F388" s="50" t="s">
        <v>107</v>
      </c>
      <c r="G388" s="50">
        <f t="shared" si="37"/>
        <v>71100</v>
      </c>
      <c r="H388" s="123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</row>
    <row r="389" spans="1:23" x14ac:dyDescent="0.2">
      <c r="A389" s="134">
        <v>16</v>
      </c>
      <c r="B389" s="137">
        <v>45810</v>
      </c>
      <c r="C389" s="135"/>
      <c r="D389" s="50">
        <f t="shared" si="35"/>
        <v>0</v>
      </c>
      <c r="E389" s="50">
        <f t="shared" si="36"/>
        <v>0</v>
      </c>
      <c r="F389" s="50" t="s">
        <v>107</v>
      </c>
      <c r="G389" s="50">
        <f t="shared" si="37"/>
        <v>71100</v>
      </c>
      <c r="H389" s="123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</row>
    <row r="390" spans="1:23" x14ac:dyDescent="0.2">
      <c r="A390" s="134">
        <v>17</v>
      </c>
      <c r="B390" s="137">
        <v>45817</v>
      </c>
      <c r="C390" s="135"/>
      <c r="D390" s="50">
        <f t="shared" si="35"/>
        <v>0</v>
      </c>
      <c r="E390" s="50">
        <f t="shared" si="36"/>
        <v>0</v>
      </c>
      <c r="F390" s="50" t="s">
        <v>107</v>
      </c>
      <c r="G390" s="50">
        <f t="shared" si="37"/>
        <v>71100</v>
      </c>
      <c r="H390" s="123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</row>
    <row r="391" spans="1:23" x14ac:dyDescent="0.2">
      <c r="A391" s="138"/>
      <c r="B391" s="139"/>
      <c r="C391" s="140"/>
      <c r="D391" s="141">
        <f>SUMIFS(D374:D390, F374:F390, "Y")</f>
        <v>47862.068965517246</v>
      </c>
      <c r="E391" s="142">
        <f>SUMIFS(E374:E390, F374:F390, "Y")</f>
        <v>21537.931034482757</v>
      </c>
      <c r="F391" s="143">
        <f>(SUMIFS(D374:D390, F374:F390, "Y") + SUMIFS(E374:E390, F374:F390, "Y"))</f>
        <v>69400</v>
      </c>
      <c r="G391" s="140"/>
      <c r="H391" s="144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</row>
    <row r="392" spans="1:23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</row>
    <row r="393" spans="1:23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</row>
    <row r="394" spans="1:23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</row>
    <row r="395" spans="1:23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</row>
    <row r="396" spans="1:23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</row>
    <row r="397" spans="1:23" x14ac:dyDescent="0.2">
      <c r="A397" s="256" t="s">
        <v>162</v>
      </c>
      <c r="B397" s="257"/>
      <c r="C397" s="31"/>
      <c r="D397" s="31"/>
      <c r="E397" s="31"/>
      <c r="F397" s="31"/>
      <c r="G397" s="31"/>
      <c r="H397" s="32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</row>
    <row r="398" spans="1:23" x14ac:dyDescent="0.2">
      <c r="A398" s="265" t="s">
        <v>7</v>
      </c>
      <c r="B398" s="259"/>
      <c r="C398" s="33">
        <v>20000</v>
      </c>
      <c r="D398" s="35"/>
      <c r="E398" s="35"/>
      <c r="F398" s="35"/>
      <c r="G398" s="35"/>
      <c r="H398" s="36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</row>
    <row r="399" spans="1:23" x14ac:dyDescent="0.2">
      <c r="A399" s="265" t="s">
        <v>8</v>
      </c>
      <c r="B399" s="259"/>
      <c r="C399" s="37" t="s">
        <v>160</v>
      </c>
      <c r="D399" s="35"/>
      <c r="E399" s="38"/>
      <c r="F399" s="38"/>
      <c r="G399" s="38"/>
      <c r="H399" s="39" t="s">
        <v>10</v>
      </c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</row>
    <row r="400" spans="1:23" x14ac:dyDescent="0.2">
      <c r="A400" s="265" t="s">
        <v>103</v>
      </c>
      <c r="B400" s="259"/>
      <c r="C400" s="43">
        <v>4000</v>
      </c>
      <c r="D400" s="44"/>
      <c r="E400" s="266" t="s">
        <v>14</v>
      </c>
      <c r="F400" s="45" t="s">
        <v>15</v>
      </c>
      <c r="G400" s="43">
        <v>20000</v>
      </c>
      <c r="H400" s="46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</row>
    <row r="401" spans="1:23" x14ac:dyDescent="0.2">
      <c r="A401" s="265" t="s">
        <v>17</v>
      </c>
      <c r="B401" s="259"/>
      <c r="C401" s="43">
        <v>2</v>
      </c>
      <c r="D401" s="44"/>
      <c r="E401" s="261"/>
      <c r="F401" s="45" t="s">
        <v>18</v>
      </c>
      <c r="G401" s="43">
        <v>0</v>
      </c>
      <c r="H401" s="46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</row>
    <row r="402" spans="1:23" x14ac:dyDescent="0.2">
      <c r="A402" s="265" t="s">
        <v>20</v>
      </c>
      <c r="B402" s="259"/>
      <c r="C402" s="43">
        <f>C400*C401</f>
        <v>8000</v>
      </c>
      <c r="D402" s="35"/>
      <c r="E402" s="54"/>
      <c r="F402" s="35"/>
      <c r="G402" s="44"/>
      <c r="H402" s="36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</row>
    <row r="403" spans="1:23" x14ac:dyDescent="0.2">
      <c r="A403" s="265" t="s">
        <v>22</v>
      </c>
      <c r="B403" s="259"/>
      <c r="C403" s="33">
        <f>C398+C402</f>
        <v>28000</v>
      </c>
      <c r="D403" s="35"/>
      <c r="E403" s="35"/>
      <c r="F403" s="35"/>
      <c r="G403" s="35"/>
      <c r="H403" s="36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</row>
    <row r="404" spans="1:23" x14ac:dyDescent="0.2">
      <c r="A404" s="265" t="s">
        <v>24</v>
      </c>
      <c r="B404" s="259"/>
      <c r="C404" s="57">
        <v>500</v>
      </c>
      <c r="D404" s="35" t="s">
        <v>163</v>
      </c>
      <c r="E404" s="35"/>
      <c r="F404" s="35"/>
      <c r="G404" s="35"/>
      <c r="H404" s="36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</row>
    <row r="405" spans="1:23" x14ac:dyDescent="0.2">
      <c r="A405" s="265" t="s">
        <v>28</v>
      </c>
      <c r="B405" s="259"/>
      <c r="C405" s="58" t="s">
        <v>29</v>
      </c>
      <c r="D405" s="35"/>
      <c r="E405" s="35"/>
      <c r="F405" s="35"/>
      <c r="G405" s="35"/>
      <c r="H405" s="36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</row>
    <row r="406" spans="1:23" x14ac:dyDescent="0.2">
      <c r="A406" s="62" t="s">
        <v>31</v>
      </c>
      <c r="B406" s="63" t="s">
        <v>106</v>
      </c>
      <c r="C406" s="45" t="s">
        <v>33</v>
      </c>
      <c r="D406" s="45" t="s">
        <v>34</v>
      </c>
      <c r="E406" s="45" t="s">
        <v>35</v>
      </c>
      <c r="F406" s="45" t="s">
        <v>36</v>
      </c>
      <c r="G406" s="45" t="s">
        <v>37</v>
      </c>
      <c r="H406" s="36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</row>
    <row r="407" spans="1:23" x14ac:dyDescent="0.2">
      <c r="A407" s="62">
        <v>0</v>
      </c>
      <c r="B407" s="65"/>
      <c r="C407" s="65"/>
      <c r="D407" s="65"/>
      <c r="E407" s="65"/>
      <c r="F407" s="65"/>
      <c r="G407" s="43">
        <f>C403</f>
        <v>28000</v>
      </c>
      <c r="H407" s="36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</row>
    <row r="408" spans="1:23" x14ac:dyDescent="0.2">
      <c r="A408" s="62">
        <v>1</v>
      </c>
      <c r="B408" s="100">
        <v>45705</v>
      </c>
      <c r="C408" s="43">
        <v>2000</v>
      </c>
      <c r="D408" s="43">
        <f t="shared" ref="D408:D417" si="38">C408/1.4</f>
        <v>1428.5714285714287</v>
      </c>
      <c r="E408" s="43">
        <f t="shared" ref="E408:E417" si="39">C408-D408</f>
        <v>571.42857142857133</v>
      </c>
      <c r="F408" s="43" t="s">
        <v>41</v>
      </c>
      <c r="G408" s="43">
        <f t="shared" ref="G408:G417" si="40">(G407-C408)</f>
        <v>26000</v>
      </c>
      <c r="H408" s="36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</row>
    <row r="409" spans="1:23" x14ac:dyDescent="0.2">
      <c r="A409" s="62">
        <v>2</v>
      </c>
      <c r="B409" s="100">
        <v>45712</v>
      </c>
      <c r="C409" s="43">
        <v>3000</v>
      </c>
      <c r="D409" s="43">
        <f t="shared" si="38"/>
        <v>2142.8571428571431</v>
      </c>
      <c r="E409" s="43">
        <f t="shared" si="39"/>
        <v>857.14285714285688</v>
      </c>
      <c r="F409" s="43" t="s">
        <v>41</v>
      </c>
      <c r="G409" s="43">
        <f t="shared" si="40"/>
        <v>23000</v>
      </c>
      <c r="H409" s="36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</row>
    <row r="410" spans="1:23" x14ac:dyDescent="0.2">
      <c r="A410" s="62">
        <v>3</v>
      </c>
      <c r="B410" s="100">
        <v>45719</v>
      </c>
      <c r="C410" s="43">
        <v>3500</v>
      </c>
      <c r="D410" s="43">
        <f t="shared" si="38"/>
        <v>2500</v>
      </c>
      <c r="E410" s="43">
        <f t="shared" si="39"/>
        <v>1000</v>
      </c>
      <c r="F410" s="43" t="s">
        <v>41</v>
      </c>
      <c r="G410" s="43">
        <f t="shared" si="40"/>
        <v>19500</v>
      </c>
      <c r="H410" s="36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</row>
    <row r="411" spans="1:23" x14ac:dyDescent="0.2">
      <c r="A411" s="62">
        <v>4</v>
      </c>
      <c r="B411" s="100">
        <v>45726</v>
      </c>
      <c r="C411" s="43">
        <v>3500</v>
      </c>
      <c r="D411" s="43">
        <f t="shared" si="38"/>
        <v>2500</v>
      </c>
      <c r="E411" s="43">
        <f t="shared" si="39"/>
        <v>1000</v>
      </c>
      <c r="F411" s="43" t="s">
        <v>41</v>
      </c>
      <c r="G411" s="43">
        <f t="shared" si="40"/>
        <v>16000</v>
      </c>
      <c r="H411" s="36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</row>
    <row r="412" spans="1:23" x14ac:dyDescent="0.2">
      <c r="A412" s="62">
        <v>5</v>
      </c>
      <c r="B412" s="103">
        <v>45733</v>
      </c>
      <c r="C412" s="43">
        <v>3000</v>
      </c>
      <c r="D412" s="43">
        <f t="shared" si="38"/>
        <v>2142.8571428571431</v>
      </c>
      <c r="E412" s="43">
        <f t="shared" si="39"/>
        <v>857.14285714285688</v>
      </c>
      <c r="F412" s="43" t="s">
        <v>41</v>
      </c>
      <c r="G412" s="43">
        <f t="shared" si="40"/>
        <v>13000</v>
      </c>
      <c r="H412" s="36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</row>
    <row r="413" spans="1:23" x14ac:dyDescent="0.2">
      <c r="A413" s="62">
        <v>6</v>
      </c>
      <c r="B413" s="103">
        <v>45740</v>
      </c>
      <c r="C413" s="43">
        <v>3000</v>
      </c>
      <c r="D413" s="43">
        <f t="shared" si="38"/>
        <v>2142.8571428571431</v>
      </c>
      <c r="E413" s="43">
        <f t="shared" si="39"/>
        <v>857.14285714285688</v>
      </c>
      <c r="F413" s="43" t="s">
        <v>41</v>
      </c>
      <c r="G413" s="43">
        <f t="shared" si="40"/>
        <v>10000</v>
      </c>
      <c r="H413" s="36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</row>
    <row r="414" spans="1:23" x14ac:dyDescent="0.2">
      <c r="A414" s="62">
        <v>7</v>
      </c>
      <c r="B414" s="103">
        <v>45747</v>
      </c>
      <c r="C414" s="43">
        <v>3000</v>
      </c>
      <c r="D414" s="43">
        <f t="shared" si="38"/>
        <v>2142.8571428571431</v>
      </c>
      <c r="E414" s="43">
        <f t="shared" si="39"/>
        <v>857.14285714285688</v>
      </c>
      <c r="F414" s="43" t="s">
        <v>41</v>
      </c>
      <c r="G414" s="43">
        <f t="shared" si="40"/>
        <v>7000</v>
      </c>
      <c r="H414" s="36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</row>
    <row r="415" spans="1:23" x14ac:dyDescent="0.2">
      <c r="A415" s="62">
        <v>8</v>
      </c>
      <c r="B415" s="103">
        <v>45747</v>
      </c>
      <c r="C415" s="43">
        <v>7000</v>
      </c>
      <c r="D415" s="43">
        <f t="shared" si="38"/>
        <v>5000</v>
      </c>
      <c r="E415" s="43">
        <f t="shared" si="39"/>
        <v>2000</v>
      </c>
      <c r="F415" s="43" t="s">
        <v>41</v>
      </c>
      <c r="G415" s="43">
        <f t="shared" si="40"/>
        <v>0</v>
      </c>
      <c r="H415" s="36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</row>
    <row r="416" spans="1:23" x14ac:dyDescent="0.2">
      <c r="A416" s="62">
        <v>9</v>
      </c>
      <c r="B416" s="103"/>
      <c r="C416" s="65"/>
      <c r="D416" s="43">
        <f t="shared" si="38"/>
        <v>0</v>
      </c>
      <c r="E416" s="43">
        <f t="shared" si="39"/>
        <v>0</v>
      </c>
      <c r="F416" s="65"/>
      <c r="G416" s="43">
        <f t="shared" si="40"/>
        <v>0</v>
      </c>
      <c r="H416" s="36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</row>
    <row r="417" spans="1:23" x14ac:dyDescent="0.2">
      <c r="A417" s="62">
        <v>10</v>
      </c>
      <c r="B417" s="103"/>
      <c r="C417" s="65"/>
      <c r="D417" s="43">
        <f t="shared" si="38"/>
        <v>0</v>
      </c>
      <c r="E417" s="43">
        <f t="shared" si="39"/>
        <v>0</v>
      </c>
      <c r="F417" s="65"/>
      <c r="G417" s="43">
        <f t="shared" si="40"/>
        <v>0</v>
      </c>
      <c r="H417" s="36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</row>
    <row r="418" spans="1:23" x14ac:dyDescent="0.2">
      <c r="A418" s="89"/>
      <c r="B418" s="90"/>
      <c r="C418" s="91"/>
      <c r="D418" s="111">
        <f>SUMIFS(D408:D417, F408:F417, "Y")</f>
        <v>20000</v>
      </c>
      <c r="E418" s="111">
        <f>SUMIFS(E408:E417, F408:F417, "Y")</f>
        <v>7999.9999999999991</v>
      </c>
      <c r="F418" s="92">
        <f>(SUMIFS(D408:D417, F408:F417, "Y") + SUMIFS(E408:E417, F408:F417, "Y"))</f>
        <v>28000</v>
      </c>
      <c r="G418" s="91"/>
      <c r="H418" s="93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</row>
    <row r="419" spans="1:23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</row>
    <row r="420" spans="1:23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</row>
    <row r="421" spans="1:23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</row>
    <row r="422" spans="1:23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</row>
    <row r="423" spans="1:23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</row>
    <row r="424" spans="1:23" x14ac:dyDescent="0.2">
      <c r="A424" s="256" t="s">
        <v>164</v>
      </c>
      <c r="B424" s="257"/>
      <c r="C424" s="31"/>
      <c r="D424" s="31"/>
      <c r="E424" s="31"/>
      <c r="F424" s="31"/>
      <c r="G424" s="31"/>
      <c r="H424" s="32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</row>
    <row r="425" spans="1:23" x14ac:dyDescent="0.2">
      <c r="A425" s="265" t="s">
        <v>7</v>
      </c>
      <c r="B425" s="259"/>
      <c r="C425" s="33">
        <v>20000</v>
      </c>
      <c r="D425" s="35"/>
      <c r="E425" s="35"/>
      <c r="F425" s="35"/>
      <c r="G425" s="35"/>
      <c r="H425" s="36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</row>
    <row r="426" spans="1:23" x14ac:dyDescent="0.2">
      <c r="A426" s="265" t="s">
        <v>8</v>
      </c>
      <c r="B426" s="259"/>
      <c r="C426" s="37" t="s">
        <v>165</v>
      </c>
      <c r="D426" s="35"/>
      <c r="E426" s="38"/>
      <c r="F426" s="38"/>
      <c r="G426" s="38"/>
      <c r="H426" s="39" t="s">
        <v>10</v>
      </c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</row>
    <row r="427" spans="1:23" x14ac:dyDescent="0.2">
      <c r="A427" s="265" t="s">
        <v>103</v>
      </c>
      <c r="B427" s="259"/>
      <c r="C427" s="43">
        <v>4000</v>
      </c>
      <c r="D427" s="44"/>
      <c r="E427" s="266" t="s">
        <v>14</v>
      </c>
      <c r="F427" s="45" t="s">
        <v>15</v>
      </c>
      <c r="G427" s="43">
        <v>20000</v>
      </c>
      <c r="H427" s="46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</row>
    <row r="428" spans="1:23" x14ac:dyDescent="0.2">
      <c r="A428" s="265" t="s">
        <v>17</v>
      </c>
      <c r="B428" s="259"/>
      <c r="C428" s="43">
        <v>2</v>
      </c>
      <c r="D428" s="44"/>
      <c r="E428" s="261"/>
      <c r="F428" s="45" t="s">
        <v>18</v>
      </c>
      <c r="G428" s="43">
        <v>0</v>
      </c>
      <c r="H428" s="46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</row>
    <row r="429" spans="1:23" x14ac:dyDescent="0.2">
      <c r="A429" s="265" t="s">
        <v>20</v>
      </c>
      <c r="B429" s="259"/>
      <c r="C429" s="43">
        <f>C427*C428</f>
        <v>8000</v>
      </c>
      <c r="D429" s="35"/>
      <c r="E429" s="54"/>
      <c r="F429" s="35"/>
      <c r="G429" s="44"/>
      <c r="H429" s="36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</row>
    <row r="430" spans="1:23" x14ac:dyDescent="0.2">
      <c r="A430" s="265" t="s">
        <v>22</v>
      </c>
      <c r="B430" s="259"/>
      <c r="C430" s="33">
        <f>C425+C429</f>
        <v>28000</v>
      </c>
      <c r="D430" s="35"/>
      <c r="E430" s="35"/>
      <c r="F430" s="35"/>
      <c r="G430" s="35"/>
      <c r="H430" s="36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</row>
    <row r="431" spans="1:23" x14ac:dyDescent="0.2">
      <c r="A431" s="265" t="s">
        <v>166</v>
      </c>
      <c r="B431" s="259"/>
      <c r="C431" s="57">
        <v>500</v>
      </c>
      <c r="D431" s="145">
        <v>45702</v>
      </c>
      <c r="E431" s="35"/>
      <c r="F431" s="35"/>
      <c r="G431" s="35"/>
      <c r="H431" s="36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</row>
    <row r="432" spans="1:23" x14ac:dyDescent="0.2">
      <c r="A432" s="265" t="s">
        <v>28</v>
      </c>
      <c r="B432" s="259"/>
      <c r="C432" s="58" t="s">
        <v>29</v>
      </c>
      <c r="D432" s="35"/>
      <c r="E432" s="35"/>
      <c r="F432" s="35"/>
      <c r="G432" s="35"/>
      <c r="H432" s="36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</row>
    <row r="433" spans="1:23" x14ac:dyDescent="0.2">
      <c r="A433" s="62" t="s">
        <v>31</v>
      </c>
      <c r="B433" s="63" t="s">
        <v>106</v>
      </c>
      <c r="C433" s="45" t="s">
        <v>33</v>
      </c>
      <c r="D433" s="45" t="s">
        <v>34</v>
      </c>
      <c r="E433" s="45" t="s">
        <v>35</v>
      </c>
      <c r="F433" s="45" t="s">
        <v>36</v>
      </c>
      <c r="G433" s="45" t="s">
        <v>37</v>
      </c>
      <c r="H433" s="36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</row>
    <row r="434" spans="1:23" x14ac:dyDescent="0.2">
      <c r="A434" s="62">
        <v>0</v>
      </c>
      <c r="B434" s="65"/>
      <c r="C434" s="65"/>
      <c r="D434" s="65"/>
      <c r="E434" s="65"/>
      <c r="F434" s="65"/>
      <c r="G434" s="43">
        <f>C430</f>
        <v>28000</v>
      </c>
      <c r="H434" s="36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</row>
    <row r="435" spans="1:23" x14ac:dyDescent="0.2">
      <c r="A435" s="62">
        <v>1</v>
      </c>
      <c r="B435" s="100">
        <v>45705</v>
      </c>
      <c r="C435" s="43">
        <v>1500</v>
      </c>
      <c r="D435" s="43">
        <f t="shared" ref="D435:D444" si="41">C435/1.4</f>
        <v>1071.4285714285716</v>
      </c>
      <c r="E435" s="43">
        <f t="shared" ref="E435:E444" si="42">C435-D435</f>
        <v>428.57142857142844</v>
      </c>
      <c r="F435" s="43" t="s">
        <v>41</v>
      </c>
      <c r="G435" s="43">
        <f t="shared" ref="G435:G444" si="43">(G434-C435)</f>
        <v>26500</v>
      </c>
      <c r="H435" s="36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</row>
    <row r="436" spans="1:23" x14ac:dyDescent="0.2">
      <c r="A436" s="62">
        <v>2</v>
      </c>
      <c r="B436" s="100">
        <v>45712</v>
      </c>
      <c r="C436" s="43">
        <v>3500</v>
      </c>
      <c r="D436" s="43">
        <f t="shared" si="41"/>
        <v>2500</v>
      </c>
      <c r="E436" s="43">
        <f t="shared" si="42"/>
        <v>1000</v>
      </c>
      <c r="F436" s="43" t="s">
        <v>41</v>
      </c>
      <c r="G436" s="43">
        <f t="shared" si="43"/>
        <v>23000</v>
      </c>
      <c r="H436" s="36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</row>
    <row r="437" spans="1:23" x14ac:dyDescent="0.2">
      <c r="A437" s="62">
        <v>3</v>
      </c>
      <c r="B437" s="100">
        <v>45719</v>
      </c>
      <c r="C437" s="43">
        <v>3000</v>
      </c>
      <c r="D437" s="43">
        <f t="shared" si="41"/>
        <v>2142.8571428571431</v>
      </c>
      <c r="E437" s="43">
        <f t="shared" si="42"/>
        <v>857.14285714285688</v>
      </c>
      <c r="F437" s="43" t="s">
        <v>41</v>
      </c>
      <c r="G437" s="43">
        <f t="shared" si="43"/>
        <v>20000</v>
      </c>
      <c r="H437" s="36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</row>
    <row r="438" spans="1:23" x14ac:dyDescent="0.2">
      <c r="A438" s="62">
        <v>4</v>
      </c>
      <c r="B438" s="100">
        <v>45726</v>
      </c>
      <c r="C438" s="43">
        <v>3000</v>
      </c>
      <c r="D438" s="43">
        <f t="shared" si="41"/>
        <v>2142.8571428571431</v>
      </c>
      <c r="E438" s="43">
        <f t="shared" si="42"/>
        <v>857.14285714285688</v>
      </c>
      <c r="F438" s="43" t="s">
        <v>41</v>
      </c>
      <c r="G438" s="43">
        <f t="shared" si="43"/>
        <v>17000</v>
      </c>
      <c r="H438" s="36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</row>
    <row r="439" spans="1:23" x14ac:dyDescent="0.2">
      <c r="A439" s="62">
        <v>5</v>
      </c>
      <c r="B439" s="103">
        <v>45733</v>
      </c>
      <c r="C439" s="43">
        <v>3000</v>
      </c>
      <c r="D439" s="43">
        <f t="shared" si="41"/>
        <v>2142.8571428571431</v>
      </c>
      <c r="E439" s="43">
        <f t="shared" si="42"/>
        <v>857.14285714285688</v>
      </c>
      <c r="F439" s="43" t="s">
        <v>41</v>
      </c>
      <c r="G439" s="43">
        <f t="shared" si="43"/>
        <v>14000</v>
      </c>
      <c r="H439" s="36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</row>
    <row r="440" spans="1:23" x14ac:dyDescent="0.2">
      <c r="A440" s="62">
        <v>6</v>
      </c>
      <c r="B440" s="103">
        <v>45740</v>
      </c>
      <c r="C440" s="43">
        <v>3000</v>
      </c>
      <c r="D440" s="43">
        <f t="shared" si="41"/>
        <v>2142.8571428571431</v>
      </c>
      <c r="E440" s="43">
        <f t="shared" si="42"/>
        <v>857.14285714285688</v>
      </c>
      <c r="F440" s="43" t="s">
        <v>41</v>
      </c>
      <c r="G440" s="43">
        <f t="shared" si="43"/>
        <v>11000</v>
      </c>
      <c r="H440" s="36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</row>
    <row r="441" spans="1:23" x14ac:dyDescent="0.2">
      <c r="A441" s="62">
        <v>7</v>
      </c>
      <c r="B441" s="103">
        <v>45740</v>
      </c>
      <c r="C441" s="43">
        <v>11000</v>
      </c>
      <c r="D441" s="43">
        <f t="shared" si="41"/>
        <v>7857.1428571428578</v>
      </c>
      <c r="E441" s="43">
        <f t="shared" si="42"/>
        <v>3142.8571428571422</v>
      </c>
      <c r="F441" s="43" t="s">
        <v>41</v>
      </c>
      <c r="G441" s="43">
        <f t="shared" si="43"/>
        <v>0</v>
      </c>
      <c r="H441" s="36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</row>
    <row r="442" spans="1:23" x14ac:dyDescent="0.2">
      <c r="A442" s="62">
        <v>8</v>
      </c>
      <c r="B442" s="103"/>
      <c r="C442" s="43"/>
      <c r="D442" s="43">
        <f t="shared" si="41"/>
        <v>0</v>
      </c>
      <c r="E442" s="43">
        <f t="shared" si="42"/>
        <v>0</v>
      </c>
      <c r="F442" s="43" t="s">
        <v>107</v>
      </c>
      <c r="G442" s="43">
        <f t="shared" si="43"/>
        <v>0</v>
      </c>
      <c r="H442" s="36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</row>
    <row r="443" spans="1:23" x14ac:dyDescent="0.2">
      <c r="A443" s="62">
        <v>9</v>
      </c>
      <c r="B443" s="103"/>
      <c r="C443" s="65"/>
      <c r="D443" s="43">
        <f t="shared" si="41"/>
        <v>0</v>
      </c>
      <c r="E443" s="43">
        <f t="shared" si="42"/>
        <v>0</v>
      </c>
      <c r="F443" s="65"/>
      <c r="G443" s="43">
        <f t="shared" si="43"/>
        <v>0</v>
      </c>
      <c r="H443" s="36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</row>
    <row r="444" spans="1:23" x14ac:dyDescent="0.2">
      <c r="A444" s="62">
        <v>10</v>
      </c>
      <c r="B444" s="103"/>
      <c r="C444" s="65"/>
      <c r="D444" s="43">
        <f t="shared" si="41"/>
        <v>0</v>
      </c>
      <c r="E444" s="43">
        <f t="shared" si="42"/>
        <v>0</v>
      </c>
      <c r="F444" s="65"/>
      <c r="G444" s="43">
        <f t="shared" si="43"/>
        <v>0</v>
      </c>
      <c r="H444" s="36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</row>
    <row r="445" spans="1:23" x14ac:dyDescent="0.2">
      <c r="A445" s="89"/>
      <c r="B445" s="90"/>
      <c r="C445" s="91"/>
      <c r="D445" s="111">
        <f>SUMIFS(D435:D444, F435:F444, "Y")</f>
        <v>20000</v>
      </c>
      <c r="E445" s="111">
        <f>SUMIFS(E435:E444, F435:F444, "Y")</f>
        <v>7999.9999999999982</v>
      </c>
      <c r="F445" s="92">
        <f>(SUMIFS(D435:D444, F435:F444, "Y") + SUMIFS(E435:E444, F435:F444, "Y"))</f>
        <v>28000</v>
      </c>
      <c r="G445" s="91"/>
      <c r="H445" s="93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</row>
    <row r="446" spans="1:23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</row>
    <row r="447" spans="1:23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</row>
    <row r="448" spans="1:23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</row>
    <row r="449" spans="1:23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</row>
    <row r="450" spans="1:23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</row>
    <row r="451" spans="1:23" x14ac:dyDescent="0.2">
      <c r="A451" s="256" t="s">
        <v>167</v>
      </c>
      <c r="B451" s="257"/>
      <c r="C451" s="119"/>
      <c r="D451" s="119"/>
      <c r="E451" s="119"/>
      <c r="F451" s="119"/>
      <c r="G451" s="119"/>
      <c r="H451" s="12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</row>
    <row r="452" spans="1:23" x14ac:dyDescent="0.2">
      <c r="A452" s="258" t="s">
        <v>7</v>
      </c>
      <c r="B452" s="259"/>
      <c r="C452" s="121">
        <v>20000</v>
      </c>
      <c r="D452" s="30"/>
      <c r="E452" s="30"/>
      <c r="F452" s="30"/>
      <c r="G452" s="30"/>
      <c r="H452" s="123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</row>
    <row r="453" spans="1:23" x14ac:dyDescent="0.2">
      <c r="A453" s="258" t="s">
        <v>8</v>
      </c>
      <c r="B453" s="259"/>
      <c r="C453" s="124" t="s">
        <v>165</v>
      </c>
      <c r="D453" s="30"/>
      <c r="E453" s="49"/>
      <c r="F453" s="49"/>
      <c r="G453" s="49"/>
      <c r="H453" s="125" t="s">
        <v>10</v>
      </c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</row>
    <row r="454" spans="1:23" x14ac:dyDescent="0.2">
      <c r="A454" s="258" t="s">
        <v>103</v>
      </c>
      <c r="B454" s="259"/>
      <c r="C454" s="50">
        <v>4000</v>
      </c>
      <c r="D454" s="66"/>
      <c r="E454" s="260" t="s">
        <v>14</v>
      </c>
      <c r="F454" s="126" t="s">
        <v>15</v>
      </c>
      <c r="G454" s="50">
        <v>20000</v>
      </c>
      <c r="H454" s="127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</row>
    <row r="455" spans="1:23" x14ac:dyDescent="0.2">
      <c r="A455" s="258" t="s">
        <v>17</v>
      </c>
      <c r="B455" s="259"/>
      <c r="C455" s="50">
        <v>2</v>
      </c>
      <c r="D455" s="66"/>
      <c r="E455" s="261"/>
      <c r="F455" s="126" t="s">
        <v>18</v>
      </c>
      <c r="G455" s="50">
        <v>0</v>
      </c>
      <c r="H455" s="127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</row>
    <row r="456" spans="1:23" x14ac:dyDescent="0.2">
      <c r="A456" s="258" t="s">
        <v>20</v>
      </c>
      <c r="B456" s="259"/>
      <c r="C456" s="50">
        <f>C454*C455</f>
        <v>8000</v>
      </c>
      <c r="D456" s="30"/>
      <c r="E456" s="128"/>
      <c r="F456" s="30"/>
      <c r="G456" s="66"/>
      <c r="H456" s="123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</row>
    <row r="457" spans="1:23" x14ac:dyDescent="0.2">
      <c r="A457" s="258" t="s">
        <v>22</v>
      </c>
      <c r="B457" s="259"/>
      <c r="C457" s="121">
        <f>C452+C456</f>
        <v>28000</v>
      </c>
      <c r="D457" s="30"/>
      <c r="E457" s="30"/>
      <c r="F457" s="30"/>
      <c r="G457" s="30"/>
      <c r="H457" s="123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</row>
    <row r="458" spans="1:23" x14ac:dyDescent="0.2">
      <c r="A458" s="258" t="s">
        <v>166</v>
      </c>
      <c r="B458" s="259"/>
      <c r="C458" s="146">
        <v>500</v>
      </c>
      <c r="D458" s="147">
        <v>45702</v>
      </c>
      <c r="E458" s="30"/>
      <c r="F458" s="30"/>
      <c r="G458" s="30"/>
      <c r="H458" s="123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</row>
    <row r="459" spans="1:23" x14ac:dyDescent="0.2">
      <c r="A459" s="258" t="s">
        <v>28</v>
      </c>
      <c r="B459" s="259"/>
      <c r="C459" s="130" t="s">
        <v>29</v>
      </c>
      <c r="D459" s="30"/>
      <c r="E459" s="30"/>
      <c r="F459" s="30"/>
      <c r="G459" s="30"/>
      <c r="H459" s="123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</row>
    <row r="460" spans="1:23" x14ac:dyDescent="0.2">
      <c r="A460" s="131" t="s">
        <v>31</v>
      </c>
      <c r="B460" s="132" t="s">
        <v>106</v>
      </c>
      <c r="C460" s="133" t="s">
        <v>33</v>
      </c>
      <c r="D460" s="133" t="s">
        <v>34</v>
      </c>
      <c r="E460" s="133" t="s">
        <v>35</v>
      </c>
      <c r="F460" s="133" t="s">
        <v>36</v>
      </c>
      <c r="G460" s="133" t="s">
        <v>37</v>
      </c>
      <c r="H460" s="123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</row>
    <row r="461" spans="1:23" x14ac:dyDescent="0.2">
      <c r="A461" s="134">
        <v>0</v>
      </c>
      <c r="B461" s="135"/>
      <c r="C461" s="135"/>
      <c r="D461" s="135"/>
      <c r="E461" s="135"/>
      <c r="F461" s="135"/>
      <c r="G461" s="50">
        <f>C457</f>
        <v>28000</v>
      </c>
      <c r="H461" s="123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</row>
    <row r="462" spans="1:23" x14ac:dyDescent="0.2">
      <c r="A462" s="134">
        <v>1</v>
      </c>
      <c r="B462" s="136">
        <v>45705</v>
      </c>
      <c r="C462" s="50">
        <v>1500</v>
      </c>
      <c r="D462" s="50">
        <f t="shared" ref="D462:D475" si="44">C462/1.4</f>
        <v>1071.4285714285716</v>
      </c>
      <c r="E462" s="50">
        <f t="shared" ref="E462:E475" si="45">C462-D462</f>
        <v>428.57142857142844</v>
      </c>
      <c r="F462" s="50" t="s">
        <v>41</v>
      </c>
      <c r="G462" s="50">
        <f t="shared" ref="G462:G475" si="46">(G461-C462)</f>
        <v>26500</v>
      </c>
      <c r="H462" s="123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</row>
    <row r="463" spans="1:23" x14ac:dyDescent="0.2">
      <c r="A463" s="134">
        <v>2</v>
      </c>
      <c r="B463" s="136">
        <v>45712</v>
      </c>
      <c r="C463" s="50">
        <v>3500</v>
      </c>
      <c r="D463" s="50">
        <f t="shared" si="44"/>
        <v>2500</v>
      </c>
      <c r="E463" s="50">
        <f t="shared" si="45"/>
        <v>1000</v>
      </c>
      <c r="F463" s="50" t="s">
        <v>41</v>
      </c>
      <c r="G463" s="50">
        <f t="shared" si="46"/>
        <v>23000</v>
      </c>
      <c r="H463" s="123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</row>
    <row r="464" spans="1:23" x14ac:dyDescent="0.2">
      <c r="A464" s="134">
        <v>3</v>
      </c>
      <c r="B464" s="136">
        <v>45719</v>
      </c>
      <c r="C464" s="50">
        <v>2500</v>
      </c>
      <c r="D464" s="50">
        <f t="shared" si="44"/>
        <v>1785.7142857142858</v>
      </c>
      <c r="E464" s="50">
        <f t="shared" si="45"/>
        <v>714.28571428571422</v>
      </c>
      <c r="F464" s="50" t="s">
        <v>41</v>
      </c>
      <c r="G464" s="50">
        <f t="shared" si="46"/>
        <v>20500</v>
      </c>
      <c r="H464" s="123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</row>
    <row r="465" spans="1:23" x14ac:dyDescent="0.2">
      <c r="A465" s="134">
        <v>4</v>
      </c>
      <c r="B465" s="136">
        <v>45726</v>
      </c>
      <c r="C465" s="50">
        <v>2500</v>
      </c>
      <c r="D465" s="50">
        <f t="shared" si="44"/>
        <v>1785.7142857142858</v>
      </c>
      <c r="E465" s="50">
        <f t="shared" si="45"/>
        <v>714.28571428571422</v>
      </c>
      <c r="F465" s="50" t="s">
        <v>41</v>
      </c>
      <c r="G465" s="50">
        <f t="shared" si="46"/>
        <v>18000</v>
      </c>
      <c r="H465" s="123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</row>
    <row r="466" spans="1:23" x14ac:dyDescent="0.2">
      <c r="A466" s="134">
        <v>5</v>
      </c>
      <c r="B466" s="137">
        <v>45733</v>
      </c>
      <c r="C466" s="50">
        <v>3000</v>
      </c>
      <c r="D466" s="50">
        <f t="shared" si="44"/>
        <v>2142.8571428571431</v>
      </c>
      <c r="E466" s="50">
        <f t="shared" si="45"/>
        <v>857.14285714285688</v>
      </c>
      <c r="F466" s="50" t="s">
        <v>41</v>
      </c>
      <c r="G466" s="50">
        <f t="shared" si="46"/>
        <v>15000</v>
      </c>
      <c r="H466" s="123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</row>
    <row r="467" spans="1:23" x14ac:dyDescent="0.2">
      <c r="A467" s="134">
        <v>6</v>
      </c>
      <c r="B467" s="137">
        <v>45740</v>
      </c>
      <c r="C467" s="50">
        <v>2000</v>
      </c>
      <c r="D467" s="50">
        <f t="shared" si="44"/>
        <v>1428.5714285714287</v>
      </c>
      <c r="E467" s="50">
        <f t="shared" si="45"/>
        <v>571.42857142857133</v>
      </c>
      <c r="F467" s="50" t="s">
        <v>41</v>
      </c>
      <c r="G467" s="50">
        <f t="shared" si="46"/>
        <v>13000</v>
      </c>
      <c r="H467" s="123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</row>
    <row r="468" spans="1:23" x14ac:dyDescent="0.2">
      <c r="A468" s="134">
        <v>7</v>
      </c>
      <c r="B468" s="137">
        <v>45747</v>
      </c>
      <c r="C468" s="50">
        <v>2000</v>
      </c>
      <c r="D468" s="50">
        <f t="shared" si="44"/>
        <v>1428.5714285714287</v>
      </c>
      <c r="E468" s="50">
        <f t="shared" si="45"/>
        <v>571.42857142857133</v>
      </c>
      <c r="F468" s="50" t="s">
        <v>41</v>
      </c>
      <c r="G468" s="50">
        <f t="shared" si="46"/>
        <v>11000</v>
      </c>
      <c r="H468" s="123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</row>
    <row r="469" spans="1:23" x14ac:dyDescent="0.2">
      <c r="A469" s="134">
        <v>8</v>
      </c>
      <c r="B469" s="137">
        <v>45754</v>
      </c>
      <c r="C469" s="50">
        <v>1500</v>
      </c>
      <c r="D469" s="50">
        <f t="shared" si="44"/>
        <v>1071.4285714285716</v>
      </c>
      <c r="E469" s="50">
        <f t="shared" si="45"/>
        <v>428.57142857142844</v>
      </c>
      <c r="F469" s="50" t="s">
        <v>41</v>
      </c>
      <c r="G469" s="50">
        <f t="shared" si="46"/>
        <v>9500</v>
      </c>
      <c r="H469" s="123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</row>
    <row r="470" spans="1:23" x14ac:dyDescent="0.2">
      <c r="A470" s="134">
        <v>9</v>
      </c>
      <c r="B470" s="137">
        <v>45761</v>
      </c>
      <c r="C470" s="135">
        <v>1500</v>
      </c>
      <c r="D470" s="50">
        <f t="shared" si="44"/>
        <v>1071.4285714285716</v>
      </c>
      <c r="E470" s="50">
        <f t="shared" si="45"/>
        <v>428.57142857142844</v>
      </c>
      <c r="F470" s="50" t="s">
        <v>41</v>
      </c>
      <c r="G470" s="50">
        <f t="shared" si="46"/>
        <v>8000</v>
      </c>
      <c r="H470" s="123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</row>
    <row r="471" spans="1:23" x14ac:dyDescent="0.2">
      <c r="A471" s="134">
        <v>10</v>
      </c>
      <c r="B471" s="137">
        <v>45768</v>
      </c>
      <c r="C471" s="135">
        <v>0</v>
      </c>
      <c r="D471" s="50">
        <f t="shared" si="44"/>
        <v>0</v>
      </c>
      <c r="E471" s="50">
        <f t="shared" si="45"/>
        <v>0</v>
      </c>
      <c r="F471" s="50" t="s">
        <v>168</v>
      </c>
      <c r="G471" s="50">
        <f t="shared" si="46"/>
        <v>8000</v>
      </c>
      <c r="H471" s="123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</row>
    <row r="472" spans="1:23" x14ac:dyDescent="0.2">
      <c r="A472" s="126">
        <v>11</v>
      </c>
      <c r="B472" s="137">
        <v>45775</v>
      </c>
      <c r="C472" s="135">
        <v>1000</v>
      </c>
      <c r="D472" s="50">
        <f t="shared" si="44"/>
        <v>714.28571428571433</v>
      </c>
      <c r="E472" s="50">
        <f t="shared" si="45"/>
        <v>285.71428571428567</v>
      </c>
      <c r="F472" s="50" t="s">
        <v>41</v>
      </c>
      <c r="G472" s="50">
        <f t="shared" si="46"/>
        <v>7000</v>
      </c>
      <c r="H472" s="123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</row>
    <row r="473" spans="1:23" x14ac:dyDescent="0.2">
      <c r="A473" s="126">
        <v>12</v>
      </c>
      <c r="B473" s="137">
        <v>45782</v>
      </c>
      <c r="C473" s="135">
        <v>1000</v>
      </c>
      <c r="D473" s="50">
        <f t="shared" si="44"/>
        <v>714.28571428571433</v>
      </c>
      <c r="E473" s="50">
        <f t="shared" si="45"/>
        <v>285.71428571428567</v>
      </c>
      <c r="F473" s="50" t="s">
        <v>41</v>
      </c>
      <c r="G473" s="50">
        <f t="shared" si="46"/>
        <v>6000</v>
      </c>
      <c r="H473" s="123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</row>
    <row r="474" spans="1:23" x14ac:dyDescent="0.2">
      <c r="A474" s="126">
        <v>13</v>
      </c>
      <c r="B474" s="137">
        <v>45789</v>
      </c>
      <c r="C474" s="135">
        <v>1500</v>
      </c>
      <c r="D474" s="50">
        <f t="shared" si="44"/>
        <v>1071.4285714285716</v>
      </c>
      <c r="E474" s="50">
        <f t="shared" si="45"/>
        <v>428.57142857142844</v>
      </c>
      <c r="F474" s="50"/>
      <c r="G474" s="50">
        <f t="shared" si="46"/>
        <v>4500</v>
      </c>
      <c r="H474" s="123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</row>
    <row r="475" spans="1:23" x14ac:dyDescent="0.2">
      <c r="A475" s="126">
        <v>14</v>
      </c>
      <c r="B475" s="137">
        <v>45796</v>
      </c>
      <c r="C475" s="135"/>
      <c r="D475" s="50">
        <f t="shared" si="44"/>
        <v>0</v>
      </c>
      <c r="E475" s="50">
        <f t="shared" si="45"/>
        <v>0</v>
      </c>
      <c r="F475" s="50"/>
      <c r="G475" s="50">
        <f t="shared" si="46"/>
        <v>4500</v>
      </c>
      <c r="H475" s="123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</row>
    <row r="476" spans="1:23" x14ac:dyDescent="0.2">
      <c r="A476" s="138"/>
      <c r="B476" s="139"/>
      <c r="C476" s="140"/>
      <c r="D476" s="141">
        <f>SUMIFS(D462:D475, F462:F475, "Y")</f>
        <v>15714.285714285717</v>
      </c>
      <c r="E476" s="142">
        <f>SUMIFS(E462:E475, F462:F475, "Y")</f>
        <v>6285.7142857142844</v>
      </c>
      <c r="F476" s="143">
        <f>(SUMIFS(D462:D475, F462:F475, "Y") + SUMIFS(E462:E475, F462:F475, "Y"))</f>
        <v>22000</v>
      </c>
      <c r="G476" s="140"/>
      <c r="H476" s="144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</row>
    <row r="477" spans="1:23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</row>
    <row r="478" spans="1:23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</row>
    <row r="479" spans="1:23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</row>
    <row r="480" spans="1:23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</row>
    <row r="481" spans="1:23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</row>
    <row r="482" spans="1:23" x14ac:dyDescent="0.2">
      <c r="A482" s="256" t="s">
        <v>169</v>
      </c>
      <c r="B482" s="257"/>
      <c r="C482" s="31"/>
      <c r="D482" s="31"/>
      <c r="E482" s="31"/>
      <c r="F482" s="31"/>
      <c r="G482" s="31"/>
      <c r="H482" s="32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</row>
    <row r="483" spans="1:23" x14ac:dyDescent="0.2">
      <c r="A483" s="265" t="s">
        <v>7</v>
      </c>
      <c r="B483" s="259"/>
      <c r="C483" s="33">
        <v>20000</v>
      </c>
      <c r="D483" s="35"/>
      <c r="E483" s="35"/>
      <c r="F483" s="35"/>
      <c r="G483" s="35"/>
      <c r="H483" s="36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</row>
    <row r="484" spans="1:23" x14ac:dyDescent="0.2">
      <c r="A484" s="265" t="s">
        <v>8</v>
      </c>
      <c r="B484" s="259"/>
      <c r="C484" s="37" t="s">
        <v>165</v>
      </c>
      <c r="D484" s="35"/>
      <c r="E484" s="38"/>
      <c r="F484" s="38"/>
      <c r="G484" s="38"/>
      <c r="H484" s="39" t="s">
        <v>10</v>
      </c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</row>
    <row r="485" spans="1:23" x14ac:dyDescent="0.2">
      <c r="A485" s="265" t="s">
        <v>13</v>
      </c>
      <c r="B485" s="259"/>
      <c r="C485" s="43">
        <v>2000</v>
      </c>
      <c r="D485" s="44"/>
      <c r="E485" s="266" t="s">
        <v>14</v>
      </c>
      <c r="F485" s="45" t="s">
        <v>15</v>
      </c>
      <c r="G485" s="43">
        <v>2000</v>
      </c>
      <c r="H485" s="46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</row>
    <row r="486" spans="1:23" x14ac:dyDescent="0.2">
      <c r="A486" s="265" t="s">
        <v>17</v>
      </c>
      <c r="B486" s="259"/>
      <c r="C486" s="43">
        <v>2</v>
      </c>
      <c r="D486" s="44"/>
      <c r="E486" s="261"/>
      <c r="F486" s="45" t="s">
        <v>18</v>
      </c>
      <c r="G486" s="43">
        <v>18000</v>
      </c>
      <c r="H486" s="46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</row>
    <row r="487" spans="1:23" x14ac:dyDescent="0.2">
      <c r="A487" s="265" t="s">
        <v>20</v>
      </c>
      <c r="B487" s="259"/>
      <c r="C487" s="43">
        <f>C485*C486</f>
        <v>4000</v>
      </c>
      <c r="D487" s="35"/>
      <c r="E487" s="54"/>
      <c r="F487" s="35"/>
      <c r="G487" s="44"/>
      <c r="H487" s="36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</row>
    <row r="488" spans="1:23" x14ac:dyDescent="0.2">
      <c r="A488" s="265" t="s">
        <v>22</v>
      </c>
      <c r="B488" s="259"/>
      <c r="C488" s="33">
        <f>C483+C487</f>
        <v>24000</v>
      </c>
      <c r="D488" s="35"/>
      <c r="E488" s="35"/>
      <c r="F488" s="35"/>
      <c r="G488" s="35"/>
      <c r="H488" s="36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</row>
    <row r="489" spans="1:23" x14ac:dyDescent="0.2">
      <c r="A489" s="265" t="s">
        <v>109</v>
      </c>
      <c r="B489" s="259"/>
      <c r="C489" s="57">
        <v>3000</v>
      </c>
      <c r="D489" s="115" t="s">
        <v>170</v>
      </c>
      <c r="E489" s="35"/>
      <c r="F489" s="35"/>
      <c r="G489" s="35"/>
      <c r="H489" s="36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</row>
    <row r="490" spans="1:23" x14ac:dyDescent="0.2">
      <c r="A490" s="265" t="s">
        <v>28</v>
      </c>
      <c r="B490" s="259"/>
      <c r="C490" s="58" t="s">
        <v>29</v>
      </c>
      <c r="D490" s="35"/>
      <c r="E490" s="35"/>
      <c r="F490" s="35"/>
      <c r="G490" s="35"/>
      <c r="H490" s="36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</row>
    <row r="491" spans="1:23" x14ac:dyDescent="0.2">
      <c r="A491" s="62" t="s">
        <v>31</v>
      </c>
      <c r="B491" s="63" t="s">
        <v>106</v>
      </c>
      <c r="C491" s="45" t="s">
        <v>33</v>
      </c>
      <c r="D491" s="45" t="s">
        <v>34</v>
      </c>
      <c r="E491" s="45" t="s">
        <v>35</v>
      </c>
      <c r="F491" s="45" t="s">
        <v>36</v>
      </c>
      <c r="G491" s="45" t="s">
        <v>37</v>
      </c>
      <c r="H491" s="36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</row>
    <row r="492" spans="1:23" x14ac:dyDescent="0.2">
      <c r="A492" s="62">
        <v>0</v>
      </c>
      <c r="B492" s="65"/>
      <c r="C492" s="65"/>
      <c r="D492" s="65"/>
      <c r="E492" s="65"/>
      <c r="F492" s="65"/>
      <c r="G492" s="43">
        <f>C488</f>
        <v>24000</v>
      </c>
      <c r="H492" s="36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</row>
    <row r="493" spans="1:23" x14ac:dyDescent="0.2">
      <c r="A493" s="62">
        <v>1</v>
      </c>
      <c r="B493" s="100">
        <v>45705</v>
      </c>
      <c r="C493" s="65">
        <v>1200</v>
      </c>
      <c r="D493" s="65">
        <f t="shared" ref="D493:D502" si="47">C493/1.2</f>
        <v>1000</v>
      </c>
      <c r="E493" s="65">
        <f t="shared" ref="E493:E502" si="48">C493-D493</f>
        <v>200</v>
      </c>
      <c r="F493" s="43" t="s">
        <v>41</v>
      </c>
      <c r="G493" s="43">
        <f t="shared" ref="G493:G502" si="49">(G492-C493)</f>
        <v>22800</v>
      </c>
      <c r="H493" s="36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</row>
    <row r="494" spans="1:23" x14ac:dyDescent="0.2">
      <c r="A494" s="62">
        <v>2</v>
      </c>
      <c r="B494" s="100">
        <v>45712</v>
      </c>
      <c r="C494" s="65">
        <v>3000</v>
      </c>
      <c r="D494" s="65">
        <f t="shared" si="47"/>
        <v>2500</v>
      </c>
      <c r="E494" s="65">
        <f t="shared" si="48"/>
        <v>500</v>
      </c>
      <c r="F494" s="43" t="s">
        <v>41</v>
      </c>
      <c r="G494" s="43">
        <f t="shared" si="49"/>
        <v>19800</v>
      </c>
      <c r="H494" s="36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</row>
    <row r="495" spans="1:23" x14ac:dyDescent="0.2">
      <c r="A495" s="62">
        <v>3</v>
      </c>
      <c r="B495" s="100">
        <v>45719</v>
      </c>
      <c r="C495" s="65">
        <v>3000</v>
      </c>
      <c r="D495" s="65">
        <f t="shared" si="47"/>
        <v>2500</v>
      </c>
      <c r="E495" s="65">
        <f t="shared" si="48"/>
        <v>500</v>
      </c>
      <c r="F495" s="43" t="s">
        <v>41</v>
      </c>
      <c r="G495" s="43">
        <f t="shared" si="49"/>
        <v>16800</v>
      </c>
      <c r="H495" s="36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</row>
    <row r="496" spans="1:23" x14ac:dyDescent="0.2">
      <c r="A496" s="62">
        <v>4</v>
      </c>
      <c r="B496" s="100">
        <v>45726</v>
      </c>
      <c r="C496" s="65">
        <v>3000</v>
      </c>
      <c r="D496" s="65">
        <f t="shared" si="47"/>
        <v>2500</v>
      </c>
      <c r="E496" s="65">
        <f t="shared" si="48"/>
        <v>500</v>
      </c>
      <c r="F496" s="43" t="s">
        <v>41</v>
      </c>
      <c r="G496" s="43">
        <f t="shared" si="49"/>
        <v>13800</v>
      </c>
      <c r="H496" s="36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</row>
    <row r="497" spans="1:23" x14ac:dyDescent="0.2">
      <c r="A497" s="62">
        <v>5</v>
      </c>
      <c r="B497" s="103">
        <v>45733</v>
      </c>
      <c r="C497" s="65">
        <v>3000</v>
      </c>
      <c r="D497" s="65">
        <f t="shared" si="47"/>
        <v>2500</v>
      </c>
      <c r="E497" s="65">
        <f t="shared" si="48"/>
        <v>500</v>
      </c>
      <c r="F497" s="43" t="s">
        <v>41</v>
      </c>
      <c r="G497" s="43">
        <f t="shared" si="49"/>
        <v>10800</v>
      </c>
      <c r="H497" s="36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</row>
    <row r="498" spans="1:23" x14ac:dyDescent="0.2">
      <c r="A498" s="62">
        <v>6</v>
      </c>
      <c r="B498" s="103">
        <v>45740</v>
      </c>
      <c r="C498" s="65">
        <v>3000</v>
      </c>
      <c r="D498" s="65">
        <f t="shared" si="47"/>
        <v>2500</v>
      </c>
      <c r="E498" s="65">
        <f t="shared" si="48"/>
        <v>500</v>
      </c>
      <c r="F498" s="43" t="s">
        <v>41</v>
      </c>
      <c r="G498" s="43">
        <f t="shared" si="49"/>
        <v>7800</v>
      </c>
      <c r="H498" s="36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</row>
    <row r="499" spans="1:23" x14ac:dyDescent="0.2">
      <c r="A499" s="62">
        <v>7</v>
      </c>
      <c r="B499" s="103">
        <v>45747</v>
      </c>
      <c r="C499" s="65">
        <v>3000</v>
      </c>
      <c r="D499" s="65">
        <f t="shared" si="47"/>
        <v>2500</v>
      </c>
      <c r="E499" s="65">
        <f t="shared" si="48"/>
        <v>500</v>
      </c>
      <c r="F499" s="43" t="s">
        <v>41</v>
      </c>
      <c r="G499" s="43">
        <f t="shared" si="49"/>
        <v>4800</v>
      </c>
      <c r="H499" s="36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</row>
    <row r="500" spans="1:23" x14ac:dyDescent="0.2">
      <c r="A500" s="62">
        <v>8</v>
      </c>
      <c r="B500" s="103">
        <v>45754</v>
      </c>
      <c r="C500" s="65">
        <v>3000</v>
      </c>
      <c r="D500" s="65">
        <f t="shared" si="47"/>
        <v>2500</v>
      </c>
      <c r="E500" s="65">
        <f t="shared" si="48"/>
        <v>500</v>
      </c>
      <c r="F500" s="43" t="s">
        <v>41</v>
      </c>
      <c r="G500" s="43">
        <f t="shared" si="49"/>
        <v>1800</v>
      </c>
      <c r="H500" s="36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</row>
    <row r="501" spans="1:23" x14ac:dyDescent="0.2">
      <c r="A501" s="62">
        <v>9</v>
      </c>
      <c r="B501" s="103">
        <v>45761</v>
      </c>
      <c r="C501" s="65">
        <v>0</v>
      </c>
      <c r="D501" s="65">
        <f t="shared" si="47"/>
        <v>0</v>
      </c>
      <c r="E501" s="65">
        <f t="shared" si="48"/>
        <v>0</v>
      </c>
      <c r="F501" s="43" t="s">
        <v>168</v>
      </c>
      <c r="G501" s="43">
        <f t="shared" si="49"/>
        <v>1800</v>
      </c>
      <c r="H501" s="36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</row>
    <row r="502" spans="1:23" x14ac:dyDescent="0.2">
      <c r="A502" s="62">
        <v>10</v>
      </c>
      <c r="B502" s="103">
        <v>45768</v>
      </c>
      <c r="C502" s="65">
        <v>1800</v>
      </c>
      <c r="D502" s="65">
        <f t="shared" si="47"/>
        <v>1500</v>
      </c>
      <c r="E502" s="65">
        <f t="shared" si="48"/>
        <v>300</v>
      </c>
      <c r="F502" s="43" t="s">
        <v>41</v>
      </c>
      <c r="G502" s="43">
        <f t="shared" si="49"/>
        <v>0</v>
      </c>
      <c r="H502" s="36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</row>
    <row r="503" spans="1:23" x14ac:dyDescent="0.2">
      <c r="A503" s="89"/>
      <c r="B503" s="90"/>
      <c r="C503" s="91"/>
      <c r="D503" s="92">
        <f>SUMIFS(D493:D502, F493:F502, "Y")</f>
        <v>20000</v>
      </c>
      <c r="E503" s="92">
        <f>SUMIFS(E493:E502, F493:F502, "Y")</f>
        <v>4000</v>
      </c>
      <c r="F503" s="92">
        <f>(SUMIFS(D493:D502, F493:F502, "Y") + SUMIFS(E493:E502, F493:F502, "Y"))</f>
        <v>24000</v>
      </c>
      <c r="G503" s="91"/>
      <c r="H503" s="93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</row>
    <row r="504" spans="1:23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</row>
    <row r="505" spans="1:23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</row>
    <row r="506" spans="1:23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</row>
    <row r="507" spans="1:23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</row>
    <row r="508" spans="1:23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</row>
    <row r="509" spans="1:23" x14ac:dyDescent="0.2">
      <c r="A509" s="256" t="s">
        <v>171</v>
      </c>
      <c r="B509" s="257"/>
      <c r="C509" s="119"/>
      <c r="D509" s="119"/>
      <c r="E509" s="119"/>
      <c r="F509" s="119"/>
      <c r="G509" s="119"/>
      <c r="H509" s="12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</row>
    <row r="510" spans="1:23" x14ac:dyDescent="0.2">
      <c r="A510" s="258" t="s">
        <v>7</v>
      </c>
      <c r="B510" s="259"/>
      <c r="C510" s="148">
        <v>20000</v>
      </c>
      <c r="D510" s="30"/>
      <c r="E510" s="30"/>
      <c r="F510" s="30"/>
      <c r="G510" s="30"/>
      <c r="H510" s="123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</row>
    <row r="511" spans="1:23" x14ac:dyDescent="0.2">
      <c r="A511" s="258" t="s">
        <v>8</v>
      </c>
      <c r="B511" s="259"/>
      <c r="C511" s="82">
        <v>45705</v>
      </c>
      <c r="D511" s="30"/>
      <c r="E511" s="49"/>
      <c r="F511" s="49"/>
      <c r="G511" s="49"/>
      <c r="H511" s="125" t="s">
        <v>10</v>
      </c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</row>
    <row r="512" spans="1:23" x14ac:dyDescent="0.2">
      <c r="A512" s="258" t="s">
        <v>103</v>
      </c>
      <c r="B512" s="259"/>
      <c r="C512" s="135">
        <v>4000</v>
      </c>
      <c r="D512" s="66"/>
      <c r="E512" s="260" t="s">
        <v>14</v>
      </c>
      <c r="F512" s="126" t="s">
        <v>15</v>
      </c>
      <c r="G512" s="135">
        <v>0</v>
      </c>
      <c r="H512" s="127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</row>
    <row r="513" spans="1:23" x14ac:dyDescent="0.2">
      <c r="A513" s="258" t="s">
        <v>17</v>
      </c>
      <c r="B513" s="259"/>
      <c r="C513" s="50">
        <v>2</v>
      </c>
      <c r="D513" s="66"/>
      <c r="E513" s="261"/>
      <c r="F513" s="126" t="s">
        <v>18</v>
      </c>
      <c r="G513" s="50">
        <v>20000</v>
      </c>
      <c r="H513" s="127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</row>
    <row r="514" spans="1:23" x14ac:dyDescent="0.2">
      <c r="A514" s="258" t="s">
        <v>20</v>
      </c>
      <c r="B514" s="259"/>
      <c r="C514" s="50">
        <f>C512*C513</f>
        <v>8000</v>
      </c>
      <c r="D514" s="30"/>
      <c r="E514" s="128"/>
      <c r="F514" s="30"/>
      <c r="G514" s="66"/>
      <c r="H514" s="123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</row>
    <row r="515" spans="1:23" x14ac:dyDescent="0.2">
      <c r="A515" s="258" t="s">
        <v>22</v>
      </c>
      <c r="B515" s="259"/>
      <c r="C515" s="121">
        <f>C510+C514</f>
        <v>28000</v>
      </c>
      <c r="D515" s="30"/>
      <c r="E515" s="30"/>
      <c r="F515" s="30"/>
      <c r="G515" s="30"/>
      <c r="H515" s="123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</row>
    <row r="516" spans="1:23" x14ac:dyDescent="0.2">
      <c r="A516" s="258" t="s">
        <v>24</v>
      </c>
      <c r="B516" s="259"/>
      <c r="C516" s="146">
        <v>500</v>
      </c>
      <c r="D516" s="30" t="s">
        <v>172</v>
      </c>
      <c r="E516" s="30"/>
      <c r="F516" s="30"/>
      <c r="G516" s="30"/>
      <c r="H516" s="123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</row>
    <row r="517" spans="1:23" x14ac:dyDescent="0.2">
      <c r="A517" s="258" t="s">
        <v>28</v>
      </c>
      <c r="B517" s="259"/>
      <c r="C517" s="130" t="s">
        <v>29</v>
      </c>
      <c r="D517" s="30"/>
      <c r="E517" s="30"/>
      <c r="F517" s="30"/>
      <c r="G517" s="30"/>
      <c r="H517" s="123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</row>
    <row r="518" spans="1:23" x14ac:dyDescent="0.2">
      <c r="A518" s="131" t="s">
        <v>31</v>
      </c>
      <c r="B518" s="132" t="s">
        <v>106</v>
      </c>
      <c r="C518" s="133" t="s">
        <v>33</v>
      </c>
      <c r="D518" s="133" t="s">
        <v>34</v>
      </c>
      <c r="E518" s="133" t="s">
        <v>35</v>
      </c>
      <c r="F518" s="133" t="s">
        <v>36</v>
      </c>
      <c r="G518" s="133" t="s">
        <v>37</v>
      </c>
      <c r="H518" s="123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</row>
    <row r="519" spans="1:23" x14ac:dyDescent="0.2">
      <c r="A519" s="134">
        <v>0</v>
      </c>
      <c r="B519" s="135"/>
      <c r="C519" s="135"/>
      <c r="D519" s="135"/>
      <c r="E519" s="135"/>
      <c r="F519" s="135"/>
      <c r="G519" s="50">
        <f>C515</f>
        <v>28000</v>
      </c>
      <c r="H519" s="123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</row>
    <row r="520" spans="1:23" x14ac:dyDescent="0.2">
      <c r="A520" s="134">
        <v>1</v>
      </c>
      <c r="B520" s="136">
        <v>45712</v>
      </c>
      <c r="C520" s="135">
        <v>2000</v>
      </c>
      <c r="D520" s="135">
        <f t="shared" ref="D520:D533" si="50">C520/1.4</f>
        <v>1428.5714285714287</v>
      </c>
      <c r="E520" s="135">
        <f t="shared" ref="E520:E533" si="51">C520-D520</f>
        <v>571.42857142857133</v>
      </c>
      <c r="F520" s="50" t="s">
        <v>41</v>
      </c>
      <c r="G520" s="50">
        <f t="shared" ref="G520:G533" si="52">(G519-C520)</f>
        <v>26000</v>
      </c>
      <c r="H520" s="123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</row>
    <row r="521" spans="1:23" x14ac:dyDescent="0.2">
      <c r="A521" s="134">
        <v>2</v>
      </c>
      <c r="B521" s="136">
        <v>45719</v>
      </c>
      <c r="C521" s="135">
        <v>3500</v>
      </c>
      <c r="D521" s="135">
        <f t="shared" si="50"/>
        <v>2500</v>
      </c>
      <c r="E521" s="135">
        <f t="shared" si="51"/>
        <v>1000</v>
      </c>
      <c r="F521" s="50" t="s">
        <v>41</v>
      </c>
      <c r="G521" s="50">
        <f t="shared" si="52"/>
        <v>22500</v>
      </c>
      <c r="H521" s="123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</row>
    <row r="522" spans="1:23" x14ac:dyDescent="0.2">
      <c r="A522" s="134">
        <v>3</v>
      </c>
      <c r="B522" s="136">
        <v>45726</v>
      </c>
      <c r="C522" s="135">
        <v>3000</v>
      </c>
      <c r="D522" s="135">
        <f t="shared" si="50"/>
        <v>2142.8571428571431</v>
      </c>
      <c r="E522" s="135">
        <f t="shared" si="51"/>
        <v>857.14285714285688</v>
      </c>
      <c r="F522" s="50" t="s">
        <v>41</v>
      </c>
      <c r="G522" s="50">
        <f t="shared" si="52"/>
        <v>19500</v>
      </c>
      <c r="H522" s="123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</row>
    <row r="523" spans="1:23" x14ac:dyDescent="0.2">
      <c r="A523" s="134">
        <v>4</v>
      </c>
      <c r="B523" s="136">
        <v>45733</v>
      </c>
      <c r="C523" s="135">
        <v>2500</v>
      </c>
      <c r="D523" s="135">
        <f t="shared" si="50"/>
        <v>1785.7142857142858</v>
      </c>
      <c r="E523" s="135">
        <f t="shared" si="51"/>
        <v>714.28571428571422</v>
      </c>
      <c r="F523" s="50" t="s">
        <v>41</v>
      </c>
      <c r="G523" s="50">
        <f t="shared" si="52"/>
        <v>17000</v>
      </c>
      <c r="H523" s="123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</row>
    <row r="524" spans="1:23" x14ac:dyDescent="0.2">
      <c r="A524" s="134">
        <v>5</v>
      </c>
      <c r="B524" s="137">
        <v>45740</v>
      </c>
      <c r="C524" s="135">
        <v>2000</v>
      </c>
      <c r="D524" s="135">
        <f t="shared" si="50"/>
        <v>1428.5714285714287</v>
      </c>
      <c r="E524" s="135">
        <f t="shared" si="51"/>
        <v>571.42857142857133</v>
      </c>
      <c r="F524" s="50" t="s">
        <v>41</v>
      </c>
      <c r="G524" s="50">
        <f t="shared" si="52"/>
        <v>15000</v>
      </c>
      <c r="H524" s="123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</row>
    <row r="525" spans="1:23" x14ac:dyDescent="0.2">
      <c r="A525" s="134">
        <v>6</v>
      </c>
      <c r="B525" s="137">
        <v>45747</v>
      </c>
      <c r="C525" s="135">
        <v>3000</v>
      </c>
      <c r="D525" s="135">
        <f t="shared" si="50"/>
        <v>2142.8571428571431</v>
      </c>
      <c r="E525" s="135">
        <f t="shared" si="51"/>
        <v>857.14285714285688</v>
      </c>
      <c r="F525" s="50" t="s">
        <v>41</v>
      </c>
      <c r="G525" s="50">
        <f t="shared" si="52"/>
        <v>12000</v>
      </c>
      <c r="H525" s="123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</row>
    <row r="526" spans="1:23" x14ac:dyDescent="0.2">
      <c r="A526" s="134">
        <v>7</v>
      </c>
      <c r="B526" s="137">
        <v>45754</v>
      </c>
      <c r="C526" s="135">
        <v>1500</v>
      </c>
      <c r="D526" s="135">
        <f t="shared" si="50"/>
        <v>1071.4285714285716</v>
      </c>
      <c r="E526" s="135">
        <f t="shared" si="51"/>
        <v>428.57142857142844</v>
      </c>
      <c r="F526" s="50" t="s">
        <v>41</v>
      </c>
      <c r="G526" s="50">
        <f t="shared" si="52"/>
        <v>10500</v>
      </c>
      <c r="H526" s="123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</row>
    <row r="527" spans="1:23" x14ac:dyDescent="0.2">
      <c r="A527" s="134">
        <v>8</v>
      </c>
      <c r="B527" s="137">
        <v>45761</v>
      </c>
      <c r="C527" s="135">
        <v>750</v>
      </c>
      <c r="D527" s="135">
        <f t="shared" si="50"/>
        <v>535.71428571428578</v>
      </c>
      <c r="E527" s="135">
        <f t="shared" si="51"/>
        <v>214.28571428571422</v>
      </c>
      <c r="F527" s="50" t="s">
        <v>41</v>
      </c>
      <c r="G527" s="50">
        <f t="shared" si="52"/>
        <v>9750</v>
      </c>
      <c r="H527" s="123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</row>
    <row r="528" spans="1:23" x14ac:dyDescent="0.2">
      <c r="A528" s="134">
        <v>9</v>
      </c>
      <c r="B528" s="137">
        <v>45768</v>
      </c>
      <c r="C528" s="135">
        <v>1500</v>
      </c>
      <c r="D528" s="135">
        <f t="shared" si="50"/>
        <v>1071.4285714285716</v>
      </c>
      <c r="E528" s="135">
        <f t="shared" si="51"/>
        <v>428.57142857142844</v>
      </c>
      <c r="F528" s="50" t="s">
        <v>41</v>
      </c>
      <c r="G528" s="50">
        <f t="shared" si="52"/>
        <v>8250</v>
      </c>
      <c r="H528" s="123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</row>
    <row r="529" spans="1:23" x14ac:dyDescent="0.2">
      <c r="A529" s="134">
        <v>10</v>
      </c>
      <c r="B529" s="137">
        <v>45775</v>
      </c>
      <c r="C529" s="135">
        <v>1500</v>
      </c>
      <c r="D529" s="135">
        <f t="shared" si="50"/>
        <v>1071.4285714285716</v>
      </c>
      <c r="E529" s="135">
        <f t="shared" si="51"/>
        <v>428.57142857142844</v>
      </c>
      <c r="F529" s="50" t="s">
        <v>41</v>
      </c>
      <c r="G529" s="50">
        <f t="shared" si="52"/>
        <v>6750</v>
      </c>
      <c r="H529" s="123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</row>
    <row r="530" spans="1:23" x14ac:dyDescent="0.2">
      <c r="A530" s="126">
        <v>11</v>
      </c>
      <c r="B530" s="137">
        <v>45782</v>
      </c>
      <c r="C530" s="135">
        <v>1000</v>
      </c>
      <c r="D530" s="135">
        <f t="shared" si="50"/>
        <v>714.28571428571433</v>
      </c>
      <c r="E530" s="135">
        <f t="shared" si="51"/>
        <v>285.71428571428567</v>
      </c>
      <c r="F530" s="50" t="s">
        <v>41</v>
      </c>
      <c r="G530" s="50">
        <f t="shared" si="52"/>
        <v>5750</v>
      </c>
      <c r="H530" s="123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</row>
    <row r="531" spans="1:23" x14ac:dyDescent="0.2">
      <c r="A531" s="126">
        <v>12</v>
      </c>
      <c r="B531" s="137">
        <v>45789</v>
      </c>
      <c r="C531" s="135">
        <v>1500</v>
      </c>
      <c r="D531" s="135">
        <f t="shared" si="50"/>
        <v>1071.4285714285716</v>
      </c>
      <c r="E531" s="135">
        <f t="shared" si="51"/>
        <v>428.57142857142844</v>
      </c>
      <c r="F531" s="50"/>
      <c r="G531" s="50">
        <f t="shared" si="52"/>
        <v>4250</v>
      </c>
      <c r="H531" s="123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</row>
    <row r="532" spans="1:23" x14ac:dyDescent="0.2">
      <c r="A532" s="126">
        <v>13</v>
      </c>
      <c r="B532" s="137">
        <v>45796</v>
      </c>
      <c r="C532" s="135"/>
      <c r="D532" s="135">
        <f t="shared" si="50"/>
        <v>0</v>
      </c>
      <c r="E532" s="135">
        <f t="shared" si="51"/>
        <v>0</v>
      </c>
      <c r="F532" s="50"/>
      <c r="G532" s="50">
        <f t="shared" si="52"/>
        <v>4250</v>
      </c>
      <c r="H532" s="123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</row>
    <row r="533" spans="1:23" x14ac:dyDescent="0.2">
      <c r="A533" s="126">
        <v>14</v>
      </c>
      <c r="B533" s="137">
        <v>45803</v>
      </c>
      <c r="C533" s="135"/>
      <c r="D533" s="135">
        <f t="shared" si="50"/>
        <v>0</v>
      </c>
      <c r="E533" s="135">
        <f t="shared" si="51"/>
        <v>0</v>
      </c>
      <c r="F533" s="50"/>
      <c r="G533" s="50">
        <f t="shared" si="52"/>
        <v>4250</v>
      </c>
      <c r="H533" s="123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</row>
    <row r="534" spans="1:23" x14ac:dyDescent="0.2">
      <c r="A534" s="138"/>
      <c r="B534" s="139"/>
      <c r="C534" s="140"/>
      <c r="D534" s="141">
        <f>SUMIFS(D520:D533, F520:F533, "Y")</f>
        <v>15892.857142857145</v>
      </c>
      <c r="E534" s="142">
        <f>SUMIFS(E520:E533, F520:F533, "Y")</f>
        <v>6357.142857142856</v>
      </c>
      <c r="F534" s="143">
        <f>(SUMIFS(D520:D533, F520:F533, "Y") + SUMIFS(E520:E533, F520:F533, "Y"))</f>
        <v>22250</v>
      </c>
      <c r="G534" s="140"/>
      <c r="H534" s="144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</row>
    <row r="535" spans="1:23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</row>
    <row r="536" spans="1:23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</row>
    <row r="537" spans="1:23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</row>
    <row r="538" spans="1:23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</row>
    <row r="539" spans="1:23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</row>
    <row r="540" spans="1:23" x14ac:dyDescent="0.2">
      <c r="A540" s="256" t="s">
        <v>173</v>
      </c>
      <c r="B540" s="257"/>
      <c r="C540" s="31"/>
      <c r="D540" s="31"/>
      <c r="E540" s="31"/>
      <c r="F540" s="31"/>
      <c r="G540" s="31"/>
      <c r="H540" s="32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</row>
    <row r="541" spans="1:23" x14ac:dyDescent="0.2">
      <c r="A541" s="265" t="s">
        <v>7</v>
      </c>
      <c r="B541" s="259"/>
      <c r="C541" s="149">
        <v>10000</v>
      </c>
      <c r="D541" s="35"/>
      <c r="E541" s="35"/>
      <c r="F541" s="35"/>
      <c r="G541" s="35"/>
      <c r="H541" s="36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</row>
    <row r="542" spans="1:23" x14ac:dyDescent="0.2">
      <c r="A542" s="265" t="s">
        <v>8</v>
      </c>
      <c r="B542" s="259"/>
      <c r="C542" s="113">
        <v>45706</v>
      </c>
      <c r="D542" s="35"/>
      <c r="E542" s="38"/>
      <c r="F542" s="38"/>
      <c r="G542" s="38"/>
      <c r="H542" s="39" t="s">
        <v>10</v>
      </c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</row>
    <row r="543" spans="1:23" x14ac:dyDescent="0.2">
      <c r="A543" s="265" t="s">
        <v>103</v>
      </c>
      <c r="B543" s="259"/>
      <c r="C543" s="65">
        <v>2000</v>
      </c>
      <c r="D543" s="44"/>
      <c r="E543" s="266" t="s">
        <v>14</v>
      </c>
      <c r="F543" s="45" t="s">
        <v>15</v>
      </c>
      <c r="G543" s="65">
        <v>0</v>
      </c>
      <c r="H543" s="46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</row>
    <row r="544" spans="1:23" x14ac:dyDescent="0.2">
      <c r="A544" s="265" t="s">
        <v>17</v>
      </c>
      <c r="B544" s="259"/>
      <c r="C544" s="43">
        <v>2</v>
      </c>
      <c r="D544" s="44"/>
      <c r="E544" s="261"/>
      <c r="F544" s="45" t="s">
        <v>18</v>
      </c>
      <c r="G544" s="43">
        <v>10000</v>
      </c>
      <c r="H544" s="46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</row>
    <row r="545" spans="1:23" x14ac:dyDescent="0.2">
      <c r="A545" s="265" t="s">
        <v>20</v>
      </c>
      <c r="B545" s="259"/>
      <c r="C545" s="43">
        <f>C543*C544</f>
        <v>4000</v>
      </c>
      <c r="D545" s="35"/>
      <c r="E545" s="54"/>
      <c r="F545" s="35"/>
      <c r="G545" s="44"/>
      <c r="H545" s="36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</row>
    <row r="546" spans="1:23" x14ac:dyDescent="0.2">
      <c r="A546" s="265" t="s">
        <v>22</v>
      </c>
      <c r="B546" s="259"/>
      <c r="C546" s="33">
        <f>C541+C545</f>
        <v>14000</v>
      </c>
      <c r="D546" s="35"/>
      <c r="E546" s="35"/>
      <c r="F546" s="35"/>
      <c r="G546" s="35"/>
      <c r="H546" s="36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</row>
    <row r="547" spans="1:23" x14ac:dyDescent="0.2">
      <c r="A547" s="265" t="s">
        <v>24</v>
      </c>
      <c r="B547" s="259"/>
      <c r="C547" s="57">
        <v>250</v>
      </c>
      <c r="D547" s="35" t="s">
        <v>174</v>
      </c>
      <c r="E547" s="35"/>
      <c r="F547" s="35"/>
      <c r="G547" s="35"/>
      <c r="H547" s="36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</row>
    <row r="548" spans="1:23" x14ac:dyDescent="0.2">
      <c r="A548" s="265" t="s">
        <v>28</v>
      </c>
      <c r="B548" s="259"/>
      <c r="C548" s="58" t="s">
        <v>29</v>
      </c>
      <c r="D548" s="35"/>
      <c r="E548" s="35"/>
      <c r="F548" s="35"/>
      <c r="G548" s="35"/>
      <c r="H548" s="36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</row>
    <row r="549" spans="1:23" x14ac:dyDescent="0.2">
      <c r="A549" s="62" t="s">
        <v>31</v>
      </c>
      <c r="B549" s="63" t="s">
        <v>106</v>
      </c>
      <c r="C549" s="45" t="s">
        <v>33</v>
      </c>
      <c r="D549" s="45" t="s">
        <v>34</v>
      </c>
      <c r="E549" s="45" t="s">
        <v>35</v>
      </c>
      <c r="F549" s="45" t="s">
        <v>36</v>
      </c>
      <c r="G549" s="45" t="s">
        <v>37</v>
      </c>
      <c r="H549" s="36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</row>
    <row r="550" spans="1:23" x14ac:dyDescent="0.2">
      <c r="A550" s="62">
        <v>0</v>
      </c>
      <c r="B550" s="65"/>
      <c r="C550" s="65"/>
      <c r="D550" s="65"/>
      <c r="E550" s="65"/>
      <c r="F550" s="65"/>
      <c r="G550" s="43">
        <f>C546</f>
        <v>14000</v>
      </c>
      <c r="H550" s="36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</row>
    <row r="551" spans="1:23" x14ac:dyDescent="0.2">
      <c r="A551" s="62">
        <v>1</v>
      </c>
      <c r="B551" s="100">
        <v>45712</v>
      </c>
      <c r="C551" s="65">
        <v>1000</v>
      </c>
      <c r="D551" s="65">
        <f t="shared" ref="D551:D560" si="53">C551/1.4</f>
        <v>714.28571428571433</v>
      </c>
      <c r="E551" s="65">
        <f t="shared" ref="E551:E560" si="54">C551-D551</f>
        <v>285.71428571428567</v>
      </c>
      <c r="F551" s="43" t="s">
        <v>41</v>
      </c>
      <c r="G551" s="43">
        <f t="shared" ref="G551:G560" si="55">(G550-C551)</f>
        <v>13000</v>
      </c>
      <c r="H551" s="36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</row>
    <row r="552" spans="1:23" x14ac:dyDescent="0.2">
      <c r="A552" s="62">
        <v>2</v>
      </c>
      <c r="B552" s="100">
        <v>45719</v>
      </c>
      <c r="C552" s="65">
        <v>1750</v>
      </c>
      <c r="D552" s="65">
        <f t="shared" si="53"/>
        <v>1250</v>
      </c>
      <c r="E552" s="65">
        <f t="shared" si="54"/>
        <v>500</v>
      </c>
      <c r="F552" s="43" t="s">
        <v>41</v>
      </c>
      <c r="G552" s="43">
        <f t="shared" si="55"/>
        <v>11250</v>
      </c>
      <c r="H552" s="36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</row>
    <row r="553" spans="1:23" x14ac:dyDescent="0.2">
      <c r="A553" s="62">
        <v>3</v>
      </c>
      <c r="B553" s="100">
        <v>45726</v>
      </c>
      <c r="C553" s="65">
        <v>1750</v>
      </c>
      <c r="D553" s="65">
        <f t="shared" si="53"/>
        <v>1250</v>
      </c>
      <c r="E553" s="65">
        <f t="shared" si="54"/>
        <v>500</v>
      </c>
      <c r="F553" s="43" t="s">
        <v>41</v>
      </c>
      <c r="G553" s="43">
        <f t="shared" si="55"/>
        <v>9500</v>
      </c>
      <c r="H553" s="36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</row>
    <row r="554" spans="1:23" x14ac:dyDescent="0.2">
      <c r="A554" s="62">
        <v>4</v>
      </c>
      <c r="B554" s="100">
        <v>45733</v>
      </c>
      <c r="C554" s="65">
        <v>1250</v>
      </c>
      <c r="D554" s="65">
        <f t="shared" si="53"/>
        <v>892.85714285714289</v>
      </c>
      <c r="E554" s="65">
        <f t="shared" si="54"/>
        <v>357.14285714285711</v>
      </c>
      <c r="F554" s="43" t="s">
        <v>41</v>
      </c>
      <c r="G554" s="43">
        <f t="shared" si="55"/>
        <v>8250</v>
      </c>
      <c r="H554" s="36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</row>
    <row r="555" spans="1:23" x14ac:dyDescent="0.2">
      <c r="A555" s="62">
        <v>5</v>
      </c>
      <c r="B555" s="103">
        <v>45740</v>
      </c>
      <c r="C555" s="65">
        <v>1750</v>
      </c>
      <c r="D555" s="65">
        <f t="shared" si="53"/>
        <v>1250</v>
      </c>
      <c r="E555" s="65">
        <f t="shared" si="54"/>
        <v>500</v>
      </c>
      <c r="F555" s="43" t="s">
        <v>41</v>
      </c>
      <c r="G555" s="43">
        <f t="shared" si="55"/>
        <v>6500</v>
      </c>
      <c r="H555" s="36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</row>
    <row r="556" spans="1:23" x14ac:dyDescent="0.2">
      <c r="A556" s="62">
        <v>6</v>
      </c>
      <c r="B556" s="103">
        <v>45747</v>
      </c>
      <c r="C556" s="65">
        <v>1500</v>
      </c>
      <c r="D556" s="65">
        <f t="shared" si="53"/>
        <v>1071.4285714285716</v>
      </c>
      <c r="E556" s="65">
        <f t="shared" si="54"/>
        <v>428.57142857142844</v>
      </c>
      <c r="F556" s="43" t="s">
        <v>41</v>
      </c>
      <c r="G556" s="43">
        <f t="shared" si="55"/>
        <v>5000</v>
      </c>
      <c r="H556" s="36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</row>
    <row r="557" spans="1:23" x14ac:dyDescent="0.2">
      <c r="A557" s="62">
        <v>7</v>
      </c>
      <c r="B557" s="103">
        <v>45754</v>
      </c>
      <c r="C557" s="65">
        <v>1250</v>
      </c>
      <c r="D557" s="65">
        <f t="shared" si="53"/>
        <v>892.85714285714289</v>
      </c>
      <c r="E557" s="65">
        <f t="shared" si="54"/>
        <v>357.14285714285711</v>
      </c>
      <c r="F557" s="43" t="s">
        <v>41</v>
      </c>
      <c r="G557" s="43">
        <f t="shared" si="55"/>
        <v>3750</v>
      </c>
      <c r="H557" s="36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</row>
    <row r="558" spans="1:23" x14ac:dyDescent="0.2">
      <c r="A558" s="62">
        <v>8</v>
      </c>
      <c r="B558" s="103">
        <v>45761</v>
      </c>
      <c r="C558" s="65">
        <v>1250</v>
      </c>
      <c r="D558" s="65">
        <f t="shared" si="53"/>
        <v>892.85714285714289</v>
      </c>
      <c r="E558" s="65">
        <f t="shared" si="54"/>
        <v>357.14285714285711</v>
      </c>
      <c r="F558" s="43" t="s">
        <v>41</v>
      </c>
      <c r="G558" s="43">
        <f t="shared" si="55"/>
        <v>2500</v>
      </c>
      <c r="H558" s="36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</row>
    <row r="559" spans="1:23" x14ac:dyDescent="0.2">
      <c r="A559" s="62">
        <v>9</v>
      </c>
      <c r="B559" s="103">
        <v>45768</v>
      </c>
      <c r="C559" s="65">
        <v>750</v>
      </c>
      <c r="D559" s="65">
        <f t="shared" si="53"/>
        <v>535.71428571428578</v>
      </c>
      <c r="E559" s="65">
        <f t="shared" si="54"/>
        <v>214.28571428571422</v>
      </c>
      <c r="F559" s="43" t="s">
        <v>41</v>
      </c>
      <c r="G559" s="43">
        <f t="shared" si="55"/>
        <v>1750</v>
      </c>
      <c r="H559" s="36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</row>
    <row r="560" spans="1:23" x14ac:dyDescent="0.2">
      <c r="A560" s="62">
        <v>10</v>
      </c>
      <c r="B560" s="103">
        <v>45768</v>
      </c>
      <c r="C560" s="65">
        <v>1750</v>
      </c>
      <c r="D560" s="65">
        <f t="shared" si="53"/>
        <v>1250</v>
      </c>
      <c r="E560" s="65">
        <f t="shared" si="54"/>
        <v>500</v>
      </c>
      <c r="F560" s="43" t="s">
        <v>41</v>
      </c>
      <c r="G560" s="43">
        <f t="shared" si="55"/>
        <v>0</v>
      </c>
      <c r="H560" s="36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</row>
    <row r="561" spans="1:23" x14ac:dyDescent="0.2">
      <c r="A561" s="89"/>
      <c r="B561" s="90"/>
      <c r="C561" s="91"/>
      <c r="D561" s="111">
        <f>SUMIFS(D551:D560, F551:F560, "Y")</f>
        <v>10000</v>
      </c>
      <c r="E561" s="111">
        <f>SUMIFS(E551:E560, F551:F560, "Y")</f>
        <v>3999.9999999999995</v>
      </c>
      <c r="F561" s="92">
        <f>(SUMIFS(D551:D560, F551:F560, "Y") + SUMIFS(E551:E560, F551:F560, "Y"))</f>
        <v>14000</v>
      </c>
      <c r="G561" s="91"/>
      <c r="H561" s="93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</row>
    <row r="562" spans="1:23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</row>
    <row r="563" spans="1:23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</row>
    <row r="564" spans="1:23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</row>
    <row r="565" spans="1:23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</row>
    <row r="566" spans="1:23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</row>
    <row r="567" spans="1:23" x14ac:dyDescent="0.2">
      <c r="A567" s="256" t="s">
        <v>175</v>
      </c>
      <c r="B567" s="257"/>
      <c r="C567" s="119"/>
      <c r="D567" s="119"/>
      <c r="E567" s="119"/>
      <c r="F567" s="119"/>
      <c r="G567" s="119"/>
      <c r="H567" s="12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</row>
    <row r="568" spans="1:23" x14ac:dyDescent="0.2">
      <c r="A568" s="258" t="s">
        <v>7</v>
      </c>
      <c r="B568" s="259"/>
      <c r="C568" s="50">
        <v>15000</v>
      </c>
      <c r="D568" s="30"/>
      <c r="E568" s="30"/>
      <c r="F568" s="30"/>
      <c r="G568" s="30"/>
      <c r="H568" s="123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</row>
    <row r="569" spans="1:23" x14ac:dyDescent="0.2">
      <c r="A569" s="258" t="s">
        <v>8</v>
      </c>
      <c r="B569" s="259"/>
      <c r="C569" s="150">
        <v>45706</v>
      </c>
      <c r="D569" s="30"/>
      <c r="E569" s="49"/>
      <c r="F569" s="49"/>
      <c r="G569" s="49"/>
      <c r="H569" s="125" t="s">
        <v>10</v>
      </c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</row>
    <row r="570" spans="1:23" x14ac:dyDescent="0.2">
      <c r="A570" s="258" t="s">
        <v>103</v>
      </c>
      <c r="B570" s="259"/>
      <c r="C570" s="50">
        <v>3000</v>
      </c>
      <c r="D570" s="66"/>
      <c r="E570" s="260" t="s">
        <v>14</v>
      </c>
      <c r="F570" s="126" t="s">
        <v>15</v>
      </c>
      <c r="G570" s="50">
        <v>0</v>
      </c>
      <c r="H570" s="127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</row>
    <row r="571" spans="1:23" x14ac:dyDescent="0.2">
      <c r="A571" s="258" t="s">
        <v>17</v>
      </c>
      <c r="B571" s="259"/>
      <c r="C571" s="50">
        <v>2</v>
      </c>
      <c r="D571" s="66"/>
      <c r="E571" s="261"/>
      <c r="F571" s="126" t="s">
        <v>18</v>
      </c>
      <c r="G571" s="50">
        <v>10000</v>
      </c>
      <c r="H571" s="127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</row>
    <row r="572" spans="1:23" x14ac:dyDescent="0.2">
      <c r="A572" s="258" t="s">
        <v>20</v>
      </c>
      <c r="B572" s="259"/>
      <c r="C572" s="50">
        <f>C570*C571</f>
        <v>6000</v>
      </c>
      <c r="D572" s="30"/>
      <c r="E572" s="128"/>
      <c r="F572" s="30"/>
      <c r="G572" s="66"/>
      <c r="H572" s="123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</row>
    <row r="573" spans="1:23" x14ac:dyDescent="0.2">
      <c r="A573" s="258" t="s">
        <v>22</v>
      </c>
      <c r="B573" s="259"/>
      <c r="C573" s="121">
        <f>C568+C572</f>
        <v>21000</v>
      </c>
      <c r="D573" s="30"/>
      <c r="E573" s="30"/>
      <c r="F573" s="30"/>
      <c r="G573" s="30"/>
      <c r="H573" s="123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</row>
    <row r="574" spans="1:23" x14ac:dyDescent="0.2">
      <c r="A574" s="258" t="s">
        <v>24</v>
      </c>
      <c r="B574" s="259"/>
      <c r="C574" s="146">
        <v>350</v>
      </c>
      <c r="D574" s="30" t="s">
        <v>174</v>
      </c>
      <c r="E574" s="30"/>
      <c r="F574" s="30"/>
      <c r="G574" s="30"/>
      <c r="H574" s="123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</row>
    <row r="575" spans="1:23" x14ac:dyDescent="0.2">
      <c r="A575" s="258" t="s">
        <v>28</v>
      </c>
      <c r="B575" s="259"/>
      <c r="C575" s="130" t="s">
        <v>29</v>
      </c>
      <c r="D575" s="30"/>
      <c r="E575" s="30"/>
      <c r="F575" s="30"/>
      <c r="G575" s="30"/>
      <c r="H575" s="123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</row>
    <row r="576" spans="1:23" x14ac:dyDescent="0.2">
      <c r="A576" s="131" t="s">
        <v>31</v>
      </c>
      <c r="B576" s="132" t="s">
        <v>106</v>
      </c>
      <c r="C576" s="133" t="s">
        <v>33</v>
      </c>
      <c r="D576" s="133" t="s">
        <v>34</v>
      </c>
      <c r="E576" s="133" t="s">
        <v>35</v>
      </c>
      <c r="F576" s="133" t="s">
        <v>36</v>
      </c>
      <c r="G576" s="133" t="s">
        <v>37</v>
      </c>
      <c r="H576" s="123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</row>
    <row r="577" spans="1:23" x14ac:dyDescent="0.2">
      <c r="A577" s="134">
        <v>0</v>
      </c>
      <c r="B577" s="135"/>
      <c r="C577" s="135"/>
      <c r="D577" s="135"/>
      <c r="E577" s="135"/>
      <c r="F577" s="135"/>
      <c r="G577" s="50">
        <f>C573</f>
        <v>21000</v>
      </c>
      <c r="H577" s="123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</row>
    <row r="578" spans="1:23" x14ac:dyDescent="0.2">
      <c r="A578" s="134">
        <v>1</v>
      </c>
      <c r="B578" s="136">
        <v>45712</v>
      </c>
      <c r="C578" s="135">
        <v>1400</v>
      </c>
      <c r="D578" s="50">
        <f t="shared" ref="D578:D591" si="56">C578/1.4</f>
        <v>1000.0000000000001</v>
      </c>
      <c r="E578" s="50">
        <f t="shared" ref="E578:E591" si="57">C578-D578</f>
        <v>399.99999999999989</v>
      </c>
      <c r="F578" s="50" t="s">
        <v>41</v>
      </c>
      <c r="G578" s="50">
        <f t="shared" ref="G578:G591" si="58">(G577-C578)</f>
        <v>19600</v>
      </c>
      <c r="H578" s="123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</row>
    <row r="579" spans="1:23" x14ac:dyDescent="0.2">
      <c r="A579" s="134">
        <v>2</v>
      </c>
      <c r="B579" s="136">
        <v>45719</v>
      </c>
      <c r="C579" s="135">
        <v>2100</v>
      </c>
      <c r="D579" s="50">
        <f t="shared" si="56"/>
        <v>1500</v>
      </c>
      <c r="E579" s="50">
        <f t="shared" si="57"/>
        <v>600</v>
      </c>
      <c r="F579" s="50" t="s">
        <v>41</v>
      </c>
      <c r="G579" s="50">
        <f t="shared" si="58"/>
        <v>17500</v>
      </c>
      <c r="H579" s="123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</row>
    <row r="580" spans="1:23" x14ac:dyDescent="0.2">
      <c r="A580" s="134">
        <v>3</v>
      </c>
      <c r="B580" s="136">
        <v>45726</v>
      </c>
      <c r="C580" s="135">
        <v>2450</v>
      </c>
      <c r="D580" s="50">
        <f t="shared" si="56"/>
        <v>1750</v>
      </c>
      <c r="E580" s="50">
        <f t="shared" si="57"/>
        <v>700</v>
      </c>
      <c r="F580" s="50" t="s">
        <v>41</v>
      </c>
      <c r="G580" s="50">
        <f t="shared" si="58"/>
        <v>15050</v>
      </c>
      <c r="H580" s="123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</row>
    <row r="581" spans="1:23" x14ac:dyDescent="0.2">
      <c r="A581" s="134">
        <v>4</v>
      </c>
      <c r="B581" s="136">
        <v>45733</v>
      </c>
      <c r="C581" s="135">
        <v>2100</v>
      </c>
      <c r="D581" s="50">
        <f t="shared" si="56"/>
        <v>1500</v>
      </c>
      <c r="E581" s="50">
        <f t="shared" si="57"/>
        <v>600</v>
      </c>
      <c r="F581" s="50" t="s">
        <v>41</v>
      </c>
      <c r="G581" s="50">
        <f t="shared" si="58"/>
        <v>12950</v>
      </c>
      <c r="H581" s="123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</row>
    <row r="582" spans="1:23" x14ac:dyDescent="0.2">
      <c r="A582" s="134">
        <v>5</v>
      </c>
      <c r="B582" s="137">
        <v>45740</v>
      </c>
      <c r="C582" s="135">
        <v>1750</v>
      </c>
      <c r="D582" s="50">
        <f t="shared" si="56"/>
        <v>1250</v>
      </c>
      <c r="E582" s="50">
        <f t="shared" si="57"/>
        <v>500</v>
      </c>
      <c r="F582" s="50" t="s">
        <v>41</v>
      </c>
      <c r="G582" s="50">
        <f t="shared" si="58"/>
        <v>11200</v>
      </c>
      <c r="H582" s="123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</row>
    <row r="583" spans="1:23" x14ac:dyDescent="0.2">
      <c r="A583" s="134">
        <v>6</v>
      </c>
      <c r="B583" s="137">
        <v>45747</v>
      </c>
      <c r="C583" s="135">
        <v>1050</v>
      </c>
      <c r="D583" s="50">
        <f t="shared" si="56"/>
        <v>750</v>
      </c>
      <c r="E583" s="50">
        <f t="shared" si="57"/>
        <v>300</v>
      </c>
      <c r="F583" s="50" t="s">
        <v>41</v>
      </c>
      <c r="G583" s="50">
        <f t="shared" si="58"/>
        <v>10150</v>
      </c>
      <c r="H583" s="123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</row>
    <row r="584" spans="1:23" x14ac:dyDescent="0.2">
      <c r="A584" s="134">
        <v>7</v>
      </c>
      <c r="B584" s="137">
        <v>45754</v>
      </c>
      <c r="C584" s="135">
        <v>1400</v>
      </c>
      <c r="D584" s="50">
        <f t="shared" si="56"/>
        <v>1000.0000000000001</v>
      </c>
      <c r="E584" s="50">
        <f t="shared" si="57"/>
        <v>399.99999999999989</v>
      </c>
      <c r="F584" s="50" t="s">
        <v>41</v>
      </c>
      <c r="G584" s="50">
        <f t="shared" si="58"/>
        <v>8750</v>
      </c>
      <c r="H584" s="123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</row>
    <row r="585" spans="1:23" x14ac:dyDescent="0.2">
      <c r="A585" s="134">
        <v>8</v>
      </c>
      <c r="B585" s="137">
        <v>45761</v>
      </c>
      <c r="C585" s="135">
        <v>1750</v>
      </c>
      <c r="D585" s="50">
        <f t="shared" si="56"/>
        <v>1250</v>
      </c>
      <c r="E585" s="50">
        <f t="shared" si="57"/>
        <v>500</v>
      </c>
      <c r="F585" s="50" t="s">
        <v>41</v>
      </c>
      <c r="G585" s="50">
        <f t="shared" si="58"/>
        <v>7000</v>
      </c>
      <c r="H585" s="123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</row>
    <row r="586" spans="1:23" x14ac:dyDescent="0.2">
      <c r="A586" s="134">
        <v>9</v>
      </c>
      <c r="B586" s="137">
        <v>45768</v>
      </c>
      <c r="C586" s="135">
        <v>1050</v>
      </c>
      <c r="D586" s="50">
        <f t="shared" si="56"/>
        <v>750</v>
      </c>
      <c r="E586" s="50">
        <f t="shared" si="57"/>
        <v>300</v>
      </c>
      <c r="F586" s="50" t="s">
        <v>41</v>
      </c>
      <c r="G586" s="50">
        <f t="shared" si="58"/>
        <v>5950</v>
      </c>
      <c r="H586" s="123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</row>
    <row r="587" spans="1:23" x14ac:dyDescent="0.2">
      <c r="A587" s="134">
        <v>10</v>
      </c>
      <c r="B587" s="137">
        <v>45775</v>
      </c>
      <c r="C587" s="135">
        <v>1500</v>
      </c>
      <c r="D587" s="50">
        <f t="shared" si="56"/>
        <v>1071.4285714285716</v>
      </c>
      <c r="E587" s="50">
        <f t="shared" si="57"/>
        <v>428.57142857142844</v>
      </c>
      <c r="F587" s="50" t="s">
        <v>41</v>
      </c>
      <c r="G587" s="50">
        <f t="shared" si="58"/>
        <v>4450</v>
      </c>
      <c r="H587" s="123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</row>
    <row r="588" spans="1:23" x14ac:dyDescent="0.2">
      <c r="A588" s="126">
        <v>11</v>
      </c>
      <c r="B588" s="137">
        <v>45782</v>
      </c>
      <c r="C588" s="135">
        <v>1050</v>
      </c>
      <c r="D588" s="50">
        <f t="shared" si="56"/>
        <v>750</v>
      </c>
      <c r="E588" s="50">
        <f t="shared" si="57"/>
        <v>300</v>
      </c>
      <c r="F588" s="50" t="s">
        <v>41</v>
      </c>
      <c r="G588" s="50">
        <f t="shared" si="58"/>
        <v>3400</v>
      </c>
      <c r="H588" s="123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</row>
    <row r="589" spans="1:23" x14ac:dyDescent="0.2">
      <c r="A589" s="126">
        <v>12</v>
      </c>
      <c r="B589" s="137">
        <v>45789</v>
      </c>
      <c r="C589" s="135">
        <v>1400</v>
      </c>
      <c r="D589" s="50">
        <f t="shared" si="56"/>
        <v>1000.0000000000001</v>
      </c>
      <c r="E589" s="50">
        <f t="shared" si="57"/>
        <v>399.99999999999989</v>
      </c>
      <c r="F589" s="50"/>
      <c r="G589" s="50">
        <f t="shared" si="58"/>
        <v>2000</v>
      </c>
      <c r="H589" s="123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</row>
    <row r="590" spans="1:23" x14ac:dyDescent="0.2">
      <c r="A590" s="126">
        <v>13</v>
      </c>
      <c r="B590" s="137">
        <v>45796</v>
      </c>
      <c r="C590" s="135"/>
      <c r="D590" s="50">
        <f t="shared" si="56"/>
        <v>0</v>
      </c>
      <c r="E590" s="50">
        <f t="shared" si="57"/>
        <v>0</v>
      </c>
      <c r="F590" s="50"/>
      <c r="G590" s="50">
        <f t="shared" si="58"/>
        <v>2000</v>
      </c>
      <c r="H590" s="123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</row>
    <row r="591" spans="1:23" x14ac:dyDescent="0.2">
      <c r="A591" s="126">
        <v>14</v>
      </c>
      <c r="B591" s="137">
        <v>45803</v>
      </c>
      <c r="C591" s="135"/>
      <c r="D591" s="50">
        <f t="shared" si="56"/>
        <v>0</v>
      </c>
      <c r="E591" s="50">
        <f t="shared" si="57"/>
        <v>0</v>
      </c>
      <c r="F591" s="50"/>
      <c r="G591" s="50">
        <f t="shared" si="58"/>
        <v>2000</v>
      </c>
      <c r="H591" s="123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</row>
    <row r="592" spans="1:23" x14ac:dyDescent="0.2">
      <c r="A592" s="138"/>
      <c r="B592" s="139"/>
      <c r="C592" s="140"/>
      <c r="D592" s="141">
        <f>SUMIFS(D578:D591, F578:F591, "Y")</f>
        <v>12571.428571428572</v>
      </c>
      <c r="E592" s="142">
        <f>SUMIFS(E578:E591, F578:F591, "Y")</f>
        <v>5028.5714285714284</v>
      </c>
      <c r="F592" s="143">
        <f>(SUMIFS(D578:D591, F578:F591, "Y") + SUMIFS(E578:E591, F578:F591, "Y"))</f>
        <v>17600</v>
      </c>
      <c r="G592" s="140"/>
      <c r="H592" s="144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</row>
    <row r="593" spans="1:23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</row>
    <row r="594" spans="1:23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</row>
    <row r="595" spans="1:23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</row>
    <row r="596" spans="1:23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</row>
    <row r="597" spans="1:23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</row>
    <row r="598" spans="1:23" x14ac:dyDescent="0.2">
      <c r="A598" s="256" t="s">
        <v>176</v>
      </c>
      <c r="B598" s="257"/>
      <c r="C598" s="119"/>
      <c r="D598" s="119"/>
      <c r="E598" s="119"/>
      <c r="F598" s="119"/>
      <c r="G598" s="119"/>
      <c r="H598" s="12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</row>
    <row r="599" spans="1:23" x14ac:dyDescent="0.2">
      <c r="A599" s="258" t="s">
        <v>7</v>
      </c>
      <c r="B599" s="259"/>
      <c r="C599" s="50">
        <v>50000</v>
      </c>
      <c r="D599" s="30"/>
      <c r="E599" s="30"/>
      <c r="F599" s="30"/>
      <c r="G599" s="30"/>
      <c r="H599" s="123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</row>
    <row r="600" spans="1:23" x14ac:dyDescent="0.2">
      <c r="A600" s="258" t="s">
        <v>8</v>
      </c>
      <c r="B600" s="259"/>
      <c r="C600" s="150">
        <v>45706</v>
      </c>
      <c r="D600" s="30"/>
      <c r="E600" s="49"/>
      <c r="F600" s="49"/>
      <c r="G600" s="49"/>
      <c r="H600" s="125" t="s">
        <v>10</v>
      </c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</row>
    <row r="601" spans="1:23" x14ac:dyDescent="0.2">
      <c r="A601" s="258" t="s">
        <v>103</v>
      </c>
      <c r="B601" s="259"/>
      <c r="C601" s="50">
        <v>10000</v>
      </c>
      <c r="D601" s="66"/>
      <c r="E601" s="260" t="s">
        <v>14</v>
      </c>
      <c r="F601" s="126" t="s">
        <v>15</v>
      </c>
      <c r="G601" s="50">
        <v>0</v>
      </c>
      <c r="H601" s="127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</row>
    <row r="602" spans="1:23" x14ac:dyDescent="0.2">
      <c r="A602" s="258" t="s">
        <v>17</v>
      </c>
      <c r="B602" s="259"/>
      <c r="C602" s="50">
        <v>2</v>
      </c>
      <c r="D602" s="66"/>
      <c r="E602" s="261"/>
      <c r="F602" s="126" t="s">
        <v>18</v>
      </c>
      <c r="G602" s="50">
        <v>50000</v>
      </c>
      <c r="H602" s="127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</row>
    <row r="603" spans="1:23" x14ac:dyDescent="0.2">
      <c r="A603" s="258" t="s">
        <v>20</v>
      </c>
      <c r="B603" s="259"/>
      <c r="C603" s="50">
        <f>C601*C602</f>
        <v>20000</v>
      </c>
      <c r="D603" s="30"/>
      <c r="E603" s="128"/>
      <c r="F603" s="30"/>
      <c r="G603" s="66"/>
      <c r="H603" s="123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</row>
    <row r="604" spans="1:23" x14ac:dyDescent="0.2">
      <c r="A604" s="258" t="s">
        <v>22</v>
      </c>
      <c r="B604" s="259"/>
      <c r="C604" s="121">
        <f>C599+C603</f>
        <v>70000</v>
      </c>
      <c r="D604" s="30"/>
      <c r="E604" s="30"/>
      <c r="F604" s="30"/>
      <c r="G604" s="30"/>
      <c r="H604" s="123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</row>
    <row r="605" spans="1:23" x14ac:dyDescent="0.2">
      <c r="A605" s="258" t="s">
        <v>24</v>
      </c>
      <c r="B605" s="259"/>
      <c r="C605" s="146">
        <v>1200</v>
      </c>
      <c r="D605" s="30" t="s">
        <v>174</v>
      </c>
      <c r="E605" s="30"/>
      <c r="F605" s="30"/>
      <c r="G605" s="30"/>
      <c r="H605" s="123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</row>
    <row r="606" spans="1:23" x14ac:dyDescent="0.2">
      <c r="A606" s="258" t="s">
        <v>28</v>
      </c>
      <c r="B606" s="259"/>
      <c r="C606" s="130" t="s">
        <v>29</v>
      </c>
      <c r="D606" s="30"/>
      <c r="E606" s="30"/>
      <c r="F606" s="30"/>
      <c r="G606" s="30"/>
      <c r="H606" s="123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</row>
    <row r="607" spans="1:23" x14ac:dyDescent="0.2">
      <c r="A607" s="131" t="s">
        <v>31</v>
      </c>
      <c r="B607" s="132" t="s">
        <v>106</v>
      </c>
      <c r="C607" s="133" t="s">
        <v>33</v>
      </c>
      <c r="D607" s="133" t="s">
        <v>34</v>
      </c>
      <c r="E607" s="133" t="s">
        <v>35</v>
      </c>
      <c r="F607" s="133" t="s">
        <v>36</v>
      </c>
      <c r="G607" s="133" t="s">
        <v>37</v>
      </c>
      <c r="H607" s="123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</row>
    <row r="608" spans="1:23" x14ac:dyDescent="0.2">
      <c r="A608" s="134">
        <v>0</v>
      </c>
      <c r="B608" s="135"/>
      <c r="C608" s="135"/>
      <c r="D608" s="135"/>
      <c r="E608" s="135"/>
      <c r="F608" s="135"/>
      <c r="G608" s="50">
        <f>C604</f>
        <v>70000</v>
      </c>
      <c r="H608" s="123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</row>
    <row r="609" spans="1:23" x14ac:dyDescent="0.2">
      <c r="A609" s="134">
        <v>1</v>
      </c>
      <c r="B609" s="136">
        <v>45712</v>
      </c>
      <c r="C609" s="135">
        <v>4800</v>
      </c>
      <c r="D609" s="50">
        <f t="shared" ref="D609:D624" si="59">C609/1.4</f>
        <v>3428.5714285714289</v>
      </c>
      <c r="E609" s="50">
        <f t="shared" ref="E609:E624" si="60">C609-D609</f>
        <v>1371.4285714285711</v>
      </c>
      <c r="F609" s="50" t="s">
        <v>41</v>
      </c>
      <c r="G609" s="50">
        <f t="shared" ref="G609:G624" si="61">(G608-C609)</f>
        <v>65200</v>
      </c>
      <c r="H609" s="123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</row>
    <row r="610" spans="1:23" x14ac:dyDescent="0.2">
      <c r="A610" s="134">
        <v>2</v>
      </c>
      <c r="B610" s="136">
        <v>45719</v>
      </c>
      <c r="C610" s="135">
        <v>6000</v>
      </c>
      <c r="D610" s="50">
        <f t="shared" si="59"/>
        <v>4285.7142857142862</v>
      </c>
      <c r="E610" s="50">
        <f t="shared" si="60"/>
        <v>1714.2857142857138</v>
      </c>
      <c r="F610" s="50" t="s">
        <v>41</v>
      </c>
      <c r="G610" s="50">
        <f t="shared" si="61"/>
        <v>59200</v>
      </c>
      <c r="H610" s="123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</row>
    <row r="611" spans="1:23" x14ac:dyDescent="0.2">
      <c r="A611" s="134">
        <v>3</v>
      </c>
      <c r="B611" s="136">
        <v>45726</v>
      </c>
      <c r="C611" s="135">
        <v>6000</v>
      </c>
      <c r="D611" s="50">
        <f t="shared" si="59"/>
        <v>4285.7142857142862</v>
      </c>
      <c r="E611" s="50">
        <f t="shared" si="60"/>
        <v>1714.2857142857138</v>
      </c>
      <c r="F611" s="50" t="s">
        <v>41</v>
      </c>
      <c r="G611" s="50">
        <f t="shared" si="61"/>
        <v>53200</v>
      </c>
      <c r="H611" s="123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</row>
    <row r="612" spans="1:23" x14ac:dyDescent="0.2">
      <c r="A612" s="134">
        <v>4</v>
      </c>
      <c r="B612" s="136">
        <v>45733</v>
      </c>
      <c r="C612" s="135">
        <v>6000</v>
      </c>
      <c r="D612" s="50">
        <f t="shared" si="59"/>
        <v>4285.7142857142862</v>
      </c>
      <c r="E612" s="50">
        <f t="shared" si="60"/>
        <v>1714.2857142857138</v>
      </c>
      <c r="F612" s="50" t="s">
        <v>41</v>
      </c>
      <c r="G612" s="50">
        <f t="shared" si="61"/>
        <v>47200</v>
      </c>
      <c r="H612" s="123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</row>
    <row r="613" spans="1:23" x14ac:dyDescent="0.2">
      <c r="A613" s="134">
        <v>5</v>
      </c>
      <c r="B613" s="137">
        <v>45740</v>
      </c>
      <c r="C613" s="135">
        <v>3600</v>
      </c>
      <c r="D613" s="50">
        <f t="shared" si="59"/>
        <v>2571.4285714285716</v>
      </c>
      <c r="E613" s="50">
        <f t="shared" si="60"/>
        <v>1028.5714285714284</v>
      </c>
      <c r="F613" s="50" t="s">
        <v>41</v>
      </c>
      <c r="G613" s="50">
        <f t="shared" si="61"/>
        <v>43600</v>
      </c>
      <c r="H613" s="123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</row>
    <row r="614" spans="1:23" x14ac:dyDescent="0.2">
      <c r="A614" s="134">
        <v>6</v>
      </c>
      <c r="B614" s="137">
        <v>45747</v>
      </c>
      <c r="C614" s="135">
        <v>3100</v>
      </c>
      <c r="D614" s="50">
        <f t="shared" si="59"/>
        <v>2214.2857142857142</v>
      </c>
      <c r="E614" s="50">
        <f t="shared" si="60"/>
        <v>885.71428571428578</v>
      </c>
      <c r="F614" s="50" t="s">
        <v>41</v>
      </c>
      <c r="G614" s="50">
        <f t="shared" si="61"/>
        <v>40500</v>
      </c>
      <c r="H614" s="123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</row>
    <row r="615" spans="1:23" x14ac:dyDescent="0.2">
      <c r="A615" s="134">
        <v>7</v>
      </c>
      <c r="B615" s="137">
        <v>45754</v>
      </c>
      <c r="C615" s="135">
        <v>2100</v>
      </c>
      <c r="D615" s="50">
        <f t="shared" si="59"/>
        <v>1500</v>
      </c>
      <c r="E615" s="50">
        <f t="shared" si="60"/>
        <v>600</v>
      </c>
      <c r="F615" s="50" t="s">
        <v>41</v>
      </c>
      <c r="G615" s="50">
        <f t="shared" si="61"/>
        <v>38400</v>
      </c>
      <c r="H615" s="123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</row>
    <row r="616" spans="1:23" x14ac:dyDescent="0.2">
      <c r="A616" s="134">
        <v>8</v>
      </c>
      <c r="B616" s="137">
        <v>45761</v>
      </c>
      <c r="C616" s="135">
        <v>1500</v>
      </c>
      <c r="D616" s="50">
        <f t="shared" si="59"/>
        <v>1071.4285714285716</v>
      </c>
      <c r="E616" s="50">
        <f t="shared" si="60"/>
        <v>428.57142857142844</v>
      </c>
      <c r="F616" s="50" t="s">
        <v>41</v>
      </c>
      <c r="G616" s="50">
        <f t="shared" si="61"/>
        <v>36900</v>
      </c>
      <c r="H616" s="123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</row>
    <row r="617" spans="1:23" x14ac:dyDescent="0.2">
      <c r="A617" s="134">
        <v>9</v>
      </c>
      <c r="B617" s="137">
        <v>45768</v>
      </c>
      <c r="C617" s="135">
        <v>500</v>
      </c>
      <c r="D617" s="50">
        <f t="shared" si="59"/>
        <v>357.14285714285717</v>
      </c>
      <c r="E617" s="50">
        <f t="shared" si="60"/>
        <v>142.85714285714283</v>
      </c>
      <c r="F617" s="50" t="s">
        <v>41</v>
      </c>
      <c r="G617" s="50">
        <f t="shared" si="61"/>
        <v>36400</v>
      </c>
      <c r="H617" s="123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</row>
    <row r="618" spans="1:23" x14ac:dyDescent="0.2">
      <c r="A618" s="134">
        <v>10</v>
      </c>
      <c r="B618" s="137">
        <v>45775</v>
      </c>
      <c r="C618" s="135">
        <v>1200</v>
      </c>
      <c r="D618" s="50">
        <f t="shared" si="59"/>
        <v>857.14285714285722</v>
      </c>
      <c r="E618" s="50">
        <f t="shared" si="60"/>
        <v>342.85714285714278</v>
      </c>
      <c r="F618" s="50" t="s">
        <v>41</v>
      </c>
      <c r="G618" s="50">
        <f t="shared" si="61"/>
        <v>35200</v>
      </c>
      <c r="H618" s="123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</row>
    <row r="619" spans="1:23" x14ac:dyDescent="0.2">
      <c r="A619" s="134">
        <v>11</v>
      </c>
      <c r="B619" s="137">
        <v>45782</v>
      </c>
      <c r="C619" s="135">
        <v>1000</v>
      </c>
      <c r="D619" s="50">
        <f t="shared" si="59"/>
        <v>714.28571428571433</v>
      </c>
      <c r="E619" s="50">
        <f t="shared" si="60"/>
        <v>285.71428571428567</v>
      </c>
      <c r="F619" s="50" t="s">
        <v>41</v>
      </c>
      <c r="G619" s="50">
        <f t="shared" si="61"/>
        <v>34200</v>
      </c>
      <c r="H619" s="123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</row>
    <row r="620" spans="1:23" x14ac:dyDescent="0.2">
      <c r="A620" s="134">
        <v>12</v>
      </c>
      <c r="B620" s="137">
        <v>45789</v>
      </c>
      <c r="C620" s="135">
        <v>1200</v>
      </c>
      <c r="D620" s="50">
        <f t="shared" si="59"/>
        <v>857.14285714285722</v>
      </c>
      <c r="E620" s="50">
        <f t="shared" si="60"/>
        <v>342.85714285714278</v>
      </c>
      <c r="F620" s="50"/>
      <c r="G620" s="50">
        <f t="shared" si="61"/>
        <v>33000</v>
      </c>
      <c r="H620" s="123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</row>
    <row r="621" spans="1:23" x14ac:dyDescent="0.2">
      <c r="A621" s="134">
        <v>13</v>
      </c>
      <c r="B621" s="137">
        <v>45796</v>
      </c>
      <c r="C621" s="135"/>
      <c r="D621" s="50">
        <f t="shared" si="59"/>
        <v>0</v>
      </c>
      <c r="E621" s="50">
        <f t="shared" si="60"/>
        <v>0</v>
      </c>
      <c r="F621" s="50"/>
      <c r="G621" s="50">
        <f t="shared" si="61"/>
        <v>33000</v>
      </c>
      <c r="H621" s="123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</row>
    <row r="622" spans="1:23" x14ac:dyDescent="0.2">
      <c r="A622" s="134">
        <v>14</v>
      </c>
      <c r="B622" s="137">
        <v>45803</v>
      </c>
      <c r="C622" s="135"/>
      <c r="D622" s="50">
        <f t="shared" si="59"/>
        <v>0</v>
      </c>
      <c r="E622" s="50">
        <f t="shared" si="60"/>
        <v>0</v>
      </c>
      <c r="F622" s="50"/>
      <c r="G622" s="50">
        <f t="shared" si="61"/>
        <v>33000</v>
      </c>
      <c r="H622" s="123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</row>
    <row r="623" spans="1:23" x14ac:dyDescent="0.2">
      <c r="A623" s="126">
        <v>15</v>
      </c>
      <c r="B623" s="137">
        <v>45810</v>
      </c>
      <c r="C623" s="135"/>
      <c r="D623" s="50">
        <f t="shared" si="59"/>
        <v>0</v>
      </c>
      <c r="E623" s="50">
        <f t="shared" si="60"/>
        <v>0</v>
      </c>
      <c r="F623" s="50"/>
      <c r="G623" s="50">
        <f t="shared" si="61"/>
        <v>33000</v>
      </c>
      <c r="H623" s="123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</row>
    <row r="624" spans="1:23" x14ac:dyDescent="0.2">
      <c r="A624" s="126">
        <v>16</v>
      </c>
      <c r="B624" s="137">
        <v>45817</v>
      </c>
      <c r="C624" s="135"/>
      <c r="D624" s="50">
        <f t="shared" si="59"/>
        <v>0</v>
      </c>
      <c r="E624" s="50">
        <f t="shared" si="60"/>
        <v>0</v>
      </c>
      <c r="F624" s="50"/>
      <c r="G624" s="50">
        <f t="shared" si="61"/>
        <v>33000</v>
      </c>
      <c r="H624" s="123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</row>
    <row r="625" spans="1:23" x14ac:dyDescent="0.2">
      <c r="A625" s="138"/>
      <c r="B625" s="139"/>
      <c r="C625" s="140"/>
      <c r="D625" s="141">
        <f>SUMIFS(D609:D624, F609:F624, "Y")</f>
        <v>25571.428571428576</v>
      </c>
      <c r="E625" s="142">
        <f>SUMIFS(E609:E624, F609:F624, "Y")</f>
        <v>10228.571428571428</v>
      </c>
      <c r="F625" s="143">
        <f>(SUMIFS(D609:D624, F609:F624, "Y") + SUMIFS(E609:E624, F609:F624, "Y"))</f>
        <v>35800</v>
      </c>
      <c r="G625" s="140"/>
      <c r="H625" s="144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</row>
    <row r="626" spans="1:23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</row>
    <row r="627" spans="1:23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</row>
    <row r="628" spans="1:23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</row>
    <row r="629" spans="1:23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</row>
    <row r="630" spans="1:23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</row>
    <row r="631" spans="1:23" x14ac:dyDescent="0.2">
      <c r="A631" s="256" t="s">
        <v>177</v>
      </c>
      <c r="B631" s="257"/>
      <c r="C631" s="119"/>
      <c r="D631" s="119"/>
      <c r="E631" s="119"/>
      <c r="F631" s="119"/>
      <c r="G631" s="119"/>
      <c r="H631" s="12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</row>
    <row r="632" spans="1:23" x14ac:dyDescent="0.2">
      <c r="A632" s="258" t="s">
        <v>7</v>
      </c>
      <c r="B632" s="259"/>
      <c r="C632" s="50">
        <v>100000</v>
      </c>
      <c r="D632" s="30"/>
      <c r="E632" s="30"/>
      <c r="F632" s="30"/>
      <c r="G632" s="30"/>
      <c r="H632" s="123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</row>
    <row r="633" spans="1:23" x14ac:dyDescent="0.2">
      <c r="A633" s="258" t="s">
        <v>8</v>
      </c>
      <c r="B633" s="259"/>
      <c r="C633" s="150">
        <v>45712</v>
      </c>
      <c r="D633" s="30"/>
      <c r="E633" s="49"/>
      <c r="F633" s="49"/>
      <c r="G633" s="49"/>
      <c r="H633" s="125" t="s">
        <v>10</v>
      </c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</row>
    <row r="634" spans="1:23" x14ac:dyDescent="0.2">
      <c r="A634" s="258" t="s">
        <v>152</v>
      </c>
      <c r="B634" s="259"/>
      <c r="C634" s="50">
        <v>15000</v>
      </c>
      <c r="D634" s="66"/>
      <c r="E634" s="260" t="s">
        <v>14</v>
      </c>
      <c r="F634" s="126" t="s">
        <v>15</v>
      </c>
      <c r="G634" s="50">
        <v>63700</v>
      </c>
      <c r="H634" s="127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</row>
    <row r="635" spans="1:23" x14ac:dyDescent="0.2">
      <c r="A635" s="258" t="s">
        <v>17</v>
      </c>
      <c r="B635" s="259"/>
      <c r="C635" s="50">
        <v>2</v>
      </c>
      <c r="D635" s="66"/>
      <c r="E635" s="261"/>
      <c r="F635" s="126" t="s">
        <v>18</v>
      </c>
      <c r="G635" s="50">
        <v>36300</v>
      </c>
      <c r="H635" s="127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</row>
    <row r="636" spans="1:23" x14ac:dyDescent="0.2">
      <c r="A636" s="258" t="s">
        <v>20</v>
      </c>
      <c r="B636" s="259"/>
      <c r="C636" s="50">
        <f>C634*C635</f>
        <v>30000</v>
      </c>
      <c r="D636" s="30"/>
      <c r="E636" s="128"/>
      <c r="F636" s="30"/>
      <c r="G636" s="66"/>
      <c r="H636" s="123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</row>
    <row r="637" spans="1:23" x14ac:dyDescent="0.2">
      <c r="A637" s="258" t="s">
        <v>22</v>
      </c>
      <c r="B637" s="259"/>
      <c r="C637" s="121">
        <f>C632+C636</f>
        <v>130000</v>
      </c>
      <c r="D637" s="30"/>
      <c r="E637" s="30"/>
      <c r="F637" s="30"/>
      <c r="G637" s="30"/>
      <c r="H637" s="123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</row>
    <row r="638" spans="1:23" x14ac:dyDescent="0.2">
      <c r="A638" s="258" t="s">
        <v>24</v>
      </c>
      <c r="B638" s="259"/>
      <c r="C638" s="146">
        <v>2200</v>
      </c>
      <c r="D638" s="30" t="s">
        <v>178</v>
      </c>
      <c r="E638" s="30"/>
      <c r="F638" s="30"/>
      <c r="G638" s="30"/>
      <c r="H638" s="123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</row>
    <row r="639" spans="1:23" x14ac:dyDescent="0.2">
      <c r="A639" s="258" t="s">
        <v>28</v>
      </c>
      <c r="B639" s="259"/>
      <c r="C639" s="130" t="s">
        <v>179</v>
      </c>
      <c r="D639" s="30"/>
      <c r="E639" s="30"/>
      <c r="F639" s="30"/>
      <c r="G639" s="30"/>
      <c r="H639" s="123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</row>
    <row r="640" spans="1:23" x14ac:dyDescent="0.2">
      <c r="A640" s="131" t="s">
        <v>31</v>
      </c>
      <c r="B640" s="132" t="s">
        <v>106</v>
      </c>
      <c r="C640" s="133" t="s">
        <v>33</v>
      </c>
      <c r="D640" s="133" t="s">
        <v>34</v>
      </c>
      <c r="E640" s="133" t="s">
        <v>35</v>
      </c>
      <c r="F640" s="133" t="s">
        <v>36</v>
      </c>
      <c r="G640" s="133" t="s">
        <v>37</v>
      </c>
      <c r="H640" s="123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</row>
    <row r="641" spans="1:23" x14ac:dyDescent="0.2">
      <c r="A641" s="134">
        <v>0</v>
      </c>
      <c r="B641" s="135"/>
      <c r="C641" s="135"/>
      <c r="D641" s="135"/>
      <c r="E641" s="135"/>
      <c r="F641" s="135"/>
      <c r="G641" s="50">
        <f>C637</f>
        <v>130000</v>
      </c>
      <c r="H641" s="123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</row>
    <row r="642" spans="1:23" x14ac:dyDescent="0.2">
      <c r="A642" s="134">
        <v>1</v>
      </c>
      <c r="B642" s="136">
        <v>45719</v>
      </c>
      <c r="C642" s="135">
        <v>8800</v>
      </c>
      <c r="D642" s="50">
        <f t="shared" ref="D642:D661" si="62">C642/1.4</f>
        <v>6285.7142857142862</v>
      </c>
      <c r="E642" s="50">
        <f t="shared" ref="E642:E661" si="63">C642-D642</f>
        <v>2514.2857142857138</v>
      </c>
      <c r="F642" s="50" t="s">
        <v>41</v>
      </c>
      <c r="G642" s="50">
        <f t="shared" ref="G642:G661" si="64">(G641-C642)</f>
        <v>121200</v>
      </c>
      <c r="H642" s="123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</row>
    <row r="643" spans="1:23" x14ac:dyDescent="0.2">
      <c r="A643" s="134">
        <v>2</v>
      </c>
      <c r="B643" s="136">
        <v>45726</v>
      </c>
      <c r="C643" s="135">
        <v>11000</v>
      </c>
      <c r="D643" s="50">
        <f t="shared" si="62"/>
        <v>7857.1428571428578</v>
      </c>
      <c r="E643" s="50">
        <f t="shared" si="63"/>
        <v>3142.8571428571422</v>
      </c>
      <c r="F643" s="50" t="s">
        <v>41</v>
      </c>
      <c r="G643" s="50">
        <f t="shared" si="64"/>
        <v>110200</v>
      </c>
      <c r="H643" s="123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</row>
    <row r="644" spans="1:23" x14ac:dyDescent="0.2">
      <c r="A644" s="134">
        <v>3</v>
      </c>
      <c r="B644" s="136">
        <v>45733</v>
      </c>
      <c r="C644" s="135">
        <v>8800</v>
      </c>
      <c r="D644" s="50">
        <f t="shared" si="62"/>
        <v>6285.7142857142862</v>
      </c>
      <c r="E644" s="50">
        <f t="shared" si="63"/>
        <v>2514.2857142857138</v>
      </c>
      <c r="F644" s="50" t="s">
        <v>41</v>
      </c>
      <c r="G644" s="50">
        <f t="shared" si="64"/>
        <v>101400</v>
      </c>
      <c r="H644" s="123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</row>
    <row r="645" spans="1:23" x14ac:dyDescent="0.2">
      <c r="A645" s="134">
        <v>4</v>
      </c>
      <c r="B645" s="137">
        <v>45740</v>
      </c>
      <c r="C645" s="135">
        <v>11000</v>
      </c>
      <c r="D645" s="50">
        <f t="shared" si="62"/>
        <v>7857.1428571428578</v>
      </c>
      <c r="E645" s="50">
        <f t="shared" si="63"/>
        <v>3142.8571428571422</v>
      </c>
      <c r="F645" s="50" t="s">
        <v>41</v>
      </c>
      <c r="G645" s="50">
        <f t="shared" si="64"/>
        <v>90400</v>
      </c>
      <c r="H645" s="123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</row>
    <row r="646" spans="1:23" x14ac:dyDescent="0.2">
      <c r="A646" s="134">
        <v>5</v>
      </c>
      <c r="B646" s="137">
        <v>45747</v>
      </c>
      <c r="C646" s="135">
        <v>4400</v>
      </c>
      <c r="D646" s="50">
        <f t="shared" si="62"/>
        <v>3142.8571428571431</v>
      </c>
      <c r="E646" s="50">
        <f t="shared" si="63"/>
        <v>1257.1428571428569</v>
      </c>
      <c r="F646" s="50" t="s">
        <v>41</v>
      </c>
      <c r="G646" s="50">
        <f t="shared" si="64"/>
        <v>86000</v>
      </c>
      <c r="H646" s="123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</row>
    <row r="647" spans="1:23" x14ac:dyDescent="0.2">
      <c r="A647" s="134">
        <v>6</v>
      </c>
      <c r="B647" s="137">
        <v>45754</v>
      </c>
      <c r="C647" s="135">
        <v>2000</v>
      </c>
      <c r="D647" s="50">
        <f t="shared" si="62"/>
        <v>1428.5714285714287</v>
      </c>
      <c r="E647" s="50">
        <f t="shared" si="63"/>
        <v>571.42857142857133</v>
      </c>
      <c r="F647" s="50" t="s">
        <v>41</v>
      </c>
      <c r="G647" s="50">
        <f t="shared" si="64"/>
        <v>84000</v>
      </c>
      <c r="H647" s="123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</row>
    <row r="648" spans="1:23" x14ac:dyDescent="0.2">
      <c r="A648" s="134">
        <v>7</v>
      </c>
      <c r="B648" s="137">
        <v>45761</v>
      </c>
      <c r="C648" s="135">
        <v>0</v>
      </c>
      <c r="D648" s="50">
        <f t="shared" si="62"/>
        <v>0</v>
      </c>
      <c r="E648" s="50">
        <f t="shared" si="63"/>
        <v>0</v>
      </c>
      <c r="F648" s="50" t="s">
        <v>168</v>
      </c>
      <c r="G648" s="50">
        <f t="shared" si="64"/>
        <v>84000</v>
      </c>
      <c r="H648" s="123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</row>
    <row r="649" spans="1:23" x14ac:dyDescent="0.2">
      <c r="A649" s="134">
        <v>8</v>
      </c>
      <c r="B649" s="137">
        <v>45768</v>
      </c>
      <c r="C649" s="135">
        <v>0</v>
      </c>
      <c r="D649" s="50">
        <f t="shared" si="62"/>
        <v>0</v>
      </c>
      <c r="E649" s="50">
        <f t="shared" si="63"/>
        <v>0</v>
      </c>
      <c r="F649" s="50" t="s">
        <v>168</v>
      </c>
      <c r="G649" s="50">
        <f t="shared" si="64"/>
        <v>84000</v>
      </c>
      <c r="H649" s="123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</row>
    <row r="650" spans="1:23" x14ac:dyDescent="0.2">
      <c r="A650" s="134">
        <v>9</v>
      </c>
      <c r="B650" s="137">
        <v>45775</v>
      </c>
      <c r="C650" s="135">
        <v>2000</v>
      </c>
      <c r="D650" s="50">
        <f t="shared" si="62"/>
        <v>1428.5714285714287</v>
      </c>
      <c r="E650" s="50">
        <f t="shared" si="63"/>
        <v>571.42857142857133</v>
      </c>
      <c r="F650" s="50" t="s">
        <v>41</v>
      </c>
      <c r="G650" s="50">
        <f t="shared" si="64"/>
        <v>82000</v>
      </c>
      <c r="H650" s="123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</row>
    <row r="651" spans="1:23" x14ac:dyDescent="0.2">
      <c r="A651" s="134">
        <v>10</v>
      </c>
      <c r="B651" s="137">
        <v>45782</v>
      </c>
      <c r="C651" s="135">
        <v>0</v>
      </c>
      <c r="D651" s="50">
        <f t="shared" si="62"/>
        <v>0</v>
      </c>
      <c r="E651" s="50">
        <f t="shared" si="63"/>
        <v>0</v>
      </c>
      <c r="F651" s="50" t="s">
        <v>168</v>
      </c>
      <c r="G651" s="50">
        <f t="shared" si="64"/>
        <v>82000</v>
      </c>
      <c r="H651" s="123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</row>
    <row r="652" spans="1:23" x14ac:dyDescent="0.2">
      <c r="A652" s="134">
        <v>11</v>
      </c>
      <c r="B652" s="137">
        <v>45789</v>
      </c>
      <c r="C652" s="135">
        <v>2000</v>
      </c>
      <c r="D652" s="50">
        <f t="shared" si="62"/>
        <v>1428.5714285714287</v>
      </c>
      <c r="E652" s="50">
        <f t="shared" si="63"/>
        <v>571.42857142857133</v>
      </c>
      <c r="F652" s="50"/>
      <c r="G652" s="50">
        <f t="shared" si="64"/>
        <v>80000</v>
      </c>
      <c r="H652" s="123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</row>
    <row r="653" spans="1:23" x14ac:dyDescent="0.2">
      <c r="A653" s="134">
        <v>12</v>
      </c>
      <c r="B653" s="137">
        <v>45796</v>
      </c>
      <c r="C653" s="135"/>
      <c r="D653" s="50">
        <f t="shared" si="62"/>
        <v>0</v>
      </c>
      <c r="E653" s="50">
        <f t="shared" si="63"/>
        <v>0</v>
      </c>
      <c r="F653" s="50"/>
      <c r="G653" s="50">
        <f t="shared" si="64"/>
        <v>80000</v>
      </c>
      <c r="H653" s="123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</row>
    <row r="654" spans="1:23" x14ac:dyDescent="0.2">
      <c r="A654" s="134">
        <v>13</v>
      </c>
      <c r="B654" s="137">
        <v>45803</v>
      </c>
      <c r="C654" s="135"/>
      <c r="D654" s="50">
        <f t="shared" si="62"/>
        <v>0</v>
      </c>
      <c r="E654" s="50">
        <f t="shared" si="63"/>
        <v>0</v>
      </c>
      <c r="F654" s="50"/>
      <c r="G654" s="50">
        <f t="shared" si="64"/>
        <v>80000</v>
      </c>
      <c r="H654" s="123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</row>
    <row r="655" spans="1:23" x14ac:dyDescent="0.2">
      <c r="A655" s="134">
        <v>14</v>
      </c>
      <c r="B655" s="137">
        <v>45810</v>
      </c>
      <c r="C655" s="135"/>
      <c r="D655" s="50">
        <f t="shared" si="62"/>
        <v>0</v>
      </c>
      <c r="E655" s="50">
        <f t="shared" si="63"/>
        <v>0</v>
      </c>
      <c r="F655" s="50"/>
      <c r="G655" s="50">
        <f t="shared" si="64"/>
        <v>80000</v>
      </c>
      <c r="H655" s="123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</row>
    <row r="656" spans="1:23" x14ac:dyDescent="0.2">
      <c r="A656" s="134">
        <v>15</v>
      </c>
      <c r="B656" s="137">
        <v>45817</v>
      </c>
      <c r="C656" s="135"/>
      <c r="D656" s="50">
        <f t="shared" si="62"/>
        <v>0</v>
      </c>
      <c r="E656" s="50">
        <f t="shared" si="63"/>
        <v>0</v>
      </c>
      <c r="F656" s="50"/>
      <c r="G656" s="50">
        <f t="shared" si="64"/>
        <v>80000</v>
      </c>
      <c r="H656" s="123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</row>
    <row r="657" spans="1:23" x14ac:dyDescent="0.2">
      <c r="A657" s="134">
        <v>16</v>
      </c>
      <c r="B657" s="137">
        <v>45824</v>
      </c>
      <c r="C657" s="135"/>
      <c r="D657" s="50">
        <f t="shared" si="62"/>
        <v>0</v>
      </c>
      <c r="E657" s="50">
        <f t="shared" si="63"/>
        <v>0</v>
      </c>
      <c r="F657" s="50"/>
      <c r="G657" s="50">
        <f t="shared" si="64"/>
        <v>80000</v>
      </c>
      <c r="H657" s="123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</row>
    <row r="658" spans="1:23" x14ac:dyDescent="0.2">
      <c r="A658" s="134">
        <v>17</v>
      </c>
      <c r="B658" s="137">
        <v>45831</v>
      </c>
      <c r="C658" s="135"/>
      <c r="D658" s="50">
        <f t="shared" si="62"/>
        <v>0</v>
      </c>
      <c r="E658" s="50">
        <f t="shared" si="63"/>
        <v>0</v>
      </c>
      <c r="F658" s="50"/>
      <c r="G658" s="50">
        <f t="shared" si="64"/>
        <v>80000</v>
      </c>
      <c r="H658" s="123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</row>
    <row r="659" spans="1:23" x14ac:dyDescent="0.2">
      <c r="A659" s="134">
        <v>18</v>
      </c>
      <c r="B659" s="137">
        <v>45838</v>
      </c>
      <c r="C659" s="135"/>
      <c r="D659" s="50">
        <f t="shared" si="62"/>
        <v>0</v>
      </c>
      <c r="E659" s="50">
        <f t="shared" si="63"/>
        <v>0</v>
      </c>
      <c r="F659" s="50"/>
      <c r="G659" s="50">
        <f t="shared" si="64"/>
        <v>80000</v>
      </c>
      <c r="H659" s="123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</row>
    <row r="660" spans="1:23" x14ac:dyDescent="0.2">
      <c r="A660" s="134">
        <v>19</v>
      </c>
      <c r="B660" s="137">
        <v>45845</v>
      </c>
      <c r="C660" s="135"/>
      <c r="D660" s="50">
        <f t="shared" si="62"/>
        <v>0</v>
      </c>
      <c r="E660" s="50">
        <f t="shared" si="63"/>
        <v>0</v>
      </c>
      <c r="F660" s="50"/>
      <c r="G660" s="50">
        <f t="shared" si="64"/>
        <v>80000</v>
      </c>
      <c r="H660" s="123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</row>
    <row r="661" spans="1:23" x14ac:dyDescent="0.2">
      <c r="A661" s="134">
        <v>20</v>
      </c>
      <c r="B661" s="137">
        <v>45852</v>
      </c>
      <c r="C661" s="135"/>
      <c r="D661" s="50">
        <f t="shared" si="62"/>
        <v>0</v>
      </c>
      <c r="E661" s="50">
        <f t="shared" si="63"/>
        <v>0</v>
      </c>
      <c r="F661" s="50"/>
      <c r="G661" s="50">
        <f t="shared" si="64"/>
        <v>80000</v>
      </c>
      <c r="H661" s="123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</row>
    <row r="662" spans="1:23" x14ac:dyDescent="0.2">
      <c r="A662" s="138"/>
      <c r="B662" s="139"/>
      <c r="C662" s="140"/>
      <c r="D662" s="141">
        <f>SUMIFS(D642:D661, F642:F661, "Y")</f>
        <v>34285.71428571429</v>
      </c>
      <c r="E662" s="142">
        <f>SUMIFS(E642:E661, F642:F661, "Y")</f>
        <v>13714.28571428571</v>
      </c>
      <c r="F662" s="143">
        <f>(SUMIFS(D642:D661, F642:F661, "Y") + SUMIFS(E642:E661, F642:F661, "Y"))</f>
        <v>48000</v>
      </c>
      <c r="G662" s="140"/>
      <c r="H662" s="144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</row>
    <row r="663" spans="1:23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</row>
    <row r="664" spans="1:23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</row>
    <row r="665" spans="1:23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</row>
    <row r="666" spans="1:23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</row>
    <row r="667" spans="1:23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</row>
    <row r="668" spans="1:23" x14ac:dyDescent="0.2">
      <c r="A668" s="256" t="s">
        <v>180</v>
      </c>
      <c r="B668" s="257"/>
      <c r="C668" s="119"/>
      <c r="D668" s="119"/>
      <c r="E668" s="119"/>
      <c r="F668" s="119"/>
      <c r="G668" s="119"/>
      <c r="H668" s="12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</row>
    <row r="669" spans="1:23" x14ac:dyDescent="0.2">
      <c r="A669" s="258" t="s">
        <v>7</v>
      </c>
      <c r="B669" s="259"/>
      <c r="C669" s="50">
        <v>100000</v>
      </c>
      <c r="D669" s="30"/>
      <c r="E669" s="30"/>
      <c r="F669" s="30"/>
      <c r="G669" s="30"/>
      <c r="H669" s="123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</row>
    <row r="670" spans="1:23" x14ac:dyDescent="0.2">
      <c r="A670" s="258" t="s">
        <v>8</v>
      </c>
      <c r="B670" s="259"/>
      <c r="C670" s="150">
        <v>45712</v>
      </c>
      <c r="D670" s="30"/>
      <c r="E670" s="49"/>
      <c r="F670" s="49"/>
      <c r="G670" s="49"/>
      <c r="H670" s="125" t="s">
        <v>10</v>
      </c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</row>
    <row r="671" spans="1:23" x14ac:dyDescent="0.2">
      <c r="A671" s="258" t="s">
        <v>152</v>
      </c>
      <c r="B671" s="259"/>
      <c r="C671" s="50">
        <v>15000</v>
      </c>
      <c r="D671" s="66"/>
      <c r="E671" s="260" t="s">
        <v>14</v>
      </c>
      <c r="F671" s="126" t="s">
        <v>15</v>
      </c>
      <c r="G671" s="50">
        <v>0</v>
      </c>
      <c r="H671" s="127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</row>
    <row r="672" spans="1:23" x14ac:dyDescent="0.2">
      <c r="A672" s="258" t="s">
        <v>17</v>
      </c>
      <c r="B672" s="259"/>
      <c r="C672" s="50">
        <v>2</v>
      </c>
      <c r="D672" s="66"/>
      <c r="E672" s="261"/>
      <c r="F672" s="126" t="s">
        <v>18</v>
      </c>
      <c r="G672" s="50">
        <v>100000</v>
      </c>
      <c r="H672" s="127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</row>
    <row r="673" spans="1:23" x14ac:dyDescent="0.2">
      <c r="A673" s="258" t="s">
        <v>20</v>
      </c>
      <c r="B673" s="259"/>
      <c r="C673" s="50">
        <f>C671*C672</f>
        <v>30000</v>
      </c>
      <c r="D673" s="30"/>
      <c r="E673" s="128"/>
      <c r="F673" s="30"/>
      <c r="G673" s="66"/>
      <c r="H673" s="123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</row>
    <row r="674" spans="1:23" x14ac:dyDescent="0.2">
      <c r="A674" s="258" t="s">
        <v>22</v>
      </c>
      <c r="B674" s="259"/>
      <c r="C674" s="121">
        <f>C669+C673</f>
        <v>130000</v>
      </c>
      <c r="D674" s="30"/>
      <c r="E674" s="30"/>
      <c r="F674" s="30"/>
      <c r="G674" s="30"/>
      <c r="H674" s="123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</row>
    <row r="675" spans="1:23" x14ac:dyDescent="0.2">
      <c r="A675" s="258" t="s">
        <v>24</v>
      </c>
      <c r="B675" s="259"/>
      <c r="C675" s="146">
        <v>2200</v>
      </c>
      <c r="D675" s="30" t="s">
        <v>178</v>
      </c>
      <c r="E675" s="30"/>
      <c r="F675" s="30"/>
      <c r="G675" s="30"/>
      <c r="H675" s="123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</row>
    <row r="676" spans="1:23" x14ac:dyDescent="0.2">
      <c r="A676" s="258" t="s">
        <v>28</v>
      </c>
      <c r="B676" s="259"/>
      <c r="C676" s="130" t="s">
        <v>179</v>
      </c>
      <c r="D676" s="30"/>
      <c r="E676" s="30"/>
      <c r="F676" s="30"/>
      <c r="G676" s="30"/>
      <c r="H676" s="123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</row>
    <row r="677" spans="1:23" x14ac:dyDescent="0.2">
      <c r="A677" s="131" t="s">
        <v>31</v>
      </c>
      <c r="B677" s="132" t="s">
        <v>106</v>
      </c>
      <c r="C677" s="133" t="s">
        <v>33</v>
      </c>
      <c r="D677" s="133" t="s">
        <v>34</v>
      </c>
      <c r="E677" s="133" t="s">
        <v>35</v>
      </c>
      <c r="F677" s="133" t="s">
        <v>36</v>
      </c>
      <c r="G677" s="133" t="s">
        <v>37</v>
      </c>
      <c r="H677" s="123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</row>
    <row r="678" spans="1:23" x14ac:dyDescent="0.2">
      <c r="A678" s="134">
        <v>0</v>
      </c>
      <c r="B678" s="135"/>
      <c r="C678" s="135"/>
      <c r="D678" s="135"/>
      <c r="E678" s="135"/>
      <c r="F678" s="135"/>
      <c r="G678" s="50">
        <f>C674</f>
        <v>130000</v>
      </c>
      <c r="H678" s="123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</row>
    <row r="679" spans="1:23" x14ac:dyDescent="0.2">
      <c r="A679" s="134">
        <v>1</v>
      </c>
      <c r="B679" s="136">
        <v>45719</v>
      </c>
      <c r="C679" s="135">
        <v>11000</v>
      </c>
      <c r="D679" s="50">
        <f t="shared" ref="D679:D690" si="65">C679/1.4</f>
        <v>7857.1428571428578</v>
      </c>
      <c r="E679" s="50">
        <f t="shared" ref="E679:E690" si="66">C679-D679</f>
        <v>3142.8571428571422</v>
      </c>
      <c r="F679" s="50" t="s">
        <v>41</v>
      </c>
      <c r="G679" s="50">
        <f t="shared" ref="G679:G690" si="67">(G678-C679)</f>
        <v>119000</v>
      </c>
      <c r="H679" s="123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</row>
    <row r="680" spans="1:23" x14ac:dyDescent="0.2">
      <c r="A680" s="134">
        <v>2</v>
      </c>
      <c r="B680" s="136">
        <v>45726</v>
      </c>
      <c r="C680" s="135">
        <v>15400</v>
      </c>
      <c r="D680" s="50">
        <f t="shared" si="65"/>
        <v>11000</v>
      </c>
      <c r="E680" s="50">
        <f t="shared" si="66"/>
        <v>4400</v>
      </c>
      <c r="F680" s="50" t="s">
        <v>41</v>
      </c>
      <c r="G680" s="50">
        <f t="shared" si="67"/>
        <v>103600</v>
      </c>
      <c r="H680" s="123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</row>
    <row r="681" spans="1:23" x14ac:dyDescent="0.2">
      <c r="A681" s="134">
        <v>3</v>
      </c>
      <c r="B681" s="136">
        <v>45733</v>
      </c>
      <c r="C681" s="135">
        <v>13200</v>
      </c>
      <c r="D681" s="50">
        <f t="shared" si="65"/>
        <v>9428.5714285714294</v>
      </c>
      <c r="E681" s="50">
        <f t="shared" si="66"/>
        <v>3771.4285714285706</v>
      </c>
      <c r="F681" s="50" t="s">
        <v>41</v>
      </c>
      <c r="G681" s="50">
        <f t="shared" si="67"/>
        <v>90400</v>
      </c>
      <c r="H681" s="123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</row>
    <row r="682" spans="1:23" x14ac:dyDescent="0.2">
      <c r="A682" s="134">
        <v>4</v>
      </c>
      <c r="B682" s="137">
        <v>45740</v>
      </c>
      <c r="C682" s="135">
        <v>11000</v>
      </c>
      <c r="D682" s="50">
        <f t="shared" si="65"/>
        <v>7857.1428571428578</v>
      </c>
      <c r="E682" s="50">
        <f t="shared" si="66"/>
        <v>3142.8571428571422</v>
      </c>
      <c r="F682" s="50" t="s">
        <v>41</v>
      </c>
      <c r="G682" s="50">
        <f t="shared" si="67"/>
        <v>79400</v>
      </c>
      <c r="H682" s="123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</row>
    <row r="683" spans="1:23" x14ac:dyDescent="0.2">
      <c r="A683" s="134">
        <v>5</v>
      </c>
      <c r="B683" s="137">
        <v>45747</v>
      </c>
      <c r="C683" s="135">
        <v>11000</v>
      </c>
      <c r="D683" s="50">
        <f t="shared" si="65"/>
        <v>7857.1428571428578</v>
      </c>
      <c r="E683" s="50">
        <f t="shared" si="66"/>
        <v>3142.8571428571422</v>
      </c>
      <c r="F683" s="50" t="s">
        <v>41</v>
      </c>
      <c r="G683" s="50">
        <f t="shared" si="67"/>
        <v>68400</v>
      </c>
      <c r="H683" s="123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</row>
    <row r="684" spans="1:23" x14ac:dyDescent="0.2">
      <c r="A684" s="134">
        <v>6</v>
      </c>
      <c r="B684" s="137">
        <v>45754</v>
      </c>
      <c r="C684" s="135">
        <v>11000</v>
      </c>
      <c r="D684" s="50">
        <f t="shared" si="65"/>
        <v>7857.1428571428578</v>
      </c>
      <c r="E684" s="50">
        <f t="shared" si="66"/>
        <v>3142.8571428571422</v>
      </c>
      <c r="F684" s="50" t="s">
        <v>41</v>
      </c>
      <c r="G684" s="50">
        <f t="shared" si="67"/>
        <v>57400</v>
      </c>
      <c r="H684" s="123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</row>
    <row r="685" spans="1:23" x14ac:dyDescent="0.2">
      <c r="A685" s="134">
        <v>7</v>
      </c>
      <c r="B685" s="137">
        <v>45761</v>
      </c>
      <c r="C685" s="135">
        <v>8800</v>
      </c>
      <c r="D685" s="50">
        <f t="shared" si="65"/>
        <v>6285.7142857142862</v>
      </c>
      <c r="E685" s="50">
        <f t="shared" si="66"/>
        <v>2514.2857142857138</v>
      </c>
      <c r="F685" s="50" t="s">
        <v>41</v>
      </c>
      <c r="G685" s="50">
        <f t="shared" si="67"/>
        <v>48600</v>
      </c>
      <c r="H685" s="123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</row>
    <row r="686" spans="1:23" x14ac:dyDescent="0.2">
      <c r="A686" s="134">
        <v>8</v>
      </c>
      <c r="B686" s="137">
        <v>45768</v>
      </c>
      <c r="C686" s="135">
        <v>4400</v>
      </c>
      <c r="D686" s="50">
        <f t="shared" si="65"/>
        <v>3142.8571428571431</v>
      </c>
      <c r="E686" s="50">
        <f t="shared" si="66"/>
        <v>1257.1428571428569</v>
      </c>
      <c r="F686" s="50" t="s">
        <v>41</v>
      </c>
      <c r="G686" s="50">
        <f t="shared" si="67"/>
        <v>44200</v>
      </c>
      <c r="H686" s="123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</row>
    <row r="687" spans="1:23" x14ac:dyDescent="0.2">
      <c r="A687" s="134">
        <v>9</v>
      </c>
      <c r="B687" s="137">
        <v>45775</v>
      </c>
      <c r="C687" s="135">
        <v>2200</v>
      </c>
      <c r="D687" s="50">
        <f t="shared" si="65"/>
        <v>1571.4285714285716</v>
      </c>
      <c r="E687" s="50">
        <f t="shared" si="66"/>
        <v>628.57142857142844</v>
      </c>
      <c r="F687" s="50" t="s">
        <v>41</v>
      </c>
      <c r="G687" s="50">
        <f t="shared" si="67"/>
        <v>42000</v>
      </c>
      <c r="H687" s="123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</row>
    <row r="688" spans="1:23" x14ac:dyDescent="0.2">
      <c r="A688" s="134">
        <v>10</v>
      </c>
      <c r="B688" s="137">
        <v>45782</v>
      </c>
      <c r="C688" s="135">
        <v>3200</v>
      </c>
      <c r="D688" s="50">
        <f t="shared" si="65"/>
        <v>2285.7142857142858</v>
      </c>
      <c r="E688" s="50">
        <f t="shared" si="66"/>
        <v>914.28571428571422</v>
      </c>
      <c r="F688" s="50" t="s">
        <v>41</v>
      </c>
      <c r="G688" s="50">
        <f t="shared" si="67"/>
        <v>38800</v>
      </c>
      <c r="H688" s="123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</row>
    <row r="689" spans="1:23" x14ac:dyDescent="0.2">
      <c r="A689" s="134">
        <v>11</v>
      </c>
      <c r="B689" s="137">
        <v>45789</v>
      </c>
      <c r="C689" s="135">
        <v>4400</v>
      </c>
      <c r="D689" s="50">
        <f t="shared" si="65"/>
        <v>3142.8571428571431</v>
      </c>
      <c r="E689" s="50">
        <f t="shared" si="66"/>
        <v>1257.1428571428569</v>
      </c>
      <c r="F689" s="50"/>
      <c r="G689" s="50">
        <f t="shared" si="67"/>
        <v>34400</v>
      </c>
      <c r="H689" s="123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</row>
    <row r="690" spans="1:23" x14ac:dyDescent="0.2">
      <c r="A690" s="134">
        <v>12</v>
      </c>
      <c r="B690" s="137">
        <v>45796</v>
      </c>
      <c r="C690" s="135"/>
      <c r="D690" s="50">
        <f t="shared" si="65"/>
        <v>0</v>
      </c>
      <c r="E690" s="50">
        <f t="shared" si="66"/>
        <v>0</v>
      </c>
      <c r="F690" s="50"/>
      <c r="G690" s="50">
        <f t="shared" si="67"/>
        <v>34400</v>
      </c>
      <c r="H690" s="123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</row>
    <row r="691" spans="1:23" x14ac:dyDescent="0.2">
      <c r="A691" s="138"/>
      <c r="B691" s="139"/>
      <c r="C691" s="140"/>
      <c r="D691" s="141">
        <f>SUMIFS(D679:D690, F679:F690, "Y")</f>
        <v>65142.857142857145</v>
      </c>
      <c r="E691" s="142">
        <f>SUMIFS(E679:E690, F679:F690, "Y")</f>
        <v>26057.142857142851</v>
      </c>
      <c r="F691" s="143">
        <f>(SUMIFS(D679:D690, F679:F690, "Y") + SUMIFS(E679:E690, F679:F690, "Y"))</f>
        <v>91200</v>
      </c>
      <c r="G691" s="140"/>
      <c r="H691" s="144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</row>
    <row r="692" spans="1:23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</row>
    <row r="693" spans="1:23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</row>
    <row r="694" spans="1:23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</row>
    <row r="695" spans="1:23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</row>
    <row r="696" spans="1:23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</row>
    <row r="697" spans="1:23" x14ac:dyDescent="0.2">
      <c r="A697" s="256" t="s">
        <v>181</v>
      </c>
      <c r="B697" s="257"/>
      <c r="C697" s="119"/>
      <c r="D697" s="119"/>
      <c r="E697" s="119"/>
      <c r="F697" s="119"/>
      <c r="G697" s="119"/>
      <c r="H697" s="12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</row>
    <row r="698" spans="1:23" x14ac:dyDescent="0.2">
      <c r="A698" s="258" t="s">
        <v>7</v>
      </c>
      <c r="B698" s="259"/>
      <c r="C698" s="50">
        <v>10000</v>
      </c>
      <c r="D698" s="30"/>
      <c r="E698" s="30"/>
      <c r="F698" s="30"/>
      <c r="G698" s="30"/>
      <c r="H698" s="123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</row>
    <row r="699" spans="1:23" x14ac:dyDescent="0.2">
      <c r="A699" s="258" t="s">
        <v>8</v>
      </c>
      <c r="B699" s="259"/>
      <c r="C699" s="150">
        <v>45713</v>
      </c>
      <c r="D699" s="30"/>
      <c r="E699" s="49"/>
      <c r="F699" s="49"/>
      <c r="G699" s="49"/>
      <c r="H699" s="125" t="s">
        <v>10</v>
      </c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</row>
    <row r="700" spans="1:23" x14ac:dyDescent="0.2">
      <c r="A700" s="258" t="s">
        <v>103</v>
      </c>
      <c r="B700" s="259"/>
      <c r="C700" s="50">
        <v>2000</v>
      </c>
      <c r="D700" s="66"/>
      <c r="E700" s="260" t="s">
        <v>14</v>
      </c>
      <c r="F700" s="126" t="s">
        <v>15</v>
      </c>
      <c r="G700" s="50">
        <v>10000</v>
      </c>
      <c r="H700" s="127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</row>
    <row r="701" spans="1:23" x14ac:dyDescent="0.2">
      <c r="A701" s="258" t="s">
        <v>17</v>
      </c>
      <c r="B701" s="259"/>
      <c r="C701" s="50">
        <v>2</v>
      </c>
      <c r="D701" s="66"/>
      <c r="E701" s="261"/>
      <c r="F701" s="126" t="s">
        <v>18</v>
      </c>
      <c r="G701" s="50">
        <v>0</v>
      </c>
      <c r="H701" s="127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</row>
    <row r="702" spans="1:23" x14ac:dyDescent="0.2">
      <c r="A702" s="258" t="s">
        <v>20</v>
      </c>
      <c r="B702" s="259"/>
      <c r="C702" s="50">
        <f>C700*C701</f>
        <v>4000</v>
      </c>
      <c r="D702" s="30"/>
      <c r="E702" s="128"/>
      <c r="F702" s="30"/>
      <c r="G702" s="66"/>
      <c r="H702" s="123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</row>
    <row r="703" spans="1:23" x14ac:dyDescent="0.2">
      <c r="A703" s="258" t="s">
        <v>22</v>
      </c>
      <c r="B703" s="259"/>
      <c r="C703" s="121">
        <f>C698+C702</f>
        <v>14000</v>
      </c>
      <c r="D703" s="30"/>
      <c r="E703" s="30"/>
      <c r="F703" s="30"/>
      <c r="G703" s="30"/>
      <c r="H703" s="123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</row>
    <row r="704" spans="1:23" x14ac:dyDescent="0.2">
      <c r="A704" s="258" t="s">
        <v>24</v>
      </c>
      <c r="B704" s="259"/>
      <c r="C704" s="146">
        <v>250</v>
      </c>
      <c r="D704" s="30" t="s">
        <v>178</v>
      </c>
      <c r="E704" s="30"/>
      <c r="F704" s="30"/>
      <c r="G704" s="30"/>
      <c r="H704" s="123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</row>
    <row r="705" spans="1:23" x14ac:dyDescent="0.2">
      <c r="A705" s="258" t="s">
        <v>28</v>
      </c>
      <c r="B705" s="259"/>
      <c r="C705" s="130" t="s">
        <v>29</v>
      </c>
      <c r="D705" s="30"/>
      <c r="E705" s="30"/>
      <c r="F705" s="30"/>
      <c r="G705" s="30"/>
      <c r="H705" s="123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</row>
    <row r="706" spans="1:23" x14ac:dyDescent="0.2">
      <c r="A706" s="131" t="s">
        <v>31</v>
      </c>
      <c r="B706" s="132" t="s">
        <v>106</v>
      </c>
      <c r="C706" s="133" t="s">
        <v>33</v>
      </c>
      <c r="D706" s="133" t="s">
        <v>34</v>
      </c>
      <c r="E706" s="133" t="s">
        <v>35</v>
      </c>
      <c r="F706" s="133" t="s">
        <v>36</v>
      </c>
      <c r="G706" s="133" t="s">
        <v>37</v>
      </c>
      <c r="H706" s="123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</row>
    <row r="707" spans="1:23" x14ac:dyDescent="0.2">
      <c r="A707" s="134">
        <v>0</v>
      </c>
      <c r="B707" s="135"/>
      <c r="C707" s="135"/>
      <c r="D707" s="135"/>
      <c r="E707" s="135"/>
      <c r="F707" s="135"/>
      <c r="G707" s="50">
        <f>C703</f>
        <v>14000</v>
      </c>
      <c r="H707" s="123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</row>
    <row r="708" spans="1:23" x14ac:dyDescent="0.2">
      <c r="A708" s="134">
        <v>1</v>
      </c>
      <c r="B708" s="136">
        <v>45719</v>
      </c>
      <c r="C708" s="135">
        <v>1000</v>
      </c>
      <c r="D708" s="50">
        <f t="shared" ref="D708:D719" si="68">C708/1.4</f>
        <v>714.28571428571433</v>
      </c>
      <c r="E708" s="50">
        <f t="shared" ref="E708:E719" si="69">C708-D708</f>
        <v>285.71428571428567</v>
      </c>
      <c r="F708" s="50" t="s">
        <v>41</v>
      </c>
      <c r="G708" s="50">
        <f t="shared" ref="G708:G719" si="70">(G707-C708)</f>
        <v>13000</v>
      </c>
      <c r="H708" s="123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</row>
    <row r="709" spans="1:23" x14ac:dyDescent="0.2">
      <c r="A709" s="134">
        <v>2</v>
      </c>
      <c r="B709" s="136">
        <v>45726</v>
      </c>
      <c r="C709" s="135">
        <v>1750</v>
      </c>
      <c r="D709" s="50">
        <f t="shared" si="68"/>
        <v>1250</v>
      </c>
      <c r="E709" s="50">
        <f t="shared" si="69"/>
        <v>500</v>
      </c>
      <c r="F709" s="50" t="s">
        <v>41</v>
      </c>
      <c r="G709" s="50">
        <f t="shared" si="70"/>
        <v>11250</v>
      </c>
      <c r="H709" s="123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</row>
    <row r="710" spans="1:23" x14ac:dyDescent="0.2">
      <c r="A710" s="134">
        <v>3</v>
      </c>
      <c r="B710" s="136">
        <v>45733</v>
      </c>
      <c r="C710" s="135">
        <v>1500</v>
      </c>
      <c r="D710" s="50">
        <f t="shared" si="68"/>
        <v>1071.4285714285716</v>
      </c>
      <c r="E710" s="50">
        <f t="shared" si="69"/>
        <v>428.57142857142844</v>
      </c>
      <c r="F710" s="50" t="s">
        <v>41</v>
      </c>
      <c r="G710" s="50">
        <f t="shared" si="70"/>
        <v>9750</v>
      </c>
      <c r="H710" s="123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</row>
    <row r="711" spans="1:23" x14ac:dyDescent="0.2">
      <c r="A711" s="134">
        <v>4</v>
      </c>
      <c r="B711" s="137">
        <v>45740</v>
      </c>
      <c r="C711" s="135">
        <v>1250</v>
      </c>
      <c r="D711" s="50">
        <f t="shared" si="68"/>
        <v>892.85714285714289</v>
      </c>
      <c r="E711" s="50">
        <f t="shared" si="69"/>
        <v>357.14285714285711</v>
      </c>
      <c r="F711" s="50" t="s">
        <v>41</v>
      </c>
      <c r="G711" s="50">
        <f t="shared" si="70"/>
        <v>8500</v>
      </c>
      <c r="H711" s="123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</row>
    <row r="712" spans="1:23" x14ac:dyDescent="0.2">
      <c r="A712" s="134">
        <v>5</v>
      </c>
      <c r="B712" s="137">
        <v>45747</v>
      </c>
      <c r="C712" s="135">
        <v>1250</v>
      </c>
      <c r="D712" s="50">
        <f t="shared" si="68"/>
        <v>892.85714285714289</v>
      </c>
      <c r="E712" s="50">
        <f t="shared" si="69"/>
        <v>357.14285714285711</v>
      </c>
      <c r="F712" s="50" t="s">
        <v>41</v>
      </c>
      <c r="G712" s="50">
        <f t="shared" si="70"/>
        <v>7250</v>
      </c>
      <c r="H712" s="123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</row>
    <row r="713" spans="1:23" x14ac:dyDescent="0.2">
      <c r="A713" s="134">
        <v>6</v>
      </c>
      <c r="B713" s="137">
        <v>45754</v>
      </c>
      <c r="C713" s="135">
        <v>1250</v>
      </c>
      <c r="D713" s="50">
        <f t="shared" si="68"/>
        <v>892.85714285714289</v>
      </c>
      <c r="E713" s="50">
        <f t="shared" si="69"/>
        <v>357.14285714285711</v>
      </c>
      <c r="F713" s="50" t="s">
        <v>41</v>
      </c>
      <c r="G713" s="50">
        <f t="shared" si="70"/>
        <v>6000</v>
      </c>
      <c r="H713" s="123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</row>
    <row r="714" spans="1:23" x14ac:dyDescent="0.2">
      <c r="A714" s="134">
        <v>7</v>
      </c>
      <c r="B714" s="137">
        <v>45761</v>
      </c>
      <c r="C714" s="135">
        <v>1000</v>
      </c>
      <c r="D714" s="50">
        <f t="shared" si="68"/>
        <v>714.28571428571433</v>
      </c>
      <c r="E714" s="50">
        <f t="shared" si="69"/>
        <v>285.71428571428567</v>
      </c>
      <c r="F714" s="50" t="s">
        <v>41</v>
      </c>
      <c r="G714" s="50">
        <f t="shared" si="70"/>
        <v>5000</v>
      </c>
      <c r="H714" s="123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</row>
    <row r="715" spans="1:23" x14ac:dyDescent="0.2">
      <c r="A715" s="134">
        <v>8</v>
      </c>
      <c r="B715" s="137">
        <v>45768</v>
      </c>
      <c r="C715" s="135">
        <v>500</v>
      </c>
      <c r="D715" s="50">
        <f t="shared" si="68"/>
        <v>357.14285714285717</v>
      </c>
      <c r="E715" s="50">
        <f t="shared" si="69"/>
        <v>142.85714285714283</v>
      </c>
      <c r="F715" s="50" t="s">
        <v>41</v>
      </c>
      <c r="G715" s="50">
        <f t="shared" si="70"/>
        <v>4500</v>
      </c>
      <c r="H715" s="123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</row>
    <row r="716" spans="1:23" x14ac:dyDescent="0.2">
      <c r="A716" s="134">
        <v>9</v>
      </c>
      <c r="B716" s="137">
        <v>45775</v>
      </c>
      <c r="C716" s="135">
        <v>1000</v>
      </c>
      <c r="D716" s="50">
        <f t="shared" si="68"/>
        <v>714.28571428571433</v>
      </c>
      <c r="E716" s="50">
        <f t="shared" si="69"/>
        <v>285.71428571428567</v>
      </c>
      <c r="F716" s="50" t="s">
        <v>41</v>
      </c>
      <c r="G716" s="50">
        <f t="shared" si="70"/>
        <v>3500</v>
      </c>
      <c r="H716" s="123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</row>
    <row r="717" spans="1:23" x14ac:dyDescent="0.2">
      <c r="A717" s="134">
        <v>10</v>
      </c>
      <c r="B717" s="137">
        <v>45782</v>
      </c>
      <c r="C717" s="135">
        <v>1000</v>
      </c>
      <c r="D717" s="50">
        <f t="shared" si="68"/>
        <v>714.28571428571433</v>
      </c>
      <c r="E717" s="50">
        <f t="shared" si="69"/>
        <v>285.71428571428567</v>
      </c>
      <c r="F717" s="50" t="s">
        <v>41</v>
      </c>
      <c r="G717" s="50">
        <f t="shared" si="70"/>
        <v>2500</v>
      </c>
      <c r="H717" s="123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</row>
    <row r="718" spans="1:23" x14ac:dyDescent="0.2">
      <c r="A718" s="134">
        <v>11</v>
      </c>
      <c r="B718" s="137">
        <v>45789</v>
      </c>
      <c r="C718" s="135">
        <v>1000</v>
      </c>
      <c r="D718" s="50">
        <f t="shared" si="68"/>
        <v>714.28571428571433</v>
      </c>
      <c r="E718" s="50">
        <f t="shared" si="69"/>
        <v>285.71428571428567</v>
      </c>
      <c r="F718" s="50"/>
      <c r="G718" s="50">
        <f t="shared" si="70"/>
        <v>1500</v>
      </c>
      <c r="H718" s="123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</row>
    <row r="719" spans="1:23" x14ac:dyDescent="0.2">
      <c r="A719" s="134">
        <v>12</v>
      </c>
      <c r="B719" s="137">
        <v>45796</v>
      </c>
      <c r="C719" s="135"/>
      <c r="D719" s="50">
        <f t="shared" si="68"/>
        <v>0</v>
      </c>
      <c r="E719" s="50">
        <f t="shared" si="69"/>
        <v>0</v>
      </c>
      <c r="F719" s="50"/>
      <c r="G719" s="50">
        <f t="shared" si="70"/>
        <v>1500</v>
      </c>
      <c r="H719" s="123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</row>
    <row r="720" spans="1:23" x14ac:dyDescent="0.2">
      <c r="A720" s="138"/>
      <c r="B720" s="139"/>
      <c r="C720" s="140"/>
      <c r="D720" s="141">
        <f>SUMIFS(D708:D719, F708:F719, "Y")</f>
        <v>8214.2857142857156</v>
      </c>
      <c r="E720" s="142">
        <f>SUMIFS(E708:E719, F708:F719, "Y")</f>
        <v>3285.7142857142853</v>
      </c>
      <c r="F720" s="143">
        <f>(SUMIFS(D708:D719, F708:F719, "Y") + SUMIFS(E708:E719, F708:F719, "Y"))</f>
        <v>11500</v>
      </c>
      <c r="G720" s="140"/>
      <c r="H720" s="144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</row>
    <row r="721" spans="1:23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</row>
    <row r="722" spans="1:23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</row>
    <row r="723" spans="1:23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</row>
    <row r="724" spans="1:23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</row>
    <row r="725" spans="1:23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</row>
    <row r="726" spans="1:23" x14ac:dyDescent="0.2">
      <c r="A726" s="256" t="s">
        <v>182</v>
      </c>
      <c r="B726" s="257"/>
      <c r="C726" s="119"/>
      <c r="D726" s="119"/>
      <c r="E726" s="119"/>
      <c r="F726" s="119"/>
      <c r="G726" s="119"/>
      <c r="H726" s="120"/>
      <c r="I726" s="30"/>
      <c r="J726" s="30"/>
      <c r="K726" s="151"/>
      <c r="L726" s="151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</row>
    <row r="727" spans="1:23" x14ac:dyDescent="0.2">
      <c r="A727" s="258" t="s">
        <v>7</v>
      </c>
      <c r="B727" s="259"/>
      <c r="C727" s="50">
        <v>100000</v>
      </c>
      <c r="D727" s="30"/>
      <c r="E727" s="30"/>
      <c r="F727" s="30"/>
      <c r="G727" s="30"/>
      <c r="H727" s="123"/>
      <c r="I727" s="30"/>
      <c r="J727" s="30"/>
      <c r="K727" s="152"/>
      <c r="L727" s="152"/>
      <c r="M727" s="153"/>
      <c r="N727" s="30"/>
      <c r="O727" s="30"/>
      <c r="P727" s="30"/>
      <c r="Q727" s="30"/>
      <c r="R727" s="30"/>
      <c r="S727" s="30"/>
      <c r="T727" s="30"/>
      <c r="U727" s="30"/>
      <c r="V727" s="30"/>
      <c r="W727" s="30"/>
    </row>
    <row r="728" spans="1:23" x14ac:dyDescent="0.2">
      <c r="A728" s="258" t="s">
        <v>8</v>
      </c>
      <c r="B728" s="259"/>
      <c r="C728" s="150">
        <v>45719</v>
      </c>
      <c r="D728" s="30"/>
      <c r="E728" s="49"/>
      <c r="F728" s="49"/>
      <c r="G728" s="49"/>
      <c r="H728" s="125" t="s">
        <v>10</v>
      </c>
      <c r="I728" s="30"/>
      <c r="J728" s="30"/>
      <c r="K728" s="152"/>
      <c r="L728" s="152"/>
      <c r="M728" s="154"/>
      <c r="N728" s="30"/>
      <c r="O728" s="30"/>
      <c r="P728" s="30"/>
      <c r="Q728" s="30"/>
      <c r="R728" s="155"/>
      <c r="S728" s="30"/>
      <c r="T728" s="30"/>
      <c r="U728" s="30"/>
      <c r="V728" s="30"/>
      <c r="W728" s="30"/>
    </row>
    <row r="729" spans="1:23" x14ac:dyDescent="0.2">
      <c r="A729" s="258" t="s">
        <v>152</v>
      </c>
      <c r="B729" s="259"/>
      <c r="C729" s="50">
        <v>15000</v>
      </c>
      <c r="D729" s="66"/>
      <c r="E729" s="260" t="s">
        <v>14</v>
      </c>
      <c r="F729" s="126" t="s">
        <v>15</v>
      </c>
      <c r="G729" s="50">
        <v>0</v>
      </c>
      <c r="H729" s="127"/>
      <c r="I729" s="30"/>
      <c r="J729" s="30"/>
      <c r="K729" s="152"/>
      <c r="L729" s="152"/>
      <c r="M729" s="66"/>
      <c r="N729" s="66"/>
      <c r="O729" s="156"/>
      <c r="P729" s="152"/>
      <c r="Q729" s="48"/>
      <c r="R729" s="30"/>
      <c r="S729" s="30"/>
      <c r="T729" s="30"/>
      <c r="U729" s="30"/>
      <c r="V729" s="30"/>
      <c r="W729" s="30"/>
    </row>
    <row r="730" spans="1:23" x14ac:dyDescent="0.2">
      <c r="A730" s="258" t="s">
        <v>17</v>
      </c>
      <c r="B730" s="259"/>
      <c r="C730" s="50">
        <v>2</v>
      </c>
      <c r="D730" s="66"/>
      <c r="E730" s="261"/>
      <c r="F730" s="126" t="s">
        <v>18</v>
      </c>
      <c r="G730" s="50">
        <v>100000</v>
      </c>
      <c r="H730" s="127"/>
      <c r="I730" s="30"/>
      <c r="J730" s="30"/>
      <c r="K730" s="152"/>
      <c r="L730" s="152"/>
      <c r="M730" s="48"/>
      <c r="N730" s="66"/>
      <c r="O730" s="156"/>
      <c r="P730" s="152"/>
      <c r="Q730" s="66"/>
      <c r="R730" s="48"/>
      <c r="S730" s="30"/>
      <c r="T730" s="30"/>
      <c r="U730" s="30"/>
      <c r="V730" s="30"/>
      <c r="W730" s="30"/>
    </row>
    <row r="731" spans="1:23" x14ac:dyDescent="0.2">
      <c r="A731" s="258" t="s">
        <v>20</v>
      </c>
      <c r="B731" s="259"/>
      <c r="C731" s="50">
        <f>C729*C730</f>
        <v>30000</v>
      </c>
      <c r="D731" s="30"/>
      <c r="E731" s="128"/>
      <c r="F731" s="30"/>
      <c r="G731" s="66"/>
      <c r="H731" s="123"/>
      <c r="I731" s="30"/>
      <c r="J731" s="30"/>
      <c r="K731" s="152"/>
      <c r="L731" s="152"/>
      <c r="M731" s="48"/>
      <c r="N731" s="30"/>
      <c r="O731" s="128"/>
      <c r="P731" s="30"/>
      <c r="Q731" s="66"/>
      <c r="R731" s="30"/>
      <c r="S731" s="30"/>
      <c r="T731" s="30"/>
      <c r="U731" s="30"/>
      <c r="V731" s="30"/>
      <c r="W731" s="30"/>
    </row>
    <row r="732" spans="1:23" x14ac:dyDescent="0.2">
      <c r="A732" s="258" t="s">
        <v>22</v>
      </c>
      <c r="B732" s="259"/>
      <c r="C732" s="121">
        <f>C727+C731</f>
        <v>130000</v>
      </c>
      <c r="D732" s="30"/>
      <c r="E732" s="30"/>
      <c r="F732" s="30"/>
      <c r="G732" s="30"/>
      <c r="H732" s="123"/>
      <c r="I732" s="30"/>
      <c r="J732" s="30"/>
      <c r="K732" s="152"/>
      <c r="L732" s="152"/>
      <c r="M732" s="157"/>
      <c r="N732" s="30"/>
      <c r="O732" s="30"/>
      <c r="P732" s="30"/>
      <c r="Q732" s="30"/>
      <c r="R732" s="30"/>
      <c r="S732" s="30"/>
      <c r="T732" s="30"/>
      <c r="U732" s="30"/>
      <c r="V732" s="30"/>
      <c r="W732" s="30"/>
    </row>
    <row r="733" spans="1:23" x14ac:dyDescent="0.2">
      <c r="A733" s="258" t="s">
        <v>24</v>
      </c>
      <c r="B733" s="259"/>
      <c r="C733" s="146">
        <v>2200</v>
      </c>
      <c r="D733" s="30" t="s">
        <v>183</v>
      </c>
      <c r="E733" s="30"/>
      <c r="F733" s="30"/>
      <c r="G733" s="30"/>
      <c r="H733" s="123"/>
      <c r="I733" s="30"/>
      <c r="J733" s="30"/>
      <c r="K733" s="152"/>
      <c r="L733" s="152"/>
      <c r="M733" s="158"/>
      <c r="N733" s="30"/>
      <c r="O733" s="30"/>
      <c r="P733" s="30"/>
      <c r="Q733" s="30"/>
      <c r="R733" s="30"/>
      <c r="S733" s="30"/>
      <c r="T733" s="30"/>
      <c r="U733" s="30"/>
      <c r="V733" s="30"/>
      <c r="W733" s="30"/>
    </row>
    <row r="734" spans="1:23" x14ac:dyDescent="0.2">
      <c r="A734" s="258" t="s">
        <v>28</v>
      </c>
      <c r="B734" s="259"/>
      <c r="C734" s="130" t="s">
        <v>179</v>
      </c>
      <c r="D734" s="30"/>
      <c r="E734" s="30"/>
      <c r="F734" s="30"/>
      <c r="G734" s="30"/>
      <c r="H734" s="123"/>
      <c r="I734" s="30"/>
      <c r="J734" s="30"/>
      <c r="K734" s="152"/>
      <c r="L734" s="152"/>
      <c r="M734" s="122"/>
      <c r="N734" s="30"/>
      <c r="O734" s="30"/>
      <c r="P734" s="30"/>
      <c r="Q734" s="30"/>
      <c r="R734" s="30"/>
      <c r="S734" s="30"/>
      <c r="T734" s="30"/>
      <c r="U734" s="30"/>
      <c r="V734" s="30"/>
      <c r="W734" s="30"/>
    </row>
    <row r="735" spans="1:23" x14ac:dyDescent="0.2">
      <c r="A735" s="131" t="s">
        <v>31</v>
      </c>
      <c r="B735" s="132" t="s">
        <v>106</v>
      </c>
      <c r="C735" s="133" t="s">
        <v>33</v>
      </c>
      <c r="D735" s="133" t="s">
        <v>34</v>
      </c>
      <c r="E735" s="133" t="s">
        <v>35</v>
      </c>
      <c r="F735" s="133" t="s">
        <v>36</v>
      </c>
      <c r="G735" s="133" t="s">
        <v>37</v>
      </c>
      <c r="H735" s="123"/>
      <c r="I735" s="30"/>
      <c r="J735" s="30"/>
      <c r="K735" s="152"/>
      <c r="L735" s="107"/>
      <c r="M735" s="152"/>
      <c r="N735" s="152"/>
      <c r="O735" s="152"/>
      <c r="P735" s="152"/>
      <c r="Q735" s="152"/>
      <c r="R735" s="30"/>
      <c r="S735" s="30"/>
      <c r="T735" s="30"/>
      <c r="U735" s="30"/>
      <c r="V735" s="30"/>
      <c r="W735" s="30"/>
    </row>
    <row r="736" spans="1:23" x14ac:dyDescent="0.2">
      <c r="A736" s="134">
        <v>0</v>
      </c>
      <c r="B736" s="135"/>
      <c r="C736" s="135"/>
      <c r="D736" s="135"/>
      <c r="E736" s="135"/>
      <c r="F736" s="135"/>
      <c r="G736" s="50">
        <f>C732</f>
        <v>130000</v>
      </c>
      <c r="H736" s="123"/>
      <c r="I736" s="30"/>
      <c r="J736" s="30"/>
      <c r="K736" s="152"/>
      <c r="L736" s="66"/>
      <c r="M736" s="66"/>
      <c r="N736" s="66"/>
      <c r="O736" s="66"/>
      <c r="P736" s="66"/>
      <c r="Q736" s="48"/>
      <c r="R736" s="30"/>
      <c r="S736" s="30"/>
      <c r="T736" s="30"/>
      <c r="U736" s="30"/>
      <c r="V736" s="30"/>
      <c r="W736" s="30"/>
    </row>
    <row r="737" spans="1:23" x14ac:dyDescent="0.2">
      <c r="A737" s="134">
        <v>1</v>
      </c>
      <c r="B737" s="136">
        <v>45726</v>
      </c>
      <c r="C737" s="135">
        <v>11000</v>
      </c>
      <c r="D737" s="50">
        <f t="shared" ref="D737:D748" si="71">C737/1.3</f>
        <v>8461.538461538461</v>
      </c>
      <c r="E737" s="50">
        <f t="shared" ref="E737:E748" si="72">C737-D737</f>
        <v>2538.461538461539</v>
      </c>
      <c r="F737" s="50" t="s">
        <v>41</v>
      </c>
      <c r="G737" s="50">
        <f t="shared" ref="G737:G748" si="73">(G736-C737)</f>
        <v>119000</v>
      </c>
      <c r="H737" s="123"/>
      <c r="I737" s="30"/>
      <c r="J737" s="30"/>
      <c r="K737" s="152"/>
      <c r="L737" s="159"/>
      <c r="M737" s="66"/>
      <c r="N737" s="66"/>
      <c r="O737" s="66"/>
      <c r="P737" s="48"/>
      <c r="Q737" s="48"/>
      <c r="R737" s="30"/>
      <c r="S737" s="30"/>
      <c r="T737" s="30"/>
      <c r="U737" s="30"/>
      <c r="V737" s="30"/>
      <c r="W737" s="30"/>
    </row>
    <row r="738" spans="1:23" x14ac:dyDescent="0.2">
      <c r="A738" s="134">
        <v>2</v>
      </c>
      <c r="B738" s="136">
        <v>45733</v>
      </c>
      <c r="C738" s="135">
        <v>13200</v>
      </c>
      <c r="D738" s="50">
        <f t="shared" si="71"/>
        <v>10153.846153846154</v>
      </c>
      <c r="E738" s="50">
        <f t="shared" si="72"/>
        <v>3046.1538461538457</v>
      </c>
      <c r="F738" s="50" t="s">
        <v>41</v>
      </c>
      <c r="G738" s="50">
        <f t="shared" si="73"/>
        <v>105800</v>
      </c>
      <c r="H738" s="123"/>
      <c r="I738" s="30"/>
      <c r="J738" s="30"/>
      <c r="K738" s="152"/>
      <c r="L738" s="159"/>
      <c r="M738" s="66"/>
      <c r="N738" s="66"/>
      <c r="O738" s="66"/>
      <c r="P738" s="48"/>
      <c r="Q738" s="48"/>
      <c r="R738" s="30"/>
      <c r="S738" s="30"/>
      <c r="T738" s="30"/>
      <c r="U738" s="30"/>
      <c r="V738" s="30"/>
      <c r="W738" s="30"/>
    </row>
    <row r="739" spans="1:23" x14ac:dyDescent="0.2">
      <c r="A739" s="134">
        <v>3</v>
      </c>
      <c r="B739" s="137">
        <v>45740</v>
      </c>
      <c r="C739" s="135">
        <v>13200</v>
      </c>
      <c r="D739" s="50">
        <f t="shared" si="71"/>
        <v>10153.846153846154</v>
      </c>
      <c r="E739" s="50">
        <f t="shared" si="72"/>
        <v>3046.1538461538457</v>
      </c>
      <c r="F739" s="50" t="s">
        <v>41</v>
      </c>
      <c r="G739" s="50">
        <f t="shared" si="73"/>
        <v>92600</v>
      </c>
      <c r="H739" s="123"/>
      <c r="I739" s="30"/>
      <c r="J739" s="30"/>
      <c r="K739" s="152"/>
      <c r="L739" s="159"/>
      <c r="M739" s="66"/>
      <c r="N739" s="66"/>
      <c r="O739" s="66"/>
      <c r="P739" s="48"/>
      <c r="Q739" s="48"/>
      <c r="R739" s="30"/>
      <c r="S739" s="30"/>
      <c r="T739" s="30"/>
      <c r="U739" s="30"/>
      <c r="V739" s="30"/>
      <c r="W739" s="30"/>
    </row>
    <row r="740" spans="1:23" x14ac:dyDescent="0.2">
      <c r="A740" s="134">
        <v>4</v>
      </c>
      <c r="B740" s="137">
        <v>45747</v>
      </c>
      <c r="C740" s="135">
        <v>13200</v>
      </c>
      <c r="D740" s="50">
        <f t="shared" si="71"/>
        <v>10153.846153846154</v>
      </c>
      <c r="E740" s="50">
        <f t="shared" si="72"/>
        <v>3046.1538461538457</v>
      </c>
      <c r="F740" s="50" t="s">
        <v>41</v>
      </c>
      <c r="G740" s="50">
        <f t="shared" si="73"/>
        <v>79400</v>
      </c>
      <c r="H740" s="123"/>
      <c r="I740" s="30"/>
      <c r="J740" s="30"/>
      <c r="K740" s="152"/>
      <c r="L740" s="160"/>
      <c r="M740" s="66"/>
      <c r="N740" s="66"/>
      <c r="O740" s="66"/>
      <c r="P740" s="48"/>
      <c r="Q740" s="48"/>
      <c r="R740" s="30"/>
      <c r="S740" s="30"/>
      <c r="T740" s="30"/>
      <c r="U740" s="30"/>
      <c r="V740" s="30"/>
      <c r="W740" s="30"/>
    </row>
    <row r="741" spans="1:23" x14ac:dyDescent="0.2">
      <c r="A741" s="134">
        <v>5</v>
      </c>
      <c r="B741" s="137">
        <v>45754</v>
      </c>
      <c r="C741" s="135">
        <v>13200</v>
      </c>
      <c r="D741" s="50">
        <f t="shared" si="71"/>
        <v>10153.846153846154</v>
      </c>
      <c r="E741" s="50">
        <f t="shared" si="72"/>
        <v>3046.1538461538457</v>
      </c>
      <c r="F741" s="50" t="s">
        <v>41</v>
      </c>
      <c r="G741" s="50">
        <f t="shared" si="73"/>
        <v>66200</v>
      </c>
      <c r="H741" s="123"/>
      <c r="I741" s="30"/>
      <c r="J741" s="30"/>
      <c r="K741" s="152"/>
      <c r="L741" s="160"/>
      <c r="M741" s="66"/>
      <c r="N741" s="66"/>
      <c r="O741" s="66"/>
      <c r="P741" s="48"/>
      <c r="Q741" s="48"/>
      <c r="R741" s="30"/>
      <c r="S741" s="30"/>
      <c r="T741" s="30"/>
      <c r="U741" s="30"/>
      <c r="V741" s="30"/>
      <c r="W741" s="30"/>
    </row>
    <row r="742" spans="1:23" x14ac:dyDescent="0.2">
      <c r="A742" s="134">
        <v>6</v>
      </c>
      <c r="B742" s="137">
        <v>45761</v>
      </c>
      <c r="C742" s="135">
        <v>13200</v>
      </c>
      <c r="D742" s="50">
        <f t="shared" si="71"/>
        <v>10153.846153846154</v>
      </c>
      <c r="E742" s="50">
        <f t="shared" si="72"/>
        <v>3046.1538461538457</v>
      </c>
      <c r="F742" s="50" t="s">
        <v>41</v>
      </c>
      <c r="G742" s="50">
        <f t="shared" si="73"/>
        <v>53000</v>
      </c>
      <c r="H742" s="123"/>
      <c r="I742" s="30"/>
      <c r="J742" s="30"/>
      <c r="K742" s="152"/>
      <c r="L742" s="160"/>
      <c r="M742" s="66"/>
      <c r="N742" s="66"/>
      <c r="O742" s="66"/>
      <c r="P742" s="48"/>
      <c r="Q742" s="48"/>
      <c r="R742" s="30"/>
      <c r="S742" s="30"/>
      <c r="T742" s="30"/>
      <c r="U742" s="30"/>
      <c r="V742" s="30"/>
      <c r="W742" s="30"/>
    </row>
    <row r="743" spans="1:23" x14ac:dyDescent="0.2">
      <c r="A743" s="134">
        <v>7</v>
      </c>
      <c r="B743" s="137">
        <v>45768</v>
      </c>
      <c r="C743" s="135">
        <v>4400</v>
      </c>
      <c r="D743" s="50">
        <f t="shared" si="71"/>
        <v>3384.6153846153843</v>
      </c>
      <c r="E743" s="50">
        <f t="shared" si="72"/>
        <v>1015.3846153846157</v>
      </c>
      <c r="F743" s="50" t="s">
        <v>41</v>
      </c>
      <c r="G743" s="50">
        <f t="shared" si="73"/>
        <v>48600</v>
      </c>
      <c r="H743" s="123"/>
      <c r="I743" s="30"/>
      <c r="J743" s="30"/>
      <c r="K743" s="152"/>
      <c r="L743" s="160"/>
      <c r="M743" s="66"/>
      <c r="N743" s="66"/>
      <c r="O743" s="66"/>
      <c r="P743" s="48"/>
      <c r="Q743" s="48"/>
      <c r="R743" s="30"/>
      <c r="S743" s="30"/>
      <c r="T743" s="30"/>
      <c r="U743" s="30"/>
      <c r="V743" s="30"/>
      <c r="W743" s="30"/>
    </row>
    <row r="744" spans="1:23" x14ac:dyDescent="0.2">
      <c r="A744" s="134">
        <v>8</v>
      </c>
      <c r="B744" s="137">
        <v>45775</v>
      </c>
      <c r="C744" s="135">
        <v>15400</v>
      </c>
      <c r="D744" s="50">
        <f t="shared" si="71"/>
        <v>11846.153846153846</v>
      </c>
      <c r="E744" s="50">
        <f t="shared" si="72"/>
        <v>3553.8461538461543</v>
      </c>
      <c r="F744" s="50" t="s">
        <v>41</v>
      </c>
      <c r="G744" s="50">
        <f t="shared" si="73"/>
        <v>33200</v>
      </c>
      <c r="H744" s="123"/>
      <c r="I744" s="30"/>
      <c r="J744" s="30"/>
      <c r="K744" s="152"/>
      <c r="L744" s="160"/>
      <c r="M744" s="66"/>
      <c r="N744" s="66"/>
      <c r="O744" s="66"/>
      <c r="P744" s="48"/>
      <c r="Q744" s="48"/>
      <c r="R744" s="30"/>
      <c r="S744" s="30"/>
      <c r="T744" s="30"/>
      <c r="U744" s="30"/>
      <c r="V744" s="30"/>
      <c r="W744" s="30"/>
    </row>
    <row r="745" spans="1:23" x14ac:dyDescent="0.2">
      <c r="A745" s="134">
        <v>9</v>
      </c>
      <c r="B745" s="137">
        <v>45782</v>
      </c>
      <c r="C745" s="135">
        <v>11000</v>
      </c>
      <c r="D745" s="50">
        <f t="shared" si="71"/>
        <v>8461.538461538461</v>
      </c>
      <c r="E745" s="50">
        <f t="shared" si="72"/>
        <v>2538.461538461539</v>
      </c>
      <c r="F745" s="50" t="s">
        <v>41</v>
      </c>
      <c r="G745" s="50">
        <f t="shared" si="73"/>
        <v>22200</v>
      </c>
      <c r="H745" s="123"/>
      <c r="I745" s="30"/>
      <c r="J745" s="30"/>
      <c r="K745" s="152"/>
      <c r="L745" s="160"/>
      <c r="M745" s="66"/>
      <c r="N745" s="66"/>
      <c r="O745" s="66"/>
      <c r="P745" s="66"/>
      <c r="Q745" s="48"/>
      <c r="R745" s="30"/>
      <c r="S745" s="30"/>
      <c r="T745" s="30"/>
      <c r="U745" s="30"/>
      <c r="V745" s="30"/>
      <c r="W745" s="30"/>
    </row>
    <row r="746" spans="1:23" x14ac:dyDescent="0.2">
      <c r="A746" s="134">
        <v>10</v>
      </c>
      <c r="B746" s="137">
        <v>45789</v>
      </c>
      <c r="C746" s="135">
        <v>11000</v>
      </c>
      <c r="D746" s="50">
        <f t="shared" si="71"/>
        <v>8461.538461538461</v>
      </c>
      <c r="E746" s="50">
        <f t="shared" si="72"/>
        <v>2538.461538461539</v>
      </c>
      <c r="F746" s="50"/>
      <c r="G746" s="50">
        <f t="shared" si="73"/>
        <v>11200</v>
      </c>
      <c r="H746" s="123"/>
      <c r="I746" s="30"/>
      <c r="J746" s="30"/>
      <c r="K746" s="152"/>
      <c r="L746" s="160"/>
      <c r="M746" s="66"/>
      <c r="N746" s="66"/>
      <c r="O746" s="66"/>
      <c r="P746" s="66"/>
      <c r="Q746" s="48"/>
      <c r="R746" s="30"/>
      <c r="S746" s="30"/>
      <c r="T746" s="30"/>
      <c r="U746" s="30"/>
      <c r="V746" s="30"/>
      <c r="W746" s="30"/>
    </row>
    <row r="747" spans="1:23" x14ac:dyDescent="0.2">
      <c r="A747" s="134">
        <v>11</v>
      </c>
      <c r="B747" s="137">
        <v>45789</v>
      </c>
      <c r="C747" s="135"/>
      <c r="D747" s="50">
        <f t="shared" si="71"/>
        <v>0</v>
      </c>
      <c r="E747" s="50">
        <f t="shared" si="72"/>
        <v>0</v>
      </c>
      <c r="F747" s="50"/>
      <c r="G747" s="50">
        <f t="shared" si="73"/>
        <v>11200</v>
      </c>
      <c r="H747" s="123"/>
      <c r="I747" s="30"/>
      <c r="J747" s="30"/>
      <c r="K747" s="152"/>
      <c r="L747" s="160"/>
      <c r="M747" s="66"/>
      <c r="N747" s="66"/>
      <c r="O747" s="66"/>
      <c r="P747" s="66"/>
      <c r="Q747" s="48"/>
      <c r="R747" s="30"/>
      <c r="S747" s="30"/>
      <c r="T747" s="30"/>
      <c r="U747" s="30"/>
      <c r="V747" s="30"/>
      <c r="W747" s="30"/>
    </row>
    <row r="748" spans="1:23" x14ac:dyDescent="0.2">
      <c r="A748" s="134">
        <v>12</v>
      </c>
      <c r="B748" s="137">
        <v>45796</v>
      </c>
      <c r="C748" s="135"/>
      <c r="D748" s="50">
        <f t="shared" si="71"/>
        <v>0</v>
      </c>
      <c r="E748" s="50">
        <f t="shared" si="72"/>
        <v>0</v>
      </c>
      <c r="F748" s="50"/>
      <c r="G748" s="50">
        <f t="shared" si="73"/>
        <v>11200</v>
      </c>
      <c r="H748" s="123"/>
      <c r="I748" s="30"/>
      <c r="J748" s="30"/>
      <c r="K748" s="152"/>
      <c r="L748" s="160"/>
      <c r="M748" s="66"/>
      <c r="N748" s="66"/>
      <c r="O748" s="66"/>
      <c r="P748" s="66"/>
      <c r="Q748" s="48"/>
      <c r="R748" s="30"/>
      <c r="S748" s="30"/>
      <c r="T748" s="30"/>
      <c r="U748" s="30"/>
      <c r="V748" s="30"/>
      <c r="W748" s="30"/>
    </row>
    <row r="749" spans="1:23" x14ac:dyDescent="0.2">
      <c r="A749" s="138"/>
      <c r="B749" s="139"/>
      <c r="C749" s="140"/>
      <c r="D749" s="141">
        <f>SUMIFS(D737:D748, F737:F748, "Y")</f>
        <v>82923.076923076937</v>
      </c>
      <c r="E749" s="142">
        <f>SUMIFS(E737:E748, F737:F748, "Y")</f>
        <v>24876.923076923078</v>
      </c>
      <c r="F749" s="143">
        <f>(SUMIFS(D737:D748, F737:F748, "Y") + SUMIFS(E737:E748, F737:F748, "Y"))</f>
        <v>107800.00000000001</v>
      </c>
      <c r="G749" s="140"/>
      <c r="H749" s="144"/>
      <c r="I749" s="30"/>
      <c r="J749" s="30"/>
      <c r="K749" s="30"/>
      <c r="L749" s="66"/>
      <c r="M749" s="30"/>
      <c r="N749" s="48"/>
      <c r="O749" s="48"/>
      <c r="P749" s="122"/>
      <c r="Q749" s="30"/>
      <c r="R749" s="30"/>
      <c r="S749" s="30"/>
      <c r="T749" s="30"/>
      <c r="U749" s="30"/>
      <c r="V749" s="30"/>
      <c r="W749" s="30"/>
    </row>
    <row r="750" spans="1:23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</row>
    <row r="751" spans="1:23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</row>
    <row r="752" spans="1:23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</row>
    <row r="753" spans="1:23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</row>
    <row r="754" spans="1:23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</row>
    <row r="755" spans="1:23" x14ac:dyDescent="0.2">
      <c r="A755" s="256" t="s">
        <v>184</v>
      </c>
      <c r="B755" s="257"/>
      <c r="C755" s="161" t="s">
        <v>185</v>
      </c>
      <c r="D755" s="162"/>
      <c r="E755" s="31"/>
      <c r="F755" s="31"/>
      <c r="G755" s="31"/>
      <c r="H755" s="32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</row>
    <row r="756" spans="1:23" x14ac:dyDescent="0.2">
      <c r="A756" s="265" t="s">
        <v>7</v>
      </c>
      <c r="B756" s="259"/>
      <c r="C756" s="33">
        <v>30000</v>
      </c>
      <c r="D756" s="34"/>
      <c r="E756" s="35"/>
      <c r="F756" s="35"/>
      <c r="G756" s="35"/>
      <c r="H756" s="36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</row>
    <row r="757" spans="1:23" x14ac:dyDescent="0.2">
      <c r="A757" s="265" t="s">
        <v>8</v>
      </c>
      <c r="B757" s="259"/>
      <c r="C757" s="37" t="s">
        <v>186</v>
      </c>
      <c r="D757" s="34"/>
      <c r="E757" s="38"/>
      <c r="F757" s="38"/>
      <c r="G757" s="38"/>
      <c r="H757" s="39" t="s">
        <v>10</v>
      </c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</row>
    <row r="758" spans="1:23" x14ac:dyDescent="0.2">
      <c r="A758" s="265" t="s">
        <v>103</v>
      </c>
      <c r="B758" s="259"/>
      <c r="C758" s="43">
        <v>6000</v>
      </c>
      <c r="D758" s="163"/>
      <c r="E758" s="266" t="s">
        <v>14</v>
      </c>
      <c r="F758" s="45" t="s">
        <v>15</v>
      </c>
      <c r="G758" s="43">
        <v>23200</v>
      </c>
      <c r="H758" s="46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</row>
    <row r="759" spans="1:23" x14ac:dyDescent="0.2">
      <c r="A759" s="265" t="s">
        <v>17</v>
      </c>
      <c r="B759" s="259"/>
      <c r="C759" s="43">
        <v>1</v>
      </c>
      <c r="D759" s="163"/>
      <c r="E759" s="261"/>
      <c r="F759" s="45" t="s">
        <v>18</v>
      </c>
      <c r="G759" s="43">
        <v>6800</v>
      </c>
      <c r="H759" s="46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</row>
    <row r="760" spans="1:23" x14ac:dyDescent="0.2">
      <c r="A760" s="265" t="s">
        <v>20</v>
      </c>
      <c r="B760" s="259"/>
      <c r="C760" s="43">
        <f>C758*C759</f>
        <v>6000</v>
      </c>
      <c r="D760" s="34"/>
      <c r="E760" s="54"/>
      <c r="F760" s="35"/>
      <c r="G760" s="44"/>
      <c r="H760" s="36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</row>
    <row r="761" spans="1:23" x14ac:dyDescent="0.2">
      <c r="A761" s="265" t="s">
        <v>22</v>
      </c>
      <c r="B761" s="259"/>
      <c r="C761" s="33">
        <f>C756+C760</f>
        <v>36000</v>
      </c>
      <c r="D761" s="34"/>
      <c r="E761" s="35"/>
      <c r="F761" s="35"/>
      <c r="G761" s="35"/>
      <c r="H761" s="36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</row>
    <row r="762" spans="1:23" x14ac:dyDescent="0.2">
      <c r="A762" s="265" t="s">
        <v>187</v>
      </c>
      <c r="B762" s="259"/>
      <c r="C762" s="116"/>
      <c r="D762" s="115"/>
      <c r="E762" s="35"/>
      <c r="F762" s="35"/>
      <c r="G762" s="35"/>
      <c r="H762" s="36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</row>
    <row r="763" spans="1:23" x14ac:dyDescent="0.2">
      <c r="A763" s="265" t="s">
        <v>28</v>
      </c>
      <c r="B763" s="259"/>
      <c r="C763" s="58" t="s">
        <v>188</v>
      </c>
      <c r="D763" s="35"/>
      <c r="E763" s="35"/>
      <c r="F763" s="35"/>
      <c r="G763" s="35"/>
      <c r="H763" s="36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</row>
    <row r="764" spans="1:23" x14ac:dyDescent="0.2">
      <c r="A764" s="62" t="s">
        <v>31</v>
      </c>
      <c r="B764" s="63" t="s">
        <v>106</v>
      </c>
      <c r="C764" s="45" t="s">
        <v>33</v>
      </c>
      <c r="D764" s="45" t="s">
        <v>34</v>
      </c>
      <c r="E764" s="45" t="s">
        <v>35</v>
      </c>
      <c r="F764" s="45" t="s">
        <v>36</v>
      </c>
      <c r="G764" s="45" t="s">
        <v>37</v>
      </c>
      <c r="H764" s="36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</row>
    <row r="765" spans="1:23" x14ac:dyDescent="0.2">
      <c r="A765" s="62">
        <v>0</v>
      </c>
      <c r="B765" s="65"/>
      <c r="C765" s="65"/>
      <c r="D765" s="65"/>
      <c r="E765" s="65"/>
      <c r="F765" s="65"/>
      <c r="G765" s="43">
        <f>C761</f>
        <v>36000</v>
      </c>
      <c r="H765" s="36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</row>
    <row r="766" spans="1:23" x14ac:dyDescent="0.2">
      <c r="A766" s="62">
        <v>1</v>
      </c>
      <c r="B766" s="100">
        <v>45735</v>
      </c>
      <c r="C766" s="43">
        <v>18000</v>
      </c>
      <c r="D766" s="43">
        <f t="shared" ref="D766:D767" si="74">C766/1.2</f>
        <v>15000</v>
      </c>
      <c r="E766" s="43">
        <f t="shared" ref="E766:E775" si="75">C766-D766</f>
        <v>3000</v>
      </c>
      <c r="F766" s="43" t="s">
        <v>41</v>
      </c>
      <c r="G766" s="43">
        <f t="shared" ref="G766:G773" si="76">(G765-C766)</f>
        <v>18000</v>
      </c>
      <c r="H766" s="36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</row>
    <row r="767" spans="1:23" x14ac:dyDescent="0.2">
      <c r="A767" s="62">
        <v>2</v>
      </c>
      <c r="B767" s="100">
        <v>45752</v>
      </c>
      <c r="C767" s="43">
        <v>18000</v>
      </c>
      <c r="D767" s="43">
        <f t="shared" si="74"/>
        <v>15000</v>
      </c>
      <c r="E767" s="43">
        <f t="shared" si="75"/>
        <v>3000</v>
      </c>
      <c r="F767" s="43" t="s">
        <v>41</v>
      </c>
      <c r="G767" s="43">
        <f t="shared" si="76"/>
        <v>0</v>
      </c>
      <c r="H767" s="164">
        <v>45756</v>
      </c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</row>
    <row r="768" spans="1:23" x14ac:dyDescent="0.2">
      <c r="A768" s="62">
        <v>3</v>
      </c>
      <c r="B768" s="45"/>
      <c r="C768" s="43"/>
      <c r="D768" s="43">
        <f t="shared" ref="D768:D775" si="77">C768/1.4</f>
        <v>0</v>
      </c>
      <c r="E768" s="43">
        <f t="shared" si="75"/>
        <v>0</v>
      </c>
      <c r="F768" s="43" t="s">
        <v>107</v>
      </c>
      <c r="G768" s="43">
        <f t="shared" si="76"/>
        <v>0</v>
      </c>
      <c r="H768" s="36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</row>
    <row r="769" spans="1:23" x14ac:dyDescent="0.2">
      <c r="A769" s="62">
        <v>4</v>
      </c>
      <c r="B769" s="45"/>
      <c r="C769" s="43"/>
      <c r="D769" s="43">
        <f t="shared" si="77"/>
        <v>0</v>
      </c>
      <c r="E769" s="43">
        <f t="shared" si="75"/>
        <v>0</v>
      </c>
      <c r="F769" s="43" t="s">
        <v>107</v>
      </c>
      <c r="G769" s="43">
        <f t="shared" si="76"/>
        <v>0</v>
      </c>
      <c r="H769" s="36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</row>
    <row r="770" spans="1:23" x14ac:dyDescent="0.2">
      <c r="A770" s="62">
        <v>5</v>
      </c>
      <c r="B770" s="45"/>
      <c r="C770" s="43"/>
      <c r="D770" s="43">
        <f t="shared" si="77"/>
        <v>0</v>
      </c>
      <c r="E770" s="43">
        <f t="shared" si="75"/>
        <v>0</v>
      </c>
      <c r="F770" s="43" t="s">
        <v>107</v>
      </c>
      <c r="G770" s="43">
        <f t="shared" si="76"/>
        <v>0</v>
      </c>
      <c r="H770" s="36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</row>
    <row r="771" spans="1:23" x14ac:dyDescent="0.2">
      <c r="A771" s="62">
        <v>6</v>
      </c>
      <c r="B771" s="45"/>
      <c r="C771" s="43"/>
      <c r="D771" s="43">
        <f t="shared" si="77"/>
        <v>0</v>
      </c>
      <c r="E771" s="43">
        <f t="shared" si="75"/>
        <v>0</v>
      </c>
      <c r="F771" s="43" t="s">
        <v>107</v>
      </c>
      <c r="G771" s="43">
        <f t="shared" si="76"/>
        <v>0</v>
      </c>
      <c r="H771" s="36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</row>
    <row r="772" spans="1:23" x14ac:dyDescent="0.2">
      <c r="A772" s="62">
        <v>7</v>
      </c>
      <c r="B772" s="103"/>
      <c r="C772" s="43"/>
      <c r="D772" s="43">
        <f t="shared" si="77"/>
        <v>0</v>
      </c>
      <c r="E772" s="43">
        <f t="shared" si="75"/>
        <v>0</v>
      </c>
      <c r="F772" s="43" t="s">
        <v>107</v>
      </c>
      <c r="G772" s="43">
        <f t="shared" si="76"/>
        <v>0</v>
      </c>
      <c r="H772" s="36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</row>
    <row r="773" spans="1:23" x14ac:dyDescent="0.2">
      <c r="A773" s="62">
        <v>8</v>
      </c>
      <c r="B773" s="106"/>
      <c r="C773" s="43"/>
      <c r="D773" s="43">
        <f t="shared" si="77"/>
        <v>0</v>
      </c>
      <c r="E773" s="43">
        <f t="shared" si="75"/>
        <v>0</v>
      </c>
      <c r="F773" s="43" t="s">
        <v>107</v>
      </c>
      <c r="G773" s="43">
        <f t="shared" si="76"/>
        <v>0</v>
      </c>
      <c r="H773" s="36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</row>
    <row r="774" spans="1:23" x14ac:dyDescent="0.2">
      <c r="A774" s="62"/>
      <c r="B774" s="106"/>
      <c r="C774" s="65"/>
      <c r="D774" s="43">
        <f t="shared" si="77"/>
        <v>0</v>
      </c>
      <c r="E774" s="43">
        <f t="shared" si="75"/>
        <v>0</v>
      </c>
      <c r="F774" s="65"/>
      <c r="G774" s="65"/>
      <c r="H774" s="36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</row>
    <row r="775" spans="1:23" x14ac:dyDescent="0.2">
      <c r="A775" s="62"/>
      <c r="B775" s="106"/>
      <c r="C775" s="65"/>
      <c r="D775" s="43">
        <f t="shared" si="77"/>
        <v>0</v>
      </c>
      <c r="E775" s="43">
        <f t="shared" si="75"/>
        <v>0</v>
      </c>
      <c r="F775" s="65"/>
      <c r="G775" s="65"/>
      <c r="H775" s="36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</row>
    <row r="776" spans="1:23" x14ac:dyDescent="0.2">
      <c r="A776" s="89"/>
      <c r="B776" s="90"/>
      <c r="C776" s="91"/>
      <c r="D776" s="111">
        <f>SUMIFS(D766:D775, F766:F775, "Y")</f>
        <v>30000</v>
      </c>
      <c r="E776" s="111">
        <f>SUMIFS(E766:E775, F766:F775, "Y")</f>
        <v>6000</v>
      </c>
      <c r="F776" s="92">
        <f>(SUMIFS(D766:D775, F766:F775, "Y") + SUMIFS(E766:E775, F766:F775, "Y"))</f>
        <v>36000</v>
      </c>
      <c r="G776" s="91"/>
      <c r="H776" s="93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</row>
    <row r="777" spans="1:23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</row>
    <row r="778" spans="1:23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</row>
    <row r="779" spans="1:23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</row>
    <row r="780" spans="1:23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</row>
    <row r="781" spans="1:23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</row>
    <row r="782" spans="1:23" x14ac:dyDescent="0.2">
      <c r="A782" s="256" t="s">
        <v>189</v>
      </c>
      <c r="B782" s="257"/>
      <c r="C782" s="114"/>
      <c r="D782" s="31"/>
      <c r="E782" s="31"/>
      <c r="F782" s="31"/>
      <c r="G782" s="31"/>
      <c r="H782" s="32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</row>
    <row r="783" spans="1:23" x14ac:dyDescent="0.2">
      <c r="A783" s="265" t="s">
        <v>7</v>
      </c>
      <c r="B783" s="259"/>
      <c r="C783" s="33">
        <v>30000</v>
      </c>
      <c r="D783" s="115"/>
      <c r="E783" s="35"/>
      <c r="F783" s="35"/>
      <c r="G783" s="35"/>
      <c r="H783" s="36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</row>
    <row r="784" spans="1:23" x14ac:dyDescent="0.2">
      <c r="A784" s="265" t="s">
        <v>8</v>
      </c>
      <c r="B784" s="259"/>
      <c r="C784" s="37" t="s">
        <v>186</v>
      </c>
      <c r="D784" s="35"/>
      <c r="E784" s="38"/>
      <c r="F784" s="38"/>
      <c r="G784" s="38"/>
      <c r="H784" s="39" t="s">
        <v>10</v>
      </c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</row>
    <row r="785" spans="1:23" x14ac:dyDescent="0.2">
      <c r="A785" s="265" t="s">
        <v>103</v>
      </c>
      <c r="B785" s="259"/>
      <c r="C785" s="43">
        <v>6000</v>
      </c>
      <c r="D785" s="44"/>
      <c r="E785" s="266" t="s">
        <v>14</v>
      </c>
      <c r="F785" s="45" t="s">
        <v>15</v>
      </c>
      <c r="G785" s="43">
        <v>30000</v>
      </c>
      <c r="H785" s="46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</row>
    <row r="786" spans="1:23" x14ac:dyDescent="0.2">
      <c r="A786" s="265" t="s">
        <v>17</v>
      </c>
      <c r="B786" s="259"/>
      <c r="C786" s="43">
        <v>3</v>
      </c>
      <c r="D786" s="44"/>
      <c r="E786" s="261"/>
      <c r="F786" s="45" t="s">
        <v>18</v>
      </c>
      <c r="G786" s="165" t="s">
        <v>190</v>
      </c>
      <c r="H786" s="46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</row>
    <row r="787" spans="1:23" x14ac:dyDescent="0.2">
      <c r="A787" s="265" t="s">
        <v>20</v>
      </c>
      <c r="B787" s="259"/>
      <c r="C787" s="43">
        <f>C785*C786</f>
        <v>18000</v>
      </c>
      <c r="D787" s="35"/>
      <c r="E787" s="54"/>
      <c r="F787" s="35"/>
      <c r="G787" s="44"/>
      <c r="H787" s="36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</row>
    <row r="788" spans="1:23" x14ac:dyDescent="0.2">
      <c r="A788" s="265" t="s">
        <v>22</v>
      </c>
      <c r="B788" s="259"/>
      <c r="C788" s="33">
        <f>C783+C787</f>
        <v>48000</v>
      </c>
      <c r="D788" s="35"/>
      <c r="E788" s="35"/>
      <c r="F788" s="35"/>
      <c r="G788" s="35"/>
      <c r="H788" s="36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</row>
    <row r="789" spans="1:23" x14ac:dyDescent="0.2">
      <c r="A789" s="265" t="s">
        <v>154</v>
      </c>
      <c r="B789" s="259"/>
      <c r="C789" s="116">
        <v>534</v>
      </c>
      <c r="D789" s="35" t="s">
        <v>183</v>
      </c>
      <c r="E789" s="35"/>
      <c r="F789" s="35"/>
      <c r="G789" s="35"/>
      <c r="H789" s="36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</row>
    <row r="790" spans="1:23" x14ac:dyDescent="0.2">
      <c r="A790" s="265" t="s">
        <v>28</v>
      </c>
      <c r="B790" s="259"/>
      <c r="C790" s="58" t="s">
        <v>179</v>
      </c>
      <c r="D790" s="35"/>
      <c r="E790" s="35"/>
      <c r="F790" s="35"/>
      <c r="G790" s="35"/>
      <c r="H790" s="36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</row>
    <row r="791" spans="1:23" x14ac:dyDescent="0.2">
      <c r="A791" s="62" t="s">
        <v>31</v>
      </c>
      <c r="B791" s="63" t="s">
        <v>106</v>
      </c>
      <c r="C791" s="45" t="s">
        <v>33</v>
      </c>
      <c r="D791" s="45" t="s">
        <v>34</v>
      </c>
      <c r="E791" s="45" t="s">
        <v>35</v>
      </c>
      <c r="F791" s="45" t="s">
        <v>36</v>
      </c>
      <c r="G791" s="45" t="s">
        <v>37</v>
      </c>
      <c r="H791" s="36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</row>
    <row r="792" spans="1:23" x14ac:dyDescent="0.2">
      <c r="A792" s="62">
        <v>0</v>
      </c>
      <c r="B792" s="65"/>
      <c r="C792" s="65"/>
      <c r="D792" s="65"/>
      <c r="E792" s="65"/>
      <c r="F792" s="65"/>
      <c r="G792" s="43">
        <f>C788</f>
        <v>48000</v>
      </c>
      <c r="H792" s="36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</row>
    <row r="793" spans="1:23" x14ac:dyDescent="0.2">
      <c r="A793" s="62">
        <v>1</v>
      </c>
      <c r="B793" s="100">
        <v>45726</v>
      </c>
      <c r="C793" s="43">
        <v>2136</v>
      </c>
      <c r="D793" s="43">
        <f t="shared" ref="D793:D809" si="78">C793/1.6</f>
        <v>1335</v>
      </c>
      <c r="E793" s="43">
        <f t="shared" ref="E793:E809" si="79">C793-D793</f>
        <v>801</v>
      </c>
      <c r="F793" s="43" t="s">
        <v>41</v>
      </c>
      <c r="G793" s="43">
        <f t="shared" ref="G793:G809" si="80">(G792-C793)</f>
        <v>45864</v>
      </c>
      <c r="H793" s="36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</row>
    <row r="794" spans="1:23" x14ac:dyDescent="0.2">
      <c r="A794" s="62">
        <v>2</v>
      </c>
      <c r="B794" s="100">
        <v>45733</v>
      </c>
      <c r="C794" s="43">
        <v>2400</v>
      </c>
      <c r="D794" s="43">
        <f t="shared" si="78"/>
        <v>1500</v>
      </c>
      <c r="E794" s="43">
        <f t="shared" si="79"/>
        <v>900</v>
      </c>
      <c r="F794" s="43" t="s">
        <v>41</v>
      </c>
      <c r="G794" s="43">
        <f t="shared" si="80"/>
        <v>43464</v>
      </c>
      <c r="H794" s="36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</row>
    <row r="795" spans="1:23" x14ac:dyDescent="0.2">
      <c r="A795" s="62">
        <v>3</v>
      </c>
      <c r="B795" s="103">
        <v>45740</v>
      </c>
      <c r="C795" s="43">
        <v>3000</v>
      </c>
      <c r="D795" s="43">
        <f t="shared" si="78"/>
        <v>1875</v>
      </c>
      <c r="E795" s="43">
        <f t="shared" si="79"/>
        <v>1125</v>
      </c>
      <c r="F795" s="43" t="s">
        <v>41</v>
      </c>
      <c r="G795" s="43">
        <f t="shared" si="80"/>
        <v>40464</v>
      </c>
      <c r="H795" s="36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</row>
    <row r="796" spans="1:23" x14ac:dyDescent="0.2">
      <c r="A796" s="62">
        <v>4</v>
      </c>
      <c r="B796" s="103">
        <v>45747</v>
      </c>
      <c r="C796" s="43">
        <v>4200</v>
      </c>
      <c r="D796" s="43">
        <f t="shared" si="78"/>
        <v>2625</v>
      </c>
      <c r="E796" s="43">
        <f t="shared" si="79"/>
        <v>1575</v>
      </c>
      <c r="F796" s="43" t="s">
        <v>41</v>
      </c>
      <c r="G796" s="43">
        <f t="shared" si="80"/>
        <v>36264</v>
      </c>
      <c r="H796" s="36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</row>
    <row r="797" spans="1:23" x14ac:dyDescent="0.2">
      <c r="A797" s="62">
        <v>5</v>
      </c>
      <c r="B797" s="103">
        <v>45754</v>
      </c>
      <c r="C797" s="43">
        <v>4200</v>
      </c>
      <c r="D797" s="43">
        <f t="shared" si="78"/>
        <v>2625</v>
      </c>
      <c r="E797" s="43">
        <f t="shared" si="79"/>
        <v>1575</v>
      </c>
      <c r="F797" s="43" t="s">
        <v>41</v>
      </c>
      <c r="G797" s="43">
        <f t="shared" si="80"/>
        <v>32064</v>
      </c>
      <c r="H797" s="36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</row>
    <row r="798" spans="1:23" x14ac:dyDescent="0.2">
      <c r="A798" s="62">
        <v>6</v>
      </c>
      <c r="B798" s="103">
        <v>45754</v>
      </c>
      <c r="C798" s="43">
        <v>32064</v>
      </c>
      <c r="D798" s="43">
        <f t="shared" si="78"/>
        <v>20040</v>
      </c>
      <c r="E798" s="43">
        <f t="shared" si="79"/>
        <v>12024</v>
      </c>
      <c r="F798" s="43" t="s">
        <v>41</v>
      </c>
      <c r="G798" s="43">
        <f t="shared" si="80"/>
        <v>0</v>
      </c>
      <c r="H798" s="36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</row>
    <row r="799" spans="1:23" x14ac:dyDescent="0.2">
      <c r="A799" s="62">
        <v>7</v>
      </c>
      <c r="B799" s="103"/>
      <c r="C799" s="43"/>
      <c r="D799" s="43">
        <f t="shared" si="78"/>
        <v>0</v>
      </c>
      <c r="E799" s="43">
        <f t="shared" si="79"/>
        <v>0</v>
      </c>
      <c r="F799" s="43" t="s">
        <v>107</v>
      </c>
      <c r="G799" s="43">
        <f t="shared" si="80"/>
        <v>0</v>
      </c>
      <c r="H799" s="36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</row>
    <row r="800" spans="1:23" x14ac:dyDescent="0.2">
      <c r="A800" s="62">
        <v>8</v>
      </c>
      <c r="B800" s="103"/>
      <c r="C800" s="43"/>
      <c r="D800" s="43">
        <f t="shared" si="78"/>
        <v>0</v>
      </c>
      <c r="E800" s="43">
        <f t="shared" si="79"/>
        <v>0</v>
      </c>
      <c r="F800" s="43" t="s">
        <v>107</v>
      </c>
      <c r="G800" s="43">
        <f t="shared" si="80"/>
        <v>0</v>
      </c>
      <c r="H800" s="36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</row>
    <row r="801" spans="1:23" x14ac:dyDescent="0.2">
      <c r="A801" s="62">
        <v>9</v>
      </c>
      <c r="B801" s="103"/>
      <c r="C801" s="65"/>
      <c r="D801" s="43">
        <f t="shared" si="78"/>
        <v>0</v>
      </c>
      <c r="E801" s="43">
        <f t="shared" si="79"/>
        <v>0</v>
      </c>
      <c r="F801" s="43" t="s">
        <v>107</v>
      </c>
      <c r="G801" s="43">
        <f t="shared" si="80"/>
        <v>0</v>
      </c>
      <c r="H801" s="36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</row>
    <row r="802" spans="1:23" x14ac:dyDescent="0.2">
      <c r="A802" s="62">
        <v>10</v>
      </c>
      <c r="B802" s="103"/>
      <c r="C802" s="65"/>
      <c r="D802" s="43">
        <f t="shared" si="78"/>
        <v>0</v>
      </c>
      <c r="E802" s="43">
        <f t="shared" si="79"/>
        <v>0</v>
      </c>
      <c r="F802" s="43" t="s">
        <v>107</v>
      </c>
      <c r="G802" s="43">
        <f t="shared" si="80"/>
        <v>0</v>
      </c>
      <c r="H802" s="36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</row>
    <row r="803" spans="1:23" x14ac:dyDescent="0.2">
      <c r="A803" s="62">
        <v>11</v>
      </c>
      <c r="B803" s="103"/>
      <c r="C803" s="65"/>
      <c r="D803" s="43">
        <f t="shared" si="78"/>
        <v>0</v>
      </c>
      <c r="E803" s="43">
        <f t="shared" si="79"/>
        <v>0</v>
      </c>
      <c r="F803" s="43" t="s">
        <v>107</v>
      </c>
      <c r="G803" s="43">
        <f t="shared" si="80"/>
        <v>0</v>
      </c>
      <c r="H803" s="36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</row>
    <row r="804" spans="1:23" x14ac:dyDescent="0.2">
      <c r="A804" s="62">
        <v>12</v>
      </c>
      <c r="B804" s="103"/>
      <c r="C804" s="65"/>
      <c r="D804" s="43">
        <f t="shared" si="78"/>
        <v>0</v>
      </c>
      <c r="E804" s="43">
        <f t="shared" si="79"/>
        <v>0</v>
      </c>
      <c r="F804" s="43" t="s">
        <v>107</v>
      </c>
      <c r="G804" s="43">
        <f t="shared" si="80"/>
        <v>0</v>
      </c>
      <c r="H804" s="36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</row>
    <row r="805" spans="1:23" x14ac:dyDescent="0.2">
      <c r="A805" s="62">
        <v>13</v>
      </c>
      <c r="B805" s="103"/>
      <c r="C805" s="65"/>
      <c r="D805" s="43">
        <f t="shared" si="78"/>
        <v>0</v>
      </c>
      <c r="E805" s="43">
        <f t="shared" si="79"/>
        <v>0</v>
      </c>
      <c r="F805" s="43" t="s">
        <v>107</v>
      </c>
      <c r="G805" s="43">
        <f t="shared" si="80"/>
        <v>0</v>
      </c>
      <c r="H805" s="36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</row>
    <row r="806" spans="1:23" x14ac:dyDescent="0.2">
      <c r="A806" s="62">
        <v>14</v>
      </c>
      <c r="B806" s="103"/>
      <c r="C806" s="65"/>
      <c r="D806" s="43">
        <f t="shared" si="78"/>
        <v>0</v>
      </c>
      <c r="E806" s="43">
        <f t="shared" si="79"/>
        <v>0</v>
      </c>
      <c r="F806" s="43" t="s">
        <v>107</v>
      </c>
      <c r="G806" s="43">
        <f t="shared" si="80"/>
        <v>0</v>
      </c>
      <c r="H806" s="36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</row>
    <row r="807" spans="1:23" x14ac:dyDescent="0.2">
      <c r="A807" s="62">
        <v>15</v>
      </c>
      <c r="B807" s="103"/>
      <c r="C807" s="65"/>
      <c r="D807" s="43">
        <f t="shared" si="78"/>
        <v>0</v>
      </c>
      <c r="E807" s="43">
        <f t="shared" si="79"/>
        <v>0</v>
      </c>
      <c r="F807" s="43" t="s">
        <v>107</v>
      </c>
      <c r="G807" s="43">
        <f t="shared" si="80"/>
        <v>0</v>
      </c>
      <c r="H807" s="36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</row>
    <row r="808" spans="1:23" x14ac:dyDescent="0.2">
      <c r="A808" s="62">
        <v>16</v>
      </c>
      <c r="B808" s="103"/>
      <c r="C808" s="65"/>
      <c r="D808" s="43">
        <f t="shared" si="78"/>
        <v>0</v>
      </c>
      <c r="E808" s="43">
        <f t="shared" si="79"/>
        <v>0</v>
      </c>
      <c r="F808" s="43" t="s">
        <v>107</v>
      </c>
      <c r="G808" s="43">
        <f t="shared" si="80"/>
        <v>0</v>
      </c>
      <c r="H808" s="36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</row>
    <row r="809" spans="1:23" x14ac:dyDescent="0.2">
      <c r="A809" s="62">
        <v>17</v>
      </c>
      <c r="B809" s="103"/>
      <c r="C809" s="65"/>
      <c r="D809" s="43">
        <f t="shared" si="78"/>
        <v>0</v>
      </c>
      <c r="E809" s="43">
        <f t="shared" si="79"/>
        <v>0</v>
      </c>
      <c r="F809" s="43" t="s">
        <v>107</v>
      </c>
      <c r="G809" s="43">
        <f t="shared" si="80"/>
        <v>0</v>
      </c>
      <c r="H809" s="36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</row>
    <row r="810" spans="1:23" x14ac:dyDescent="0.2">
      <c r="A810" s="89"/>
      <c r="B810" s="90"/>
      <c r="C810" s="91"/>
      <c r="D810" s="111">
        <f>SUMIFS(D793:D809, F793:F809, "Y")</f>
        <v>30000</v>
      </c>
      <c r="E810" s="111">
        <f>SUMIFS(E793:E809, F793:F809, "Y")</f>
        <v>18000</v>
      </c>
      <c r="F810" s="92">
        <f>(SUMIFS(D793:D809, F793:F809, "Y") + SUMIFS(E793:E809, F793:F809, "Y"))</f>
        <v>48000</v>
      </c>
      <c r="G810" s="91"/>
      <c r="H810" s="93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</row>
    <row r="811" spans="1:23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</row>
    <row r="812" spans="1:23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</row>
    <row r="813" spans="1:23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</row>
    <row r="814" spans="1:23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</row>
    <row r="815" spans="1:23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</row>
    <row r="816" spans="1:23" x14ac:dyDescent="0.2">
      <c r="A816" s="256" t="s">
        <v>191</v>
      </c>
      <c r="B816" s="257"/>
      <c r="C816" s="119"/>
      <c r="D816" s="119"/>
      <c r="E816" s="119"/>
      <c r="F816" s="119"/>
      <c r="G816" s="119"/>
      <c r="H816" s="12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</row>
    <row r="817" spans="1:23" x14ac:dyDescent="0.2">
      <c r="A817" s="258" t="s">
        <v>7</v>
      </c>
      <c r="B817" s="259"/>
      <c r="C817" s="50">
        <v>100000</v>
      </c>
      <c r="D817" s="30"/>
      <c r="E817" s="30"/>
      <c r="F817" s="30"/>
      <c r="G817" s="30"/>
      <c r="H817" s="123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</row>
    <row r="818" spans="1:23" x14ac:dyDescent="0.2">
      <c r="A818" s="258" t="s">
        <v>8</v>
      </c>
      <c r="B818" s="259"/>
      <c r="C818" s="150">
        <v>45726</v>
      </c>
      <c r="D818" s="30"/>
      <c r="E818" s="49"/>
      <c r="F818" s="49"/>
      <c r="G818" s="49"/>
      <c r="H818" s="125" t="s">
        <v>10</v>
      </c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</row>
    <row r="819" spans="1:23" x14ac:dyDescent="0.2">
      <c r="A819" s="258" t="s">
        <v>152</v>
      </c>
      <c r="B819" s="259"/>
      <c r="C819" s="50">
        <v>15000</v>
      </c>
      <c r="D819" s="66"/>
      <c r="E819" s="260" t="s">
        <v>14</v>
      </c>
      <c r="F819" s="126" t="s">
        <v>15</v>
      </c>
      <c r="G819" s="50">
        <v>0</v>
      </c>
      <c r="H819" s="127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</row>
    <row r="820" spans="1:23" x14ac:dyDescent="0.2">
      <c r="A820" s="258" t="s">
        <v>17</v>
      </c>
      <c r="B820" s="259"/>
      <c r="C820" s="50">
        <v>3</v>
      </c>
      <c r="D820" s="66"/>
      <c r="E820" s="261"/>
      <c r="F820" s="126" t="s">
        <v>18</v>
      </c>
      <c r="G820" s="50">
        <v>100000</v>
      </c>
      <c r="H820" s="127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</row>
    <row r="821" spans="1:23" x14ac:dyDescent="0.2">
      <c r="A821" s="258" t="s">
        <v>20</v>
      </c>
      <c r="B821" s="259"/>
      <c r="C821" s="50">
        <f>C819*C820</f>
        <v>45000</v>
      </c>
      <c r="D821" s="30"/>
      <c r="E821" s="128"/>
      <c r="F821" s="30"/>
      <c r="G821" s="66"/>
      <c r="H821" s="123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</row>
    <row r="822" spans="1:23" x14ac:dyDescent="0.2">
      <c r="A822" s="258" t="s">
        <v>22</v>
      </c>
      <c r="B822" s="259"/>
      <c r="C822" s="121">
        <f>C817+C821</f>
        <v>145000</v>
      </c>
      <c r="D822" s="30"/>
      <c r="E822" s="30"/>
      <c r="F822" s="30"/>
      <c r="G822" s="30"/>
      <c r="H822" s="123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</row>
    <row r="823" spans="1:23" x14ac:dyDescent="0.2">
      <c r="A823" s="258" t="s">
        <v>24</v>
      </c>
      <c r="B823" s="259"/>
      <c r="C823" s="146">
        <v>1450</v>
      </c>
      <c r="D823" s="30" t="s">
        <v>192</v>
      </c>
      <c r="E823" s="30"/>
      <c r="F823" s="30"/>
      <c r="G823" s="30"/>
      <c r="H823" s="123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</row>
    <row r="824" spans="1:23" x14ac:dyDescent="0.2">
      <c r="A824" s="258" t="s">
        <v>28</v>
      </c>
      <c r="B824" s="259"/>
      <c r="C824" s="130" t="s">
        <v>179</v>
      </c>
      <c r="D824" s="30"/>
      <c r="E824" s="30"/>
      <c r="F824" s="30"/>
      <c r="G824" s="30"/>
      <c r="H824" s="123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</row>
    <row r="825" spans="1:23" x14ac:dyDescent="0.2">
      <c r="A825" s="131" t="s">
        <v>31</v>
      </c>
      <c r="B825" s="132" t="s">
        <v>106</v>
      </c>
      <c r="C825" s="133" t="s">
        <v>33</v>
      </c>
      <c r="D825" s="133" t="s">
        <v>34</v>
      </c>
      <c r="E825" s="133" t="s">
        <v>35</v>
      </c>
      <c r="F825" s="133" t="s">
        <v>36</v>
      </c>
      <c r="G825" s="133" t="s">
        <v>37</v>
      </c>
      <c r="H825" s="123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</row>
    <row r="826" spans="1:23" x14ac:dyDescent="0.2">
      <c r="A826" s="134">
        <v>0</v>
      </c>
      <c r="B826" s="135"/>
      <c r="C826" s="135"/>
      <c r="D826" s="135"/>
      <c r="E826" s="135"/>
      <c r="F826" s="135"/>
      <c r="G826" s="50">
        <f>C822</f>
        <v>145000</v>
      </c>
      <c r="H826" s="123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</row>
    <row r="827" spans="1:23" x14ac:dyDescent="0.2">
      <c r="A827" s="134">
        <v>1</v>
      </c>
      <c r="B827" s="137">
        <v>45733</v>
      </c>
      <c r="C827" s="50">
        <v>8700</v>
      </c>
      <c r="D827" s="50">
        <f t="shared" ref="D827:D845" si="81">C827/1.45</f>
        <v>6000</v>
      </c>
      <c r="E827" s="50">
        <f t="shared" ref="E827:E845" si="82">C827-D827</f>
        <v>2700</v>
      </c>
      <c r="F827" s="50" t="s">
        <v>41</v>
      </c>
      <c r="G827" s="50">
        <f t="shared" ref="G827:G845" si="83">(G826-C827)</f>
        <v>136300</v>
      </c>
      <c r="H827" s="123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</row>
    <row r="828" spans="1:23" x14ac:dyDescent="0.2">
      <c r="A828" s="134">
        <v>2</v>
      </c>
      <c r="B828" s="137">
        <v>45740</v>
      </c>
      <c r="C828" s="50">
        <v>8700</v>
      </c>
      <c r="D828" s="50">
        <f t="shared" si="81"/>
        <v>6000</v>
      </c>
      <c r="E828" s="50">
        <f t="shared" si="82"/>
        <v>2700</v>
      </c>
      <c r="F828" s="50" t="s">
        <v>41</v>
      </c>
      <c r="G828" s="50">
        <f t="shared" si="83"/>
        <v>127600</v>
      </c>
      <c r="H828" s="123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</row>
    <row r="829" spans="1:23" x14ac:dyDescent="0.2">
      <c r="A829" s="134">
        <v>3</v>
      </c>
      <c r="B829" s="137">
        <v>45747</v>
      </c>
      <c r="C829" s="50">
        <v>8700</v>
      </c>
      <c r="D829" s="50">
        <f t="shared" si="81"/>
        <v>6000</v>
      </c>
      <c r="E829" s="50">
        <f t="shared" si="82"/>
        <v>2700</v>
      </c>
      <c r="F829" s="50" t="s">
        <v>41</v>
      </c>
      <c r="G829" s="50">
        <f t="shared" si="83"/>
        <v>118900</v>
      </c>
      <c r="H829" s="123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</row>
    <row r="830" spans="1:23" x14ac:dyDescent="0.2">
      <c r="A830" s="134">
        <v>4</v>
      </c>
      <c r="B830" s="137">
        <v>45754</v>
      </c>
      <c r="C830" s="50">
        <v>5800</v>
      </c>
      <c r="D830" s="50">
        <f t="shared" si="81"/>
        <v>4000</v>
      </c>
      <c r="E830" s="50">
        <f t="shared" si="82"/>
        <v>1800</v>
      </c>
      <c r="F830" s="50" t="s">
        <v>41</v>
      </c>
      <c r="G830" s="50">
        <f t="shared" si="83"/>
        <v>113100</v>
      </c>
      <c r="H830" s="123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</row>
    <row r="831" spans="1:23" x14ac:dyDescent="0.2">
      <c r="A831" s="134">
        <v>5</v>
      </c>
      <c r="B831" s="137">
        <v>45761</v>
      </c>
      <c r="C831" s="50">
        <v>5800</v>
      </c>
      <c r="D831" s="50">
        <f t="shared" si="81"/>
        <v>4000</v>
      </c>
      <c r="E831" s="50">
        <f t="shared" si="82"/>
        <v>1800</v>
      </c>
      <c r="F831" s="50" t="s">
        <v>41</v>
      </c>
      <c r="G831" s="50">
        <f t="shared" si="83"/>
        <v>107300</v>
      </c>
      <c r="H831" s="123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</row>
    <row r="832" spans="1:23" x14ac:dyDescent="0.2">
      <c r="A832" s="134">
        <v>6</v>
      </c>
      <c r="B832" s="137">
        <v>45768</v>
      </c>
      <c r="C832" s="50">
        <v>0</v>
      </c>
      <c r="D832" s="50">
        <f t="shared" si="81"/>
        <v>0</v>
      </c>
      <c r="E832" s="50">
        <f t="shared" si="82"/>
        <v>0</v>
      </c>
      <c r="F832" s="50" t="s">
        <v>168</v>
      </c>
      <c r="G832" s="50">
        <f t="shared" si="83"/>
        <v>107300</v>
      </c>
      <c r="H832" s="123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</row>
    <row r="833" spans="1:23" x14ac:dyDescent="0.2">
      <c r="A833" s="134">
        <v>7</v>
      </c>
      <c r="B833" s="137">
        <v>45775</v>
      </c>
      <c r="C833" s="50">
        <v>4350</v>
      </c>
      <c r="D833" s="50">
        <f t="shared" si="81"/>
        <v>3000</v>
      </c>
      <c r="E833" s="50">
        <f t="shared" si="82"/>
        <v>1350</v>
      </c>
      <c r="F833" s="50" t="s">
        <v>41</v>
      </c>
      <c r="G833" s="50">
        <f t="shared" si="83"/>
        <v>102950</v>
      </c>
      <c r="H833" s="123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</row>
    <row r="834" spans="1:23" x14ac:dyDescent="0.2">
      <c r="A834" s="134">
        <v>8</v>
      </c>
      <c r="B834" s="137">
        <v>45782</v>
      </c>
      <c r="C834" s="50">
        <v>2900</v>
      </c>
      <c r="D834" s="50">
        <f t="shared" si="81"/>
        <v>2000</v>
      </c>
      <c r="E834" s="50">
        <f t="shared" si="82"/>
        <v>900</v>
      </c>
      <c r="F834" s="50" t="s">
        <v>41</v>
      </c>
      <c r="G834" s="50">
        <f t="shared" si="83"/>
        <v>100050</v>
      </c>
      <c r="H834" s="123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</row>
    <row r="835" spans="1:23" x14ac:dyDescent="0.2">
      <c r="A835" s="134">
        <v>9</v>
      </c>
      <c r="B835" s="137">
        <v>45789</v>
      </c>
      <c r="C835" s="135">
        <v>5800</v>
      </c>
      <c r="D835" s="50">
        <f t="shared" si="81"/>
        <v>4000</v>
      </c>
      <c r="E835" s="50">
        <f t="shared" si="82"/>
        <v>1800</v>
      </c>
      <c r="F835" s="50" t="s">
        <v>107</v>
      </c>
      <c r="G835" s="50">
        <f t="shared" si="83"/>
        <v>94250</v>
      </c>
      <c r="H835" s="123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</row>
    <row r="836" spans="1:23" x14ac:dyDescent="0.2">
      <c r="A836" s="134">
        <v>10</v>
      </c>
      <c r="B836" s="137">
        <v>45796</v>
      </c>
      <c r="C836" s="135"/>
      <c r="D836" s="50">
        <f t="shared" si="81"/>
        <v>0</v>
      </c>
      <c r="E836" s="50">
        <f t="shared" si="82"/>
        <v>0</v>
      </c>
      <c r="F836" s="50" t="s">
        <v>107</v>
      </c>
      <c r="G836" s="50">
        <f t="shared" si="83"/>
        <v>94250</v>
      </c>
      <c r="H836" s="123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</row>
    <row r="837" spans="1:23" x14ac:dyDescent="0.2">
      <c r="A837" s="134">
        <v>11</v>
      </c>
      <c r="B837" s="137">
        <v>45803</v>
      </c>
      <c r="C837" s="135"/>
      <c r="D837" s="50">
        <f t="shared" si="81"/>
        <v>0</v>
      </c>
      <c r="E837" s="50">
        <f t="shared" si="82"/>
        <v>0</v>
      </c>
      <c r="F837" s="50" t="s">
        <v>107</v>
      </c>
      <c r="G837" s="50">
        <f t="shared" si="83"/>
        <v>94250</v>
      </c>
      <c r="H837" s="123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</row>
    <row r="838" spans="1:23" x14ac:dyDescent="0.2">
      <c r="A838" s="134">
        <v>12</v>
      </c>
      <c r="B838" s="137">
        <v>45810</v>
      </c>
      <c r="C838" s="135"/>
      <c r="D838" s="50">
        <f t="shared" si="81"/>
        <v>0</v>
      </c>
      <c r="E838" s="50">
        <f t="shared" si="82"/>
        <v>0</v>
      </c>
      <c r="F838" s="50" t="s">
        <v>107</v>
      </c>
      <c r="G838" s="50">
        <f t="shared" si="83"/>
        <v>94250</v>
      </c>
      <c r="H838" s="123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</row>
    <row r="839" spans="1:23" x14ac:dyDescent="0.2">
      <c r="A839" s="134">
        <v>13</v>
      </c>
      <c r="B839" s="137">
        <v>45817</v>
      </c>
      <c r="C839" s="135"/>
      <c r="D839" s="50">
        <f t="shared" si="81"/>
        <v>0</v>
      </c>
      <c r="E839" s="50">
        <f t="shared" si="82"/>
        <v>0</v>
      </c>
      <c r="F839" s="50" t="s">
        <v>107</v>
      </c>
      <c r="G839" s="50">
        <f t="shared" si="83"/>
        <v>94250</v>
      </c>
      <c r="H839" s="123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</row>
    <row r="840" spans="1:23" x14ac:dyDescent="0.2">
      <c r="A840" s="134">
        <v>14</v>
      </c>
      <c r="B840" s="137">
        <v>45824</v>
      </c>
      <c r="C840" s="135"/>
      <c r="D840" s="50">
        <f t="shared" si="81"/>
        <v>0</v>
      </c>
      <c r="E840" s="50">
        <f t="shared" si="82"/>
        <v>0</v>
      </c>
      <c r="F840" s="50" t="s">
        <v>107</v>
      </c>
      <c r="G840" s="50">
        <f t="shared" si="83"/>
        <v>94250</v>
      </c>
      <c r="H840" s="123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</row>
    <row r="841" spans="1:23" x14ac:dyDescent="0.2">
      <c r="A841" s="134">
        <v>15</v>
      </c>
      <c r="B841" s="137">
        <v>45831</v>
      </c>
      <c r="C841" s="135"/>
      <c r="D841" s="50">
        <f t="shared" si="81"/>
        <v>0</v>
      </c>
      <c r="E841" s="50">
        <f t="shared" si="82"/>
        <v>0</v>
      </c>
      <c r="F841" s="50" t="s">
        <v>107</v>
      </c>
      <c r="G841" s="50">
        <f t="shared" si="83"/>
        <v>94250</v>
      </c>
      <c r="H841" s="123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</row>
    <row r="842" spans="1:23" x14ac:dyDescent="0.2">
      <c r="A842" s="134">
        <v>16</v>
      </c>
      <c r="B842" s="137">
        <v>45838</v>
      </c>
      <c r="C842" s="135"/>
      <c r="D842" s="50">
        <f t="shared" si="81"/>
        <v>0</v>
      </c>
      <c r="E842" s="50">
        <f t="shared" si="82"/>
        <v>0</v>
      </c>
      <c r="F842" s="50" t="s">
        <v>107</v>
      </c>
      <c r="G842" s="50">
        <f t="shared" si="83"/>
        <v>94250</v>
      </c>
      <c r="H842" s="123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</row>
    <row r="843" spans="1:23" x14ac:dyDescent="0.2">
      <c r="A843" s="134">
        <v>17</v>
      </c>
      <c r="B843" s="137">
        <v>45845</v>
      </c>
      <c r="C843" s="135"/>
      <c r="D843" s="50">
        <f t="shared" si="81"/>
        <v>0</v>
      </c>
      <c r="E843" s="50">
        <f t="shared" si="82"/>
        <v>0</v>
      </c>
      <c r="F843" s="50" t="s">
        <v>107</v>
      </c>
      <c r="G843" s="50">
        <f t="shared" si="83"/>
        <v>94250</v>
      </c>
      <c r="H843" s="123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</row>
    <row r="844" spans="1:23" x14ac:dyDescent="0.2">
      <c r="A844" s="134">
        <v>18</v>
      </c>
      <c r="B844" s="137">
        <v>45852</v>
      </c>
      <c r="C844" s="135"/>
      <c r="D844" s="50">
        <f t="shared" si="81"/>
        <v>0</v>
      </c>
      <c r="E844" s="50">
        <f t="shared" si="82"/>
        <v>0</v>
      </c>
      <c r="F844" s="50" t="s">
        <v>107</v>
      </c>
      <c r="G844" s="50">
        <f t="shared" si="83"/>
        <v>94250</v>
      </c>
      <c r="H844" s="123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</row>
    <row r="845" spans="1:23" x14ac:dyDescent="0.2">
      <c r="A845" s="134">
        <v>19</v>
      </c>
      <c r="B845" s="137">
        <v>45859</v>
      </c>
      <c r="C845" s="135"/>
      <c r="D845" s="50">
        <f t="shared" si="81"/>
        <v>0</v>
      </c>
      <c r="E845" s="50">
        <f t="shared" si="82"/>
        <v>0</v>
      </c>
      <c r="F845" s="50" t="s">
        <v>107</v>
      </c>
      <c r="G845" s="50">
        <f t="shared" si="83"/>
        <v>94250</v>
      </c>
      <c r="H845" s="123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</row>
    <row r="846" spans="1:23" x14ac:dyDescent="0.2">
      <c r="A846" s="138"/>
      <c r="B846" s="139"/>
      <c r="C846" s="140"/>
      <c r="D846" s="141">
        <f>SUMIFS(D827:D845, F827:F845, "Y")</f>
        <v>31000</v>
      </c>
      <c r="E846" s="142">
        <f>SUMIFS(E827:E845, F827:F845, "Y")</f>
        <v>13950</v>
      </c>
      <c r="F846" s="143">
        <f>(SUMIFS(D827:D845, F827:F845, "Y") + SUMIFS(E827:E845, F827:F845, "Y"))</f>
        <v>44950</v>
      </c>
      <c r="G846" s="140"/>
      <c r="H846" s="144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</row>
    <row r="847" spans="1:23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</row>
    <row r="848" spans="1:23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</row>
    <row r="849" spans="1:23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</row>
    <row r="850" spans="1:23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</row>
    <row r="851" spans="1:23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</row>
    <row r="852" spans="1:23" x14ac:dyDescent="0.2">
      <c r="A852" s="256" t="s">
        <v>193</v>
      </c>
      <c r="B852" s="257"/>
      <c r="C852" s="119"/>
      <c r="D852" s="119"/>
      <c r="E852" s="119"/>
      <c r="F852" s="119"/>
      <c r="G852" s="119"/>
      <c r="H852" s="120"/>
      <c r="I852" s="30"/>
      <c r="R852" s="30"/>
      <c r="S852" s="30"/>
      <c r="T852" s="30"/>
      <c r="U852" s="30"/>
      <c r="V852" s="30"/>
      <c r="W852" s="30"/>
    </row>
    <row r="853" spans="1:23" x14ac:dyDescent="0.2">
      <c r="A853" s="258" t="s">
        <v>7</v>
      </c>
      <c r="B853" s="259"/>
      <c r="C853" s="50">
        <v>100000</v>
      </c>
      <c r="D853" s="30"/>
      <c r="E853" s="30"/>
      <c r="F853" s="30"/>
      <c r="G853" s="30"/>
      <c r="H853" s="123"/>
      <c r="I853" s="30"/>
      <c r="R853" s="30"/>
      <c r="S853" s="30"/>
      <c r="T853" s="30"/>
      <c r="U853" s="30"/>
      <c r="V853" s="30"/>
      <c r="W853" s="30"/>
    </row>
    <row r="854" spans="1:23" x14ac:dyDescent="0.2">
      <c r="A854" s="258" t="s">
        <v>8</v>
      </c>
      <c r="B854" s="259"/>
      <c r="C854" s="150">
        <v>45733</v>
      </c>
      <c r="D854" s="30"/>
      <c r="E854" s="49"/>
      <c r="F854" s="49"/>
      <c r="G854" s="49"/>
      <c r="H854" s="125" t="s">
        <v>10</v>
      </c>
      <c r="I854" s="30"/>
      <c r="R854" s="30"/>
      <c r="S854" s="30"/>
      <c r="T854" s="30"/>
      <c r="U854" s="30"/>
      <c r="V854" s="30"/>
      <c r="W854" s="30"/>
    </row>
    <row r="855" spans="1:23" x14ac:dyDescent="0.2">
      <c r="A855" s="258" t="s">
        <v>152</v>
      </c>
      <c r="B855" s="259"/>
      <c r="C855" s="50">
        <v>15000</v>
      </c>
      <c r="D855" s="66"/>
      <c r="E855" s="260" t="s">
        <v>14</v>
      </c>
      <c r="F855" s="126" t="s">
        <v>15</v>
      </c>
      <c r="G855" s="50">
        <v>0</v>
      </c>
      <c r="H855" s="127"/>
      <c r="I855" s="30"/>
      <c r="R855" s="30"/>
      <c r="S855" s="30"/>
      <c r="T855" s="30"/>
      <c r="U855" s="30"/>
      <c r="V855" s="30"/>
      <c r="W855" s="30"/>
    </row>
    <row r="856" spans="1:23" x14ac:dyDescent="0.2">
      <c r="A856" s="258" t="s">
        <v>17</v>
      </c>
      <c r="B856" s="259"/>
      <c r="C856" s="50">
        <v>2</v>
      </c>
      <c r="D856" s="66"/>
      <c r="E856" s="261"/>
      <c r="F856" s="126" t="s">
        <v>18</v>
      </c>
      <c r="G856" s="50">
        <v>100000</v>
      </c>
      <c r="H856" s="127"/>
      <c r="I856" s="30"/>
      <c r="R856" s="30"/>
      <c r="S856" s="30"/>
      <c r="T856" s="30"/>
      <c r="U856" s="30"/>
      <c r="V856" s="30"/>
      <c r="W856" s="30"/>
    </row>
    <row r="857" spans="1:23" x14ac:dyDescent="0.2">
      <c r="A857" s="258" t="s">
        <v>20</v>
      </c>
      <c r="B857" s="259"/>
      <c r="C857" s="50">
        <f>C855*C856</f>
        <v>30000</v>
      </c>
      <c r="D857" s="30"/>
      <c r="E857" s="128"/>
      <c r="F857" s="30"/>
      <c r="G857" s="66"/>
      <c r="H857" s="123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</row>
    <row r="858" spans="1:23" x14ac:dyDescent="0.2">
      <c r="A858" s="258" t="s">
        <v>22</v>
      </c>
      <c r="B858" s="259"/>
      <c r="C858" s="121">
        <f>C853+C857</f>
        <v>130000</v>
      </c>
      <c r="D858" s="30"/>
      <c r="E858" s="30"/>
      <c r="F858" s="30"/>
      <c r="G858" s="30"/>
      <c r="H858" s="123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</row>
    <row r="859" spans="1:23" x14ac:dyDescent="0.2">
      <c r="A859" s="258" t="s">
        <v>24</v>
      </c>
      <c r="B859" s="259"/>
      <c r="C859" s="146">
        <v>2200</v>
      </c>
      <c r="D859" s="30" t="s">
        <v>183</v>
      </c>
      <c r="E859" s="30"/>
      <c r="F859" s="30"/>
      <c r="G859" s="30"/>
      <c r="H859" s="123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</row>
    <row r="860" spans="1:23" x14ac:dyDescent="0.2">
      <c r="A860" s="258" t="s">
        <v>28</v>
      </c>
      <c r="B860" s="259"/>
      <c r="C860" s="130" t="s">
        <v>179</v>
      </c>
      <c r="D860" s="30"/>
      <c r="E860" s="30"/>
      <c r="F860" s="30"/>
      <c r="G860" s="30"/>
      <c r="H860" s="123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</row>
    <row r="861" spans="1:23" x14ac:dyDescent="0.2">
      <c r="A861" s="131" t="s">
        <v>31</v>
      </c>
      <c r="B861" s="132" t="s">
        <v>106</v>
      </c>
      <c r="C861" s="133" t="s">
        <v>33</v>
      </c>
      <c r="D861" s="133" t="s">
        <v>34</v>
      </c>
      <c r="E861" s="133" t="s">
        <v>35</v>
      </c>
      <c r="F861" s="133" t="s">
        <v>36</v>
      </c>
      <c r="G861" s="133" t="s">
        <v>37</v>
      </c>
      <c r="H861" s="123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</row>
    <row r="862" spans="1:23" x14ac:dyDescent="0.2">
      <c r="A862" s="134">
        <v>0</v>
      </c>
      <c r="B862" s="135"/>
      <c r="C862" s="135"/>
      <c r="D862" s="135"/>
      <c r="E862" s="135"/>
      <c r="F862" s="135"/>
      <c r="G862" s="50">
        <f>C858</f>
        <v>130000</v>
      </c>
      <c r="H862" s="123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</row>
    <row r="863" spans="1:23" x14ac:dyDescent="0.2">
      <c r="A863" s="134">
        <v>1</v>
      </c>
      <c r="B863" s="137">
        <v>45740</v>
      </c>
      <c r="C863" s="135">
        <v>11000</v>
      </c>
      <c r="D863" s="50">
        <f t="shared" ref="D863:D879" si="84">C863/1.4</f>
        <v>7857.1428571428578</v>
      </c>
      <c r="E863" s="50">
        <f t="shared" ref="E863:E879" si="85">C863-D863</f>
        <v>3142.8571428571422</v>
      </c>
      <c r="F863" s="50" t="s">
        <v>41</v>
      </c>
      <c r="G863" s="50">
        <f t="shared" ref="G863:G879" si="86">(G862-C863)</f>
        <v>119000</v>
      </c>
      <c r="H863" s="123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</row>
    <row r="864" spans="1:23" x14ac:dyDescent="0.2">
      <c r="A864" s="134">
        <v>2</v>
      </c>
      <c r="B864" s="137">
        <v>45747</v>
      </c>
      <c r="C864" s="135">
        <v>8800</v>
      </c>
      <c r="D864" s="50">
        <f t="shared" si="84"/>
        <v>6285.7142857142862</v>
      </c>
      <c r="E864" s="50">
        <f t="shared" si="85"/>
        <v>2514.2857142857138</v>
      </c>
      <c r="F864" s="50" t="s">
        <v>41</v>
      </c>
      <c r="G864" s="50">
        <f t="shared" si="86"/>
        <v>110200</v>
      </c>
      <c r="H864" s="123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</row>
    <row r="865" spans="1:23" x14ac:dyDescent="0.2">
      <c r="A865" s="134">
        <v>3</v>
      </c>
      <c r="B865" s="137">
        <v>45754</v>
      </c>
      <c r="C865" s="135">
        <v>6600</v>
      </c>
      <c r="D865" s="50">
        <f t="shared" si="84"/>
        <v>4714.2857142857147</v>
      </c>
      <c r="E865" s="50">
        <f t="shared" si="85"/>
        <v>1885.7142857142853</v>
      </c>
      <c r="F865" s="50" t="s">
        <v>41</v>
      </c>
      <c r="G865" s="50">
        <f t="shared" si="86"/>
        <v>103600</v>
      </c>
      <c r="H865" s="123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</row>
    <row r="866" spans="1:23" x14ac:dyDescent="0.2">
      <c r="A866" s="134">
        <v>4</v>
      </c>
      <c r="B866" s="137">
        <v>45761</v>
      </c>
      <c r="C866" s="135">
        <v>2200</v>
      </c>
      <c r="D866" s="50">
        <f t="shared" si="84"/>
        <v>1571.4285714285716</v>
      </c>
      <c r="E866" s="50">
        <f t="shared" si="85"/>
        <v>628.57142857142844</v>
      </c>
      <c r="F866" s="50" t="s">
        <v>41</v>
      </c>
      <c r="G866" s="50">
        <f t="shared" si="86"/>
        <v>101400</v>
      </c>
      <c r="H866" s="123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</row>
    <row r="867" spans="1:23" x14ac:dyDescent="0.2">
      <c r="A867" s="134">
        <v>5</v>
      </c>
      <c r="B867" s="137">
        <v>45768</v>
      </c>
      <c r="C867" s="135">
        <v>0</v>
      </c>
      <c r="D867" s="50">
        <f t="shared" si="84"/>
        <v>0</v>
      </c>
      <c r="E867" s="50">
        <f t="shared" si="85"/>
        <v>0</v>
      </c>
      <c r="F867" s="50" t="s">
        <v>168</v>
      </c>
      <c r="G867" s="50">
        <f t="shared" si="86"/>
        <v>101400</v>
      </c>
      <c r="H867" s="123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</row>
    <row r="868" spans="1:23" x14ac:dyDescent="0.2">
      <c r="A868" s="134">
        <v>6</v>
      </c>
      <c r="B868" s="137">
        <v>45775</v>
      </c>
      <c r="C868" s="135">
        <v>2200</v>
      </c>
      <c r="D868" s="50">
        <f t="shared" si="84"/>
        <v>1571.4285714285716</v>
      </c>
      <c r="E868" s="50">
        <f t="shared" si="85"/>
        <v>628.57142857142844</v>
      </c>
      <c r="F868" s="50" t="s">
        <v>41</v>
      </c>
      <c r="G868" s="50">
        <f t="shared" si="86"/>
        <v>99200</v>
      </c>
      <c r="H868" s="123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</row>
    <row r="869" spans="1:23" x14ac:dyDescent="0.2">
      <c r="A869" s="134">
        <v>7</v>
      </c>
      <c r="B869" s="137">
        <v>45782</v>
      </c>
      <c r="C869" s="135">
        <v>3200</v>
      </c>
      <c r="D869" s="50">
        <f t="shared" si="84"/>
        <v>2285.7142857142858</v>
      </c>
      <c r="E869" s="50">
        <f t="shared" si="85"/>
        <v>914.28571428571422</v>
      </c>
      <c r="F869" s="50" t="s">
        <v>41</v>
      </c>
      <c r="G869" s="50">
        <f t="shared" si="86"/>
        <v>96000</v>
      </c>
      <c r="H869" s="123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</row>
    <row r="870" spans="1:23" x14ac:dyDescent="0.2">
      <c r="A870" s="134">
        <v>8</v>
      </c>
      <c r="B870" s="137">
        <v>45789</v>
      </c>
      <c r="C870" s="135">
        <v>4400</v>
      </c>
      <c r="D870" s="50">
        <f t="shared" si="84"/>
        <v>3142.8571428571431</v>
      </c>
      <c r="E870" s="50">
        <f t="shared" si="85"/>
        <v>1257.1428571428569</v>
      </c>
      <c r="F870" s="50" t="s">
        <v>107</v>
      </c>
      <c r="G870" s="50">
        <f t="shared" si="86"/>
        <v>91600</v>
      </c>
      <c r="H870" s="123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</row>
    <row r="871" spans="1:23" x14ac:dyDescent="0.2">
      <c r="A871" s="134">
        <v>9</v>
      </c>
      <c r="B871" s="137">
        <v>45796</v>
      </c>
      <c r="C871" s="135"/>
      <c r="D871" s="50">
        <f t="shared" si="84"/>
        <v>0</v>
      </c>
      <c r="E871" s="50">
        <f t="shared" si="85"/>
        <v>0</v>
      </c>
      <c r="F871" s="135"/>
      <c r="G871" s="50">
        <f t="shared" si="86"/>
        <v>91600</v>
      </c>
      <c r="H871" s="123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</row>
    <row r="872" spans="1:23" x14ac:dyDescent="0.2">
      <c r="A872" s="134">
        <v>10</v>
      </c>
      <c r="B872" s="137">
        <v>45803</v>
      </c>
      <c r="C872" s="135"/>
      <c r="D872" s="50">
        <f t="shared" si="84"/>
        <v>0</v>
      </c>
      <c r="E872" s="50">
        <f t="shared" si="85"/>
        <v>0</v>
      </c>
      <c r="F872" s="135"/>
      <c r="G872" s="50">
        <f t="shared" si="86"/>
        <v>91600</v>
      </c>
      <c r="H872" s="123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</row>
    <row r="873" spans="1:23" x14ac:dyDescent="0.2">
      <c r="A873" s="134">
        <v>11</v>
      </c>
      <c r="B873" s="137">
        <v>45810</v>
      </c>
      <c r="C873" s="135"/>
      <c r="D873" s="50">
        <f t="shared" si="84"/>
        <v>0</v>
      </c>
      <c r="E873" s="50">
        <f t="shared" si="85"/>
        <v>0</v>
      </c>
      <c r="F873" s="135"/>
      <c r="G873" s="50">
        <f t="shared" si="86"/>
        <v>91600</v>
      </c>
      <c r="H873" s="123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</row>
    <row r="874" spans="1:23" x14ac:dyDescent="0.2">
      <c r="A874" s="134">
        <v>12</v>
      </c>
      <c r="B874" s="137">
        <v>45817</v>
      </c>
      <c r="C874" s="135"/>
      <c r="D874" s="50">
        <f t="shared" si="84"/>
        <v>0</v>
      </c>
      <c r="E874" s="50">
        <f t="shared" si="85"/>
        <v>0</v>
      </c>
      <c r="F874" s="135"/>
      <c r="G874" s="50">
        <f t="shared" si="86"/>
        <v>91600</v>
      </c>
      <c r="H874" s="123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</row>
    <row r="875" spans="1:23" x14ac:dyDescent="0.2">
      <c r="A875" s="134">
        <v>13</v>
      </c>
      <c r="B875" s="137">
        <v>45824</v>
      </c>
      <c r="C875" s="135"/>
      <c r="D875" s="50">
        <f t="shared" si="84"/>
        <v>0</v>
      </c>
      <c r="E875" s="50">
        <f t="shared" si="85"/>
        <v>0</v>
      </c>
      <c r="F875" s="135"/>
      <c r="G875" s="50">
        <f t="shared" si="86"/>
        <v>91600</v>
      </c>
      <c r="H875" s="123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</row>
    <row r="876" spans="1:23" x14ac:dyDescent="0.2">
      <c r="A876" s="134">
        <v>14</v>
      </c>
      <c r="B876" s="137">
        <v>45831</v>
      </c>
      <c r="C876" s="135"/>
      <c r="D876" s="50">
        <f t="shared" si="84"/>
        <v>0</v>
      </c>
      <c r="E876" s="50">
        <f t="shared" si="85"/>
        <v>0</v>
      </c>
      <c r="F876" s="135"/>
      <c r="G876" s="50">
        <f t="shared" si="86"/>
        <v>91600</v>
      </c>
      <c r="H876" s="123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</row>
    <row r="877" spans="1:23" x14ac:dyDescent="0.2">
      <c r="A877" s="134">
        <v>15</v>
      </c>
      <c r="B877" s="137">
        <v>45838</v>
      </c>
      <c r="C877" s="135"/>
      <c r="D877" s="50">
        <f t="shared" si="84"/>
        <v>0</v>
      </c>
      <c r="E877" s="50">
        <f t="shared" si="85"/>
        <v>0</v>
      </c>
      <c r="F877" s="135"/>
      <c r="G877" s="50">
        <f t="shared" si="86"/>
        <v>91600</v>
      </c>
      <c r="H877" s="123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</row>
    <row r="878" spans="1:23" x14ac:dyDescent="0.2">
      <c r="A878" s="134">
        <v>16</v>
      </c>
      <c r="B878" s="137">
        <v>45845</v>
      </c>
      <c r="C878" s="135"/>
      <c r="D878" s="50">
        <f t="shared" si="84"/>
        <v>0</v>
      </c>
      <c r="E878" s="50">
        <f t="shared" si="85"/>
        <v>0</v>
      </c>
      <c r="F878" s="135"/>
      <c r="G878" s="50">
        <f t="shared" si="86"/>
        <v>91600</v>
      </c>
      <c r="H878" s="123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</row>
    <row r="879" spans="1:23" x14ac:dyDescent="0.2">
      <c r="A879" s="134">
        <v>17</v>
      </c>
      <c r="B879" s="137">
        <v>45852</v>
      </c>
      <c r="C879" s="135"/>
      <c r="D879" s="50">
        <f t="shared" si="84"/>
        <v>0</v>
      </c>
      <c r="E879" s="50">
        <f t="shared" si="85"/>
        <v>0</v>
      </c>
      <c r="F879" s="135"/>
      <c r="G879" s="50">
        <f t="shared" si="86"/>
        <v>91600</v>
      </c>
      <c r="H879" s="123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</row>
    <row r="880" spans="1:23" x14ac:dyDescent="0.2">
      <c r="A880" s="138"/>
      <c r="B880" s="139"/>
      <c r="C880" s="140"/>
      <c r="D880" s="141">
        <f>SUMIFS(D863:D879, F863:F879, "Y")</f>
        <v>24285.71428571429</v>
      </c>
      <c r="E880" s="142">
        <f>SUMIFS(E863:E879, F863:F879, "Y")</f>
        <v>9714.2857142857119</v>
      </c>
      <c r="F880" s="143">
        <f>(SUMIFS(D863:D879, F863:F879, "Y") + SUMIFS(E863:E879, F863:F879, "Y"))</f>
        <v>34000</v>
      </c>
      <c r="G880" s="140"/>
      <c r="H880" s="144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</row>
    <row r="881" spans="1:23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</row>
    <row r="882" spans="1:23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</row>
    <row r="883" spans="1:23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</row>
    <row r="884" spans="1:23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</row>
    <row r="885" spans="1:23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</row>
    <row r="886" spans="1:23" x14ac:dyDescent="0.2">
      <c r="A886" s="256" t="s">
        <v>194</v>
      </c>
      <c r="B886" s="257"/>
      <c r="C886" s="118"/>
      <c r="D886" s="119"/>
      <c r="E886" s="119"/>
      <c r="F886" s="119"/>
      <c r="G886" s="119"/>
      <c r="H886" s="12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</row>
    <row r="887" spans="1:23" x14ac:dyDescent="0.2">
      <c r="A887" s="258" t="s">
        <v>7</v>
      </c>
      <c r="B887" s="259"/>
      <c r="C887" s="121">
        <v>50000</v>
      </c>
      <c r="D887" s="122"/>
      <c r="E887" s="30"/>
      <c r="F887" s="30"/>
      <c r="G887" s="30"/>
      <c r="H887" s="123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</row>
    <row r="888" spans="1:23" x14ac:dyDescent="0.2">
      <c r="A888" s="258" t="s">
        <v>8</v>
      </c>
      <c r="B888" s="259"/>
      <c r="C888" s="124" t="s">
        <v>195</v>
      </c>
      <c r="D888" s="30"/>
      <c r="E888" s="49"/>
      <c r="F888" s="49"/>
      <c r="G888" s="49"/>
      <c r="H888" s="125" t="s">
        <v>10</v>
      </c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</row>
    <row r="889" spans="1:23" x14ac:dyDescent="0.2">
      <c r="A889" s="258" t="s">
        <v>103</v>
      </c>
      <c r="B889" s="259"/>
      <c r="C889" s="50">
        <v>10000</v>
      </c>
      <c r="D889" s="66"/>
      <c r="E889" s="260" t="s">
        <v>14</v>
      </c>
      <c r="F889" s="126" t="s">
        <v>15</v>
      </c>
      <c r="G889" s="50">
        <v>6050</v>
      </c>
      <c r="H889" s="127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</row>
    <row r="890" spans="1:23" x14ac:dyDescent="0.2">
      <c r="A890" s="258" t="s">
        <v>17</v>
      </c>
      <c r="B890" s="259"/>
      <c r="C890" s="50">
        <v>3</v>
      </c>
      <c r="D890" s="66"/>
      <c r="E890" s="261"/>
      <c r="F890" s="126" t="s">
        <v>18</v>
      </c>
      <c r="G890" s="130">
        <v>43950</v>
      </c>
      <c r="H890" s="127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</row>
    <row r="891" spans="1:23" x14ac:dyDescent="0.2">
      <c r="A891" s="258" t="s">
        <v>20</v>
      </c>
      <c r="B891" s="259"/>
      <c r="C891" s="50">
        <f>C889*C890</f>
        <v>30000</v>
      </c>
      <c r="D891" s="30"/>
      <c r="E891" s="128"/>
      <c r="F891" s="30"/>
      <c r="G891" s="66"/>
      <c r="H891" s="123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</row>
    <row r="892" spans="1:23" x14ac:dyDescent="0.2">
      <c r="A892" s="258" t="s">
        <v>22</v>
      </c>
      <c r="B892" s="259"/>
      <c r="C892" s="121">
        <f>C887+C891</f>
        <v>80000</v>
      </c>
      <c r="D892" s="30"/>
      <c r="E892" s="30"/>
      <c r="F892" s="30"/>
      <c r="G892" s="30"/>
      <c r="H892" s="123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</row>
    <row r="893" spans="1:23" x14ac:dyDescent="0.2">
      <c r="A893" s="258" t="s">
        <v>154</v>
      </c>
      <c r="B893" s="259"/>
      <c r="C893" s="129">
        <v>900</v>
      </c>
      <c r="D893" s="30" t="s">
        <v>196</v>
      </c>
      <c r="E893" s="30"/>
      <c r="F893" s="30"/>
      <c r="G893" s="30"/>
      <c r="H893" s="123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</row>
    <row r="894" spans="1:23" x14ac:dyDescent="0.2">
      <c r="A894" s="258" t="s">
        <v>28</v>
      </c>
      <c r="B894" s="259"/>
      <c r="C894" s="130" t="s">
        <v>179</v>
      </c>
      <c r="D894" s="30"/>
      <c r="E894" s="30"/>
      <c r="F894" s="30"/>
      <c r="G894" s="30"/>
      <c r="H894" s="123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</row>
    <row r="895" spans="1:23" x14ac:dyDescent="0.2">
      <c r="A895" s="131" t="s">
        <v>31</v>
      </c>
      <c r="B895" s="132" t="s">
        <v>106</v>
      </c>
      <c r="C895" s="133" t="s">
        <v>33</v>
      </c>
      <c r="D895" s="133" t="s">
        <v>34</v>
      </c>
      <c r="E895" s="133" t="s">
        <v>35</v>
      </c>
      <c r="F895" s="133" t="s">
        <v>36</v>
      </c>
      <c r="G895" s="133" t="s">
        <v>37</v>
      </c>
      <c r="H895" s="123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</row>
    <row r="896" spans="1:23" x14ac:dyDescent="0.2">
      <c r="A896" s="134">
        <v>0</v>
      </c>
      <c r="B896" s="135"/>
      <c r="C896" s="135"/>
      <c r="D896" s="135"/>
      <c r="E896" s="135"/>
      <c r="F896" s="135"/>
      <c r="G896" s="50">
        <f>C892</f>
        <v>80000</v>
      </c>
      <c r="H896" s="123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</row>
    <row r="897" spans="1:23" x14ac:dyDescent="0.2">
      <c r="A897" s="134">
        <v>1</v>
      </c>
      <c r="B897" s="137">
        <v>45740</v>
      </c>
      <c r="C897" s="50">
        <v>3600</v>
      </c>
      <c r="D897" s="50">
        <f t="shared" ref="D897:D913" si="87">C897/1.45</f>
        <v>2482.7586206896553</v>
      </c>
      <c r="E897" s="50">
        <f t="shared" ref="E897:E913" si="88">C897-D897</f>
        <v>1117.2413793103447</v>
      </c>
      <c r="F897" s="50" t="s">
        <v>41</v>
      </c>
      <c r="G897" s="50">
        <f t="shared" ref="G897:G913" si="89">(G896-C897)</f>
        <v>76400</v>
      </c>
      <c r="H897" s="123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</row>
    <row r="898" spans="1:23" x14ac:dyDescent="0.2">
      <c r="A898" s="134">
        <v>2</v>
      </c>
      <c r="B898" s="137">
        <v>45747</v>
      </c>
      <c r="C898" s="50">
        <v>5400</v>
      </c>
      <c r="D898" s="50">
        <f t="shared" si="87"/>
        <v>3724.1379310344828</v>
      </c>
      <c r="E898" s="50">
        <f t="shared" si="88"/>
        <v>1675.8620689655172</v>
      </c>
      <c r="F898" s="50" t="s">
        <v>41</v>
      </c>
      <c r="G898" s="50">
        <f t="shared" si="89"/>
        <v>71000</v>
      </c>
      <c r="H898" s="123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</row>
    <row r="899" spans="1:23" x14ac:dyDescent="0.2">
      <c r="A899" s="134">
        <v>3</v>
      </c>
      <c r="B899" s="137">
        <v>45754</v>
      </c>
      <c r="C899" s="50">
        <v>4500</v>
      </c>
      <c r="D899" s="50">
        <f t="shared" si="87"/>
        <v>3103.4482758620688</v>
      </c>
      <c r="E899" s="50">
        <f t="shared" si="88"/>
        <v>1396.5517241379312</v>
      </c>
      <c r="F899" s="50" t="s">
        <v>41</v>
      </c>
      <c r="G899" s="50">
        <f t="shared" si="89"/>
        <v>66500</v>
      </c>
      <c r="H899" s="123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</row>
    <row r="900" spans="1:23" x14ac:dyDescent="0.2">
      <c r="A900" s="134">
        <v>4</v>
      </c>
      <c r="B900" s="137">
        <v>45761</v>
      </c>
      <c r="C900" s="50">
        <v>4500</v>
      </c>
      <c r="D900" s="50">
        <f t="shared" si="87"/>
        <v>3103.4482758620688</v>
      </c>
      <c r="E900" s="50">
        <f t="shared" si="88"/>
        <v>1396.5517241379312</v>
      </c>
      <c r="F900" s="50" t="s">
        <v>41</v>
      </c>
      <c r="G900" s="50">
        <f t="shared" si="89"/>
        <v>62000</v>
      </c>
      <c r="H900" s="123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</row>
    <row r="901" spans="1:23" x14ac:dyDescent="0.2">
      <c r="A901" s="134">
        <v>5</v>
      </c>
      <c r="B901" s="137">
        <v>45768</v>
      </c>
      <c r="C901" s="50">
        <v>1800</v>
      </c>
      <c r="D901" s="50">
        <f t="shared" si="87"/>
        <v>1241.3793103448277</v>
      </c>
      <c r="E901" s="50">
        <f t="shared" si="88"/>
        <v>558.62068965517233</v>
      </c>
      <c r="F901" s="50" t="s">
        <v>41</v>
      </c>
      <c r="G901" s="50">
        <f t="shared" si="89"/>
        <v>60200</v>
      </c>
      <c r="H901" s="123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</row>
    <row r="902" spans="1:23" x14ac:dyDescent="0.2">
      <c r="A902" s="134">
        <v>6</v>
      </c>
      <c r="B902" s="137">
        <v>45775</v>
      </c>
      <c r="C902" s="50">
        <v>3600</v>
      </c>
      <c r="D902" s="50">
        <f t="shared" si="87"/>
        <v>2482.7586206896553</v>
      </c>
      <c r="E902" s="50">
        <f t="shared" si="88"/>
        <v>1117.2413793103447</v>
      </c>
      <c r="F902" s="50" t="s">
        <v>41</v>
      </c>
      <c r="G902" s="50">
        <f t="shared" si="89"/>
        <v>56600</v>
      </c>
      <c r="H902" s="123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 spans="1:23" x14ac:dyDescent="0.2">
      <c r="A903" s="134">
        <v>7</v>
      </c>
      <c r="B903" s="137">
        <v>45782</v>
      </c>
      <c r="C903" s="50">
        <v>3900</v>
      </c>
      <c r="D903" s="50">
        <f t="shared" si="87"/>
        <v>2689.655172413793</v>
      </c>
      <c r="E903" s="50">
        <f t="shared" si="88"/>
        <v>1210.344827586207</v>
      </c>
      <c r="F903" s="50" t="s">
        <v>41</v>
      </c>
      <c r="G903" s="50">
        <f t="shared" si="89"/>
        <v>52700</v>
      </c>
      <c r="H903" s="123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</row>
    <row r="904" spans="1:23" x14ac:dyDescent="0.2">
      <c r="A904" s="134">
        <v>8</v>
      </c>
      <c r="B904" s="137">
        <v>45789</v>
      </c>
      <c r="C904" s="50">
        <v>4500</v>
      </c>
      <c r="D904" s="50">
        <f t="shared" si="87"/>
        <v>3103.4482758620688</v>
      </c>
      <c r="E904" s="50">
        <f t="shared" si="88"/>
        <v>1396.5517241379312</v>
      </c>
      <c r="F904" s="50" t="s">
        <v>107</v>
      </c>
      <c r="G904" s="50">
        <f t="shared" si="89"/>
        <v>48200</v>
      </c>
      <c r="H904" s="123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</row>
    <row r="905" spans="1:23" x14ac:dyDescent="0.2">
      <c r="A905" s="134">
        <v>9</v>
      </c>
      <c r="B905" s="137">
        <v>45796</v>
      </c>
      <c r="C905" s="135"/>
      <c r="D905" s="50">
        <f t="shared" si="87"/>
        <v>0</v>
      </c>
      <c r="E905" s="50">
        <f t="shared" si="88"/>
        <v>0</v>
      </c>
      <c r="F905" s="50" t="s">
        <v>107</v>
      </c>
      <c r="G905" s="50">
        <f t="shared" si="89"/>
        <v>48200</v>
      </c>
      <c r="H905" s="123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</row>
    <row r="906" spans="1:23" x14ac:dyDescent="0.2">
      <c r="A906" s="134">
        <v>10</v>
      </c>
      <c r="B906" s="137">
        <v>45803</v>
      </c>
      <c r="C906" s="135"/>
      <c r="D906" s="50">
        <f t="shared" si="87"/>
        <v>0</v>
      </c>
      <c r="E906" s="50">
        <f t="shared" si="88"/>
        <v>0</v>
      </c>
      <c r="F906" s="50" t="s">
        <v>107</v>
      </c>
      <c r="G906" s="50">
        <f t="shared" si="89"/>
        <v>48200</v>
      </c>
      <c r="H906" s="123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</row>
    <row r="907" spans="1:23" x14ac:dyDescent="0.2">
      <c r="A907" s="134">
        <v>11</v>
      </c>
      <c r="B907" s="137">
        <v>45810</v>
      </c>
      <c r="C907" s="135"/>
      <c r="D907" s="50">
        <f t="shared" si="87"/>
        <v>0</v>
      </c>
      <c r="E907" s="50">
        <f t="shared" si="88"/>
        <v>0</v>
      </c>
      <c r="F907" s="50" t="s">
        <v>107</v>
      </c>
      <c r="G907" s="50">
        <f t="shared" si="89"/>
        <v>48200</v>
      </c>
      <c r="H907" s="123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</row>
    <row r="908" spans="1:23" x14ac:dyDescent="0.2">
      <c r="A908" s="134">
        <v>12</v>
      </c>
      <c r="B908" s="137">
        <v>45817</v>
      </c>
      <c r="C908" s="135"/>
      <c r="D908" s="50">
        <f t="shared" si="87"/>
        <v>0</v>
      </c>
      <c r="E908" s="50">
        <f t="shared" si="88"/>
        <v>0</v>
      </c>
      <c r="F908" s="50" t="s">
        <v>107</v>
      </c>
      <c r="G908" s="50">
        <f t="shared" si="89"/>
        <v>48200</v>
      </c>
      <c r="H908" s="123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</row>
    <row r="909" spans="1:23" x14ac:dyDescent="0.2">
      <c r="A909" s="134">
        <v>13</v>
      </c>
      <c r="B909" s="137">
        <v>45824</v>
      </c>
      <c r="C909" s="135"/>
      <c r="D909" s="50">
        <f t="shared" si="87"/>
        <v>0</v>
      </c>
      <c r="E909" s="50">
        <f t="shared" si="88"/>
        <v>0</v>
      </c>
      <c r="F909" s="50" t="s">
        <v>107</v>
      </c>
      <c r="G909" s="50">
        <f t="shared" si="89"/>
        <v>48200</v>
      </c>
      <c r="H909" s="123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</row>
    <row r="910" spans="1:23" x14ac:dyDescent="0.2">
      <c r="A910" s="134">
        <v>14</v>
      </c>
      <c r="B910" s="137">
        <v>45831</v>
      </c>
      <c r="C910" s="135"/>
      <c r="D910" s="50">
        <f t="shared" si="87"/>
        <v>0</v>
      </c>
      <c r="E910" s="50">
        <f t="shared" si="88"/>
        <v>0</v>
      </c>
      <c r="F910" s="50" t="s">
        <v>107</v>
      </c>
      <c r="G910" s="50">
        <f t="shared" si="89"/>
        <v>48200</v>
      </c>
      <c r="H910" s="123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</row>
    <row r="911" spans="1:23" x14ac:dyDescent="0.2">
      <c r="A911" s="134">
        <v>15</v>
      </c>
      <c r="B911" s="137">
        <v>45838</v>
      </c>
      <c r="C911" s="135"/>
      <c r="D911" s="50">
        <f t="shared" si="87"/>
        <v>0</v>
      </c>
      <c r="E911" s="50">
        <f t="shared" si="88"/>
        <v>0</v>
      </c>
      <c r="F911" s="50" t="s">
        <v>107</v>
      </c>
      <c r="G911" s="50">
        <f t="shared" si="89"/>
        <v>48200</v>
      </c>
      <c r="H911" s="123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</row>
    <row r="912" spans="1:23" x14ac:dyDescent="0.2">
      <c r="A912" s="134">
        <v>16</v>
      </c>
      <c r="B912" s="137">
        <v>45845</v>
      </c>
      <c r="C912" s="135"/>
      <c r="D912" s="50">
        <f t="shared" si="87"/>
        <v>0</v>
      </c>
      <c r="E912" s="50">
        <f t="shared" si="88"/>
        <v>0</v>
      </c>
      <c r="F912" s="50" t="s">
        <v>107</v>
      </c>
      <c r="G912" s="50">
        <f t="shared" si="89"/>
        <v>48200</v>
      </c>
      <c r="H912" s="123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</row>
    <row r="913" spans="1:23" x14ac:dyDescent="0.2">
      <c r="A913" s="134">
        <v>17</v>
      </c>
      <c r="B913" s="137">
        <v>45852</v>
      </c>
      <c r="C913" s="135"/>
      <c r="D913" s="50">
        <f t="shared" si="87"/>
        <v>0</v>
      </c>
      <c r="E913" s="50">
        <f t="shared" si="88"/>
        <v>0</v>
      </c>
      <c r="F913" s="50" t="s">
        <v>107</v>
      </c>
      <c r="G913" s="50">
        <f t="shared" si="89"/>
        <v>48200</v>
      </c>
      <c r="H913" s="123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</row>
    <row r="914" spans="1:23" x14ac:dyDescent="0.2">
      <c r="A914" s="138"/>
      <c r="B914" s="139"/>
      <c r="C914" s="140"/>
      <c r="D914" s="141">
        <f>SUMIFS(D897:D913, F897:F913, "Y")</f>
        <v>18827.586206896551</v>
      </c>
      <c r="E914" s="142">
        <f>SUMIFS(E897:E913, F897:F913, "Y")</f>
        <v>8472.4137931034475</v>
      </c>
      <c r="F914" s="143">
        <f>(SUMIFS(D897:D913, F897:F913, "Y") + SUMIFS(E897:E913, F897:F913, "Y"))</f>
        <v>27300</v>
      </c>
      <c r="G914" s="140"/>
      <c r="H914" s="144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</row>
    <row r="915" spans="1:23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</row>
    <row r="916" spans="1:23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</row>
    <row r="917" spans="1:23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</row>
    <row r="918" spans="1:23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</row>
    <row r="919" spans="1:23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</row>
    <row r="920" spans="1:23" x14ac:dyDescent="0.2">
      <c r="A920" s="256" t="s">
        <v>197</v>
      </c>
      <c r="B920" s="257"/>
      <c r="C920" s="119"/>
      <c r="D920" s="119"/>
      <c r="E920" s="119"/>
      <c r="F920" s="119"/>
      <c r="G920" s="119"/>
      <c r="H920" s="12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</row>
    <row r="921" spans="1:23" x14ac:dyDescent="0.2">
      <c r="A921" s="258" t="s">
        <v>7</v>
      </c>
      <c r="B921" s="259"/>
      <c r="C921" s="50">
        <v>100000</v>
      </c>
      <c r="D921" s="30"/>
      <c r="E921" s="30"/>
      <c r="F921" s="30"/>
      <c r="G921" s="30"/>
      <c r="H921" s="123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</row>
    <row r="922" spans="1:23" x14ac:dyDescent="0.2">
      <c r="A922" s="258" t="s">
        <v>8</v>
      </c>
      <c r="B922" s="259"/>
      <c r="C922" s="150">
        <v>45740</v>
      </c>
      <c r="D922" s="30"/>
      <c r="E922" s="49"/>
      <c r="F922" s="49"/>
      <c r="G922" s="49"/>
      <c r="H922" s="125" t="s">
        <v>10</v>
      </c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</row>
    <row r="923" spans="1:23" x14ac:dyDescent="0.2">
      <c r="A923" s="258" t="s">
        <v>152</v>
      </c>
      <c r="B923" s="259"/>
      <c r="C923" s="50">
        <v>15000</v>
      </c>
      <c r="D923" s="66"/>
      <c r="E923" s="260" t="s">
        <v>14</v>
      </c>
      <c r="F923" s="126" t="s">
        <v>15</v>
      </c>
      <c r="G923" s="50">
        <v>0</v>
      </c>
      <c r="H923" s="127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</row>
    <row r="924" spans="1:23" x14ac:dyDescent="0.2">
      <c r="A924" s="258" t="s">
        <v>17</v>
      </c>
      <c r="B924" s="259"/>
      <c r="C924" s="50">
        <v>3</v>
      </c>
      <c r="D924" s="66" t="s">
        <v>153</v>
      </c>
      <c r="E924" s="261"/>
      <c r="F924" s="126" t="s">
        <v>18</v>
      </c>
      <c r="G924" s="50">
        <v>100000</v>
      </c>
      <c r="H924" s="127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</row>
    <row r="925" spans="1:23" x14ac:dyDescent="0.2">
      <c r="A925" s="258" t="s">
        <v>20</v>
      </c>
      <c r="B925" s="259"/>
      <c r="C925" s="50">
        <f>C923*C924</f>
        <v>45000</v>
      </c>
      <c r="D925" s="30"/>
      <c r="E925" s="128"/>
      <c r="F925" s="30"/>
      <c r="G925" s="66"/>
      <c r="H925" s="123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</row>
    <row r="926" spans="1:23" x14ac:dyDescent="0.2">
      <c r="A926" s="258" t="s">
        <v>22</v>
      </c>
      <c r="B926" s="259"/>
      <c r="C926" s="121">
        <f>C921+C925</f>
        <v>145000</v>
      </c>
      <c r="D926" s="30"/>
      <c r="E926" s="30"/>
      <c r="F926" s="30"/>
      <c r="G926" s="30"/>
      <c r="H926" s="123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</row>
    <row r="927" spans="1:23" x14ac:dyDescent="0.2">
      <c r="A927" s="258" t="s">
        <v>24</v>
      </c>
      <c r="B927" s="259"/>
      <c r="C927" s="146">
        <v>1450</v>
      </c>
      <c r="D927" s="30" t="s">
        <v>198</v>
      </c>
      <c r="E927" s="30"/>
      <c r="F927" s="30"/>
      <c r="G927" s="30"/>
      <c r="H927" s="123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</row>
    <row r="928" spans="1:23" x14ac:dyDescent="0.2">
      <c r="A928" s="258" t="s">
        <v>28</v>
      </c>
      <c r="B928" s="259"/>
      <c r="C928" s="130" t="s">
        <v>179</v>
      </c>
      <c r="D928" s="30"/>
      <c r="E928" s="30"/>
      <c r="F928" s="30"/>
      <c r="G928" s="30"/>
      <c r="H928" s="123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</row>
    <row r="929" spans="1:23" x14ac:dyDescent="0.2">
      <c r="A929" s="131" t="s">
        <v>31</v>
      </c>
      <c r="B929" s="132" t="s">
        <v>106</v>
      </c>
      <c r="C929" s="133" t="s">
        <v>33</v>
      </c>
      <c r="D929" s="133" t="s">
        <v>34</v>
      </c>
      <c r="E929" s="133" t="s">
        <v>35</v>
      </c>
      <c r="F929" s="133" t="s">
        <v>36</v>
      </c>
      <c r="G929" s="133" t="s">
        <v>37</v>
      </c>
      <c r="H929" s="123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</row>
    <row r="930" spans="1:23" x14ac:dyDescent="0.2">
      <c r="A930" s="134">
        <v>0</v>
      </c>
      <c r="B930" s="135"/>
      <c r="C930" s="135"/>
      <c r="D930" s="135"/>
      <c r="E930" s="135"/>
      <c r="F930" s="135"/>
      <c r="G930" s="50">
        <f>C926</f>
        <v>145000</v>
      </c>
      <c r="H930" s="123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</row>
    <row r="931" spans="1:23" x14ac:dyDescent="0.2">
      <c r="A931" s="134">
        <v>1</v>
      </c>
      <c r="B931" s="137">
        <v>45747</v>
      </c>
      <c r="C931" s="135">
        <v>9500</v>
      </c>
      <c r="D931" s="50">
        <f t="shared" ref="D931:D947" si="90">C931/1.4</f>
        <v>6785.7142857142862</v>
      </c>
      <c r="E931" s="50">
        <f t="shared" ref="E931:E947" si="91">C931-D931</f>
        <v>2714.2857142857138</v>
      </c>
      <c r="F931" s="50" t="s">
        <v>41</v>
      </c>
      <c r="G931" s="50">
        <f t="shared" ref="G931:G947" si="92">(G930-C931)</f>
        <v>135500</v>
      </c>
      <c r="H931" s="123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</row>
    <row r="932" spans="1:23" x14ac:dyDescent="0.2">
      <c r="A932" s="134">
        <v>2</v>
      </c>
      <c r="B932" s="137">
        <v>45754</v>
      </c>
      <c r="C932" s="135">
        <v>7500</v>
      </c>
      <c r="D932" s="50">
        <f t="shared" si="90"/>
        <v>5357.1428571428578</v>
      </c>
      <c r="E932" s="50">
        <f t="shared" si="91"/>
        <v>2142.8571428571422</v>
      </c>
      <c r="F932" s="50" t="s">
        <v>41</v>
      </c>
      <c r="G932" s="50">
        <f t="shared" si="92"/>
        <v>128000</v>
      </c>
      <c r="H932" s="123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</row>
    <row r="933" spans="1:23" x14ac:dyDescent="0.2">
      <c r="A933" s="134">
        <v>3</v>
      </c>
      <c r="B933" s="137">
        <v>45761</v>
      </c>
      <c r="C933" s="135">
        <v>6000</v>
      </c>
      <c r="D933" s="50">
        <f t="shared" si="90"/>
        <v>4285.7142857142862</v>
      </c>
      <c r="E933" s="50">
        <f t="shared" si="91"/>
        <v>1714.2857142857138</v>
      </c>
      <c r="F933" s="50" t="s">
        <v>41</v>
      </c>
      <c r="G933" s="50">
        <f t="shared" si="92"/>
        <v>122000</v>
      </c>
      <c r="H933" s="123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</row>
    <row r="934" spans="1:23" x14ac:dyDescent="0.2">
      <c r="A934" s="134">
        <v>4</v>
      </c>
      <c r="B934" s="137">
        <v>45768</v>
      </c>
      <c r="C934" s="135">
        <v>6000</v>
      </c>
      <c r="D934" s="50">
        <f t="shared" si="90"/>
        <v>4285.7142857142862</v>
      </c>
      <c r="E934" s="50">
        <f t="shared" si="91"/>
        <v>1714.2857142857138</v>
      </c>
      <c r="F934" s="50" t="s">
        <v>41</v>
      </c>
      <c r="G934" s="50">
        <f t="shared" si="92"/>
        <v>116000</v>
      </c>
      <c r="H934" s="123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</row>
    <row r="935" spans="1:23" x14ac:dyDescent="0.2">
      <c r="A935" s="134">
        <v>5</v>
      </c>
      <c r="B935" s="137">
        <v>45775</v>
      </c>
      <c r="C935" s="135">
        <v>4500</v>
      </c>
      <c r="D935" s="50">
        <f t="shared" si="90"/>
        <v>3214.2857142857147</v>
      </c>
      <c r="E935" s="50">
        <f t="shared" si="91"/>
        <v>1285.7142857142853</v>
      </c>
      <c r="F935" s="50" t="s">
        <v>41</v>
      </c>
      <c r="G935" s="50">
        <f t="shared" si="92"/>
        <v>111500</v>
      </c>
      <c r="H935" s="123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</row>
    <row r="936" spans="1:23" x14ac:dyDescent="0.2">
      <c r="A936" s="134">
        <v>6</v>
      </c>
      <c r="B936" s="137">
        <v>45782</v>
      </c>
      <c r="C936" s="135">
        <v>4500</v>
      </c>
      <c r="D936" s="50">
        <f t="shared" si="90"/>
        <v>3214.2857142857147</v>
      </c>
      <c r="E936" s="50">
        <f t="shared" si="91"/>
        <v>1285.7142857142853</v>
      </c>
      <c r="F936" s="50" t="s">
        <v>41</v>
      </c>
      <c r="G936" s="50">
        <f t="shared" si="92"/>
        <v>107000</v>
      </c>
      <c r="H936" s="123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</row>
    <row r="937" spans="1:23" x14ac:dyDescent="0.2">
      <c r="A937" s="134">
        <v>7</v>
      </c>
      <c r="B937" s="137">
        <v>45789</v>
      </c>
      <c r="C937" s="135">
        <v>4500</v>
      </c>
      <c r="D937" s="50">
        <f t="shared" si="90"/>
        <v>3214.2857142857147</v>
      </c>
      <c r="E937" s="50">
        <f t="shared" si="91"/>
        <v>1285.7142857142853</v>
      </c>
      <c r="F937" s="50" t="s">
        <v>107</v>
      </c>
      <c r="G937" s="50">
        <f t="shared" si="92"/>
        <v>102500</v>
      </c>
      <c r="H937" s="123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</row>
    <row r="938" spans="1:23" x14ac:dyDescent="0.2">
      <c r="A938" s="134">
        <v>8</v>
      </c>
      <c r="B938" s="137">
        <v>45796</v>
      </c>
      <c r="C938" s="135"/>
      <c r="D938" s="50">
        <f t="shared" si="90"/>
        <v>0</v>
      </c>
      <c r="E938" s="50">
        <f t="shared" si="91"/>
        <v>0</v>
      </c>
      <c r="F938" s="50" t="s">
        <v>107</v>
      </c>
      <c r="G938" s="50">
        <f t="shared" si="92"/>
        <v>102500</v>
      </c>
      <c r="H938" s="123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</row>
    <row r="939" spans="1:23" x14ac:dyDescent="0.2">
      <c r="A939" s="134">
        <v>9</v>
      </c>
      <c r="B939" s="137">
        <v>45803</v>
      </c>
      <c r="C939" s="135"/>
      <c r="D939" s="50">
        <f t="shared" si="90"/>
        <v>0</v>
      </c>
      <c r="E939" s="50">
        <f t="shared" si="91"/>
        <v>0</v>
      </c>
      <c r="F939" s="135"/>
      <c r="G939" s="50">
        <f t="shared" si="92"/>
        <v>102500</v>
      </c>
      <c r="H939" s="123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</row>
    <row r="940" spans="1:23" x14ac:dyDescent="0.2">
      <c r="A940" s="134">
        <v>10</v>
      </c>
      <c r="B940" s="137">
        <v>45810</v>
      </c>
      <c r="C940" s="135"/>
      <c r="D940" s="50">
        <f t="shared" si="90"/>
        <v>0</v>
      </c>
      <c r="E940" s="50">
        <f t="shared" si="91"/>
        <v>0</v>
      </c>
      <c r="F940" s="135"/>
      <c r="G940" s="50">
        <f t="shared" si="92"/>
        <v>102500</v>
      </c>
      <c r="H940" s="123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</row>
    <row r="941" spans="1:23" x14ac:dyDescent="0.2">
      <c r="A941" s="126"/>
      <c r="B941" s="137"/>
      <c r="C941" s="135"/>
      <c r="D941" s="50">
        <f t="shared" si="90"/>
        <v>0</v>
      </c>
      <c r="E941" s="50">
        <f t="shared" si="91"/>
        <v>0</v>
      </c>
      <c r="F941" s="135"/>
      <c r="G941" s="50">
        <f t="shared" si="92"/>
        <v>102500</v>
      </c>
      <c r="H941" s="123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</row>
    <row r="942" spans="1:23" x14ac:dyDescent="0.2">
      <c r="A942" s="126"/>
      <c r="B942" s="137"/>
      <c r="C942" s="135"/>
      <c r="D942" s="50">
        <f t="shared" si="90"/>
        <v>0</v>
      </c>
      <c r="E942" s="50">
        <f t="shared" si="91"/>
        <v>0</v>
      </c>
      <c r="F942" s="135"/>
      <c r="G942" s="50">
        <f t="shared" si="92"/>
        <v>102500</v>
      </c>
      <c r="H942" s="123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</row>
    <row r="943" spans="1:23" x14ac:dyDescent="0.2">
      <c r="A943" s="126"/>
      <c r="B943" s="137"/>
      <c r="C943" s="135"/>
      <c r="D943" s="50">
        <f t="shared" si="90"/>
        <v>0</v>
      </c>
      <c r="E943" s="50">
        <f t="shared" si="91"/>
        <v>0</v>
      </c>
      <c r="F943" s="135"/>
      <c r="G943" s="50">
        <f t="shared" si="92"/>
        <v>102500</v>
      </c>
      <c r="H943" s="123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</row>
    <row r="944" spans="1:23" x14ac:dyDescent="0.2">
      <c r="A944" s="126"/>
      <c r="B944" s="137"/>
      <c r="C944" s="135"/>
      <c r="D944" s="50">
        <f t="shared" si="90"/>
        <v>0</v>
      </c>
      <c r="E944" s="50">
        <f t="shared" si="91"/>
        <v>0</v>
      </c>
      <c r="F944" s="135"/>
      <c r="G944" s="50">
        <f t="shared" si="92"/>
        <v>102500</v>
      </c>
      <c r="H944" s="123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</row>
    <row r="945" spans="1:23" x14ac:dyDescent="0.2">
      <c r="A945" s="126"/>
      <c r="B945" s="137"/>
      <c r="C945" s="135"/>
      <c r="D945" s="50">
        <f t="shared" si="90"/>
        <v>0</v>
      </c>
      <c r="E945" s="50">
        <f t="shared" si="91"/>
        <v>0</v>
      </c>
      <c r="F945" s="135"/>
      <c r="G945" s="50">
        <f t="shared" si="92"/>
        <v>102500</v>
      </c>
      <c r="H945" s="123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</row>
    <row r="946" spans="1:23" x14ac:dyDescent="0.2">
      <c r="A946" s="126"/>
      <c r="B946" s="137"/>
      <c r="C946" s="135"/>
      <c r="D946" s="50">
        <f t="shared" si="90"/>
        <v>0</v>
      </c>
      <c r="E946" s="50">
        <f t="shared" si="91"/>
        <v>0</v>
      </c>
      <c r="F946" s="135"/>
      <c r="G946" s="50">
        <f t="shared" si="92"/>
        <v>102500</v>
      </c>
      <c r="H946" s="123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</row>
    <row r="947" spans="1:23" x14ac:dyDescent="0.2">
      <c r="A947" s="126"/>
      <c r="B947" s="137"/>
      <c r="C947" s="135"/>
      <c r="D947" s="50">
        <f t="shared" si="90"/>
        <v>0</v>
      </c>
      <c r="E947" s="50">
        <f t="shared" si="91"/>
        <v>0</v>
      </c>
      <c r="F947" s="135"/>
      <c r="G947" s="50">
        <f t="shared" si="92"/>
        <v>102500</v>
      </c>
      <c r="H947" s="123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</row>
    <row r="948" spans="1:23" x14ac:dyDescent="0.2">
      <c r="A948" s="138"/>
      <c r="B948" s="139"/>
      <c r="C948" s="140"/>
      <c r="D948" s="141">
        <f>SUMIFS(D931:D947, F931:F947, "Y")</f>
        <v>27142.857142857145</v>
      </c>
      <c r="E948" s="142">
        <f>SUMIFS(E931:E947, F931:F947, "Y")</f>
        <v>10857.142857142855</v>
      </c>
      <c r="F948" s="143">
        <f>(SUMIFS(D931:D947, F931:F947, "Y") + SUMIFS(E931:E947, F931:F947, "Y"))</f>
        <v>38000</v>
      </c>
      <c r="G948" s="140"/>
      <c r="H948" s="144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</row>
    <row r="949" spans="1:23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</row>
    <row r="950" spans="1:23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</row>
    <row r="951" spans="1:23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</row>
    <row r="952" spans="1:23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</row>
    <row r="953" spans="1:23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</row>
    <row r="954" spans="1:23" x14ac:dyDescent="0.2">
      <c r="A954" s="256" t="s">
        <v>199</v>
      </c>
      <c r="B954" s="257"/>
      <c r="C954" s="119"/>
      <c r="D954" s="119"/>
      <c r="E954" s="119"/>
      <c r="F954" s="119"/>
      <c r="G954" s="119"/>
      <c r="H954" s="12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</row>
    <row r="955" spans="1:23" x14ac:dyDescent="0.2">
      <c r="A955" s="258" t="s">
        <v>7</v>
      </c>
      <c r="B955" s="259"/>
      <c r="C955" s="148">
        <v>50000</v>
      </c>
      <c r="D955" s="30"/>
      <c r="E955" s="30"/>
      <c r="F955" s="30"/>
      <c r="G955" s="30"/>
      <c r="H955" s="123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</row>
    <row r="956" spans="1:23" x14ac:dyDescent="0.2">
      <c r="A956" s="258" t="s">
        <v>8</v>
      </c>
      <c r="B956" s="259"/>
      <c r="C956" s="82">
        <v>45747</v>
      </c>
      <c r="D956" s="30"/>
      <c r="E956" s="49"/>
      <c r="F956" s="49"/>
      <c r="G956" s="49"/>
      <c r="H956" s="125" t="s">
        <v>10</v>
      </c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</row>
    <row r="957" spans="1:23" x14ac:dyDescent="0.2">
      <c r="A957" s="258" t="s">
        <v>103</v>
      </c>
      <c r="B957" s="259"/>
      <c r="C957" s="135">
        <v>10000</v>
      </c>
      <c r="D957" s="66"/>
      <c r="E957" s="260" t="s">
        <v>14</v>
      </c>
      <c r="F957" s="126" t="s">
        <v>15</v>
      </c>
      <c r="G957" s="135">
        <v>0</v>
      </c>
      <c r="H957" s="127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</row>
    <row r="958" spans="1:23" x14ac:dyDescent="0.2">
      <c r="A958" s="258" t="s">
        <v>17</v>
      </c>
      <c r="B958" s="259"/>
      <c r="C958" s="50">
        <v>2</v>
      </c>
      <c r="D958" s="66"/>
      <c r="E958" s="261"/>
      <c r="F958" s="126" t="s">
        <v>18</v>
      </c>
      <c r="G958" s="50">
        <v>50000</v>
      </c>
      <c r="H958" s="127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</row>
    <row r="959" spans="1:23" x14ac:dyDescent="0.2">
      <c r="A959" s="258" t="s">
        <v>20</v>
      </c>
      <c r="B959" s="259"/>
      <c r="C959" s="50">
        <f>C957*C958</f>
        <v>20000</v>
      </c>
      <c r="D959" s="30"/>
      <c r="E959" s="128"/>
      <c r="F959" s="30"/>
      <c r="G959" s="66"/>
      <c r="H959" s="123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</row>
    <row r="960" spans="1:23" x14ac:dyDescent="0.2">
      <c r="A960" s="258" t="s">
        <v>22</v>
      </c>
      <c r="B960" s="259"/>
      <c r="C960" s="121">
        <f>C955+C959</f>
        <v>70000</v>
      </c>
      <c r="D960" s="30"/>
      <c r="E960" s="30"/>
      <c r="F960" s="30"/>
      <c r="G960" s="30"/>
      <c r="H960" s="123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</row>
    <row r="961" spans="1:23" x14ac:dyDescent="0.2">
      <c r="A961" s="258" t="s">
        <v>24</v>
      </c>
      <c r="B961" s="259"/>
      <c r="C961" s="146">
        <v>1200</v>
      </c>
      <c r="D961" s="30" t="s">
        <v>200</v>
      </c>
      <c r="E961" s="30"/>
      <c r="F961" s="30"/>
      <c r="G961" s="30"/>
      <c r="H961" s="123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</row>
    <row r="962" spans="1:23" x14ac:dyDescent="0.2">
      <c r="A962" s="258" t="s">
        <v>28</v>
      </c>
      <c r="B962" s="259"/>
      <c r="C962" s="130" t="s">
        <v>154</v>
      </c>
      <c r="D962" s="30"/>
      <c r="E962" s="30"/>
      <c r="F962" s="30"/>
      <c r="G962" s="30"/>
      <c r="H962" s="123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</row>
    <row r="963" spans="1:23" x14ac:dyDescent="0.2">
      <c r="A963" s="134" t="s">
        <v>31</v>
      </c>
      <c r="B963" s="166" t="s">
        <v>106</v>
      </c>
      <c r="C963" s="126" t="s">
        <v>33</v>
      </c>
      <c r="D963" s="126" t="s">
        <v>34</v>
      </c>
      <c r="E963" s="126" t="s">
        <v>35</v>
      </c>
      <c r="F963" s="126" t="s">
        <v>36</v>
      </c>
      <c r="G963" s="126" t="s">
        <v>37</v>
      </c>
      <c r="H963" s="123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</row>
    <row r="964" spans="1:23" x14ac:dyDescent="0.2">
      <c r="A964" s="134">
        <v>0</v>
      </c>
      <c r="B964" s="135"/>
      <c r="C964" s="135"/>
      <c r="D964" s="135"/>
      <c r="E964" s="135"/>
      <c r="F964" s="135"/>
      <c r="G964" s="50">
        <f>C960</f>
        <v>70000</v>
      </c>
      <c r="H964" s="123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</row>
    <row r="965" spans="1:23" x14ac:dyDescent="0.2">
      <c r="A965" s="134">
        <v>1</v>
      </c>
      <c r="B965" s="137">
        <v>45754</v>
      </c>
      <c r="C965" s="135">
        <v>4800</v>
      </c>
      <c r="D965" s="135">
        <f t="shared" ref="D965:D981" si="93">C965/1.4</f>
        <v>3428.5714285714289</v>
      </c>
      <c r="E965" s="135">
        <f t="shared" ref="E965:E981" si="94">C965-D965</f>
        <v>1371.4285714285711</v>
      </c>
      <c r="F965" s="50" t="s">
        <v>41</v>
      </c>
      <c r="G965" s="50">
        <f t="shared" ref="G965:G981" si="95">(G964-C965)</f>
        <v>65200</v>
      </c>
      <c r="H965" s="123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</row>
    <row r="966" spans="1:23" x14ac:dyDescent="0.2">
      <c r="A966" s="134">
        <v>2</v>
      </c>
      <c r="B966" s="137">
        <v>45761</v>
      </c>
      <c r="C966" s="135">
        <v>4800</v>
      </c>
      <c r="D966" s="135">
        <f t="shared" si="93"/>
        <v>3428.5714285714289</v>
      </c>
      <c r="E966" s="135">
        <f t="shared" si="94"/>
        <v>1371.4285714285711</v>
      </c>
      <c r="F966" s="50" t="s">
        <v>41</v>
      </c>
      <c r="G966" s="50">
        <f t="shared" si="95"/>
        <v>60400</v>
      </c>
      <c r="H966" s="123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</row>
    <row r="967" spans="1:23" x14ac:dyDescent="0.2">
      <c r="A967" s="134">
        <v>3</v>
      </c>
      <c r="B967" s="137">
        <v>45768</v>
      </c>
      <c r="C967" s="135">
        <v>2400</v>
      </c>
      <c r="D967" s="135">
        <f t="shared" si="93"/>
        <v>1714.2857142857144</v>
      </c>
      <c r="E967" s="135">
        <f t="shared" si="94"/>
        <v>685.71428571428555</v>
      </c>
      <c r="F967" s="50" t="s">
        <v>41</v>
      </c>
      <c r="G967" s="50">
        <f t="shared" si="95"/>
        <v>58000</v>
      </c>
      <c r="H967" s="123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</row>
    <row r="968" spans="1:23" x14ac:dyDescent="0.2">
      <c r="A968" s="134">
        <v>4</v>
      </c>
      <c r="B968" s="137">
        <v>45775</v>
      </c>
      <c r="C968" s="135">
        <v>2400</v>
      </c>
      <c r="D968" s="135">
        <f t="shared" si="93"/>
        <v>1714.2857142857144</v>
      </c>
      <c r="E968" s="135">
        <f t="shared" si="94"/>
        <v>685.71428571428555</v>
      </c>
      <c r="F968" s="50" t="s">
        <v>41</v>
      </c>
      <c r="G968" s="50">
        <f t="shared" si="95"/>
        <v>55600</v>
      </c>
      <c r="H968" s="123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</row>
    <row r="969" spans="1:23" x14ac:dyDescent="0.2">
      <c r="A969" s="134">
        <v>5</v>
      </c>
      <c r="B969" s="137">
        <v>45782</v>
      </c>
      <c r="C969" s="135">
        <v>3600</v>
      </c>
      <c r="D969" s="135">
        <f t="shared" si="93"/>
        <v>2571.4285714285716</v>
      </c>
      <c r="E969" s="135">
        <f t="shared" si="94"/>
        <v>1028.5714285714284</v>
      </c>
      <c r="F969" s="50" t="s">
        <v>41</v>
      </c>
      <c r="G969" s="50">
        <f t="shared" si="95"/>
        <v>52000</v>
      </c>
      <c r="H969" s="123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</row>
    <row r="970" spans="1:23" x14ac:dyDescent="0.2">
      <c r="A970" s="134">
        <v>6</v>
      </c>
      <c r="B970" s="137">
        <v>45789</v>
      </c>
      <c r="C970" s="135">
        <v>4400</v>
      </c>
      <c r="D970" s="135">
        <f t="shared" si="93"/>
        <v>3142.8571428571431</v>
      </c>
      <c r="E970" s="135">
        <f t="shared" si="94"/>
        <v>1257.1428571428569</v>
      </c>
      <c r="F970" s="50" t="s">
        <v>107</v>
      </c>
      <c r="G970" s="50">
        <f t="shared" si="95"/>
        <v>47600</v>
      </c>
      <c r="H970" s="123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</row>
    <row r="971" spans="1:23" x14ac:dyDescent="0.2">
      <c r="A971" s="134">
        <v>7</v>
      </c>
      <c r="B971" s="137">
        <v>45796</v>
      </c>
      <c r="C971" s="135"/>
      <c r="D971" s="135">
        <f t="shared" si="93"/>
        <v>0</v>
      </c>
      <c r="E971" s="135">
        <f t="shared" si="94"/>
        <v>0</v>
      </c>
      <c r="F971" s="50" t="s">
        <v>107</v>
      </c>
      <c r="G971" s="50">
        <f t="shared" si="95"/>
        <v>47600</v>
      </c>
      <c r="H971" s="123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</row>
    <row r="972" spans="1:23" x14ac:dyDescent="0.2">
      <c r="A972" s="134">
        <v>8</v>
      </c>
      <c r="B972" s="137">
        <v>45803</v>
      </c>
      <c r="C972" s="135"/>
      <c r="D972" s="135">
        <f t="shared" si="93"/>
        <v>0</v>
      </c>
      <c r="E972" s="135">
        <f t="shared" si="94"/>
        <v>0</v>
      </c>
      <c r="F972" s="50" t="s">
        <v>107</v>
      </c>
      <c r="G972" s="50">
        <f t="shared" si="95"/>
        <v>47600</v>
      </c>
      <c r="H972" s="123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</row>
    <row r="973" spans="1:23" x14ac:dyDescent="0.2">
      <c r="A973" s="134">
        <v>9</v>
      </c>
      <c r="B973" s="137">
        <v>45810</v>
      </c>
      <c r="C973" s="135"/>
      <c r="D973" s="135">
        <f t="shared" si="93"/>
        <v>0</v>
      </c>
      <c r="E973" s="135">
        <f t="shared" si="94"/>
        <v>0</v>
      </c>
      <c r="F973" s="50" t="s">
        <v>107</v>
      </c>
      <c r="G973" s="50">
        <f t="shared" si="95"/>
        <v>47600</v>
      </c>
      <c r="H973" s="123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</row>
    <row r="974" spans="1:23" x14ac:dyDescent="0.2">
      <c r="A974" s="134">
        <v>10</v>
      </c>
      <c r="B974" s="137">
        <v>45817</v>
      </c>
      <c r="C974" s="135"/>
      <c r="D974" s="135">
        <f t="shared" si="93"/>
        <v>0</v>
      </c>
      <c r="E974" s="135">
        <f t="shared" si="94"/>
        <v>0</v>
      </c>
      <c r="F974" s="50"/>
      <c r="G974" s="50">
        <f t="shared" si="95"/>
        <v>47600</v>
      </c>
      <c r="H974" s="123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</row>
    <row r="975" spans="1:23" x14ac:dyDescent="0.2">
      <c r="A975" s="134">
        <v>11</v>
      </c>
      <c r="B975" s="137">
        <v>45824</v>
      </c>
      <c r="C975" s="135"/>
      <c r="D975" s="135">
        <f t="shared" si="93"/>
        <v>0</v>
      </c>
      <c r="E975" s="135">
        <f t="shared" si="94"/>
        <v>0</v>
      </c>
      <c r="F975" s="50"/>
      <c r="G975" s="50">
        <f t="shared" si="95"/>
        <v>47600</v>
      </c>
      <c r="H975" s="123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</row>
    <row r="976" spans="1:23" x14ac:dyDescent="0.2">
      <c r="A976" s="134">
        <v>12</v>
      </c>
      <c r="B976" s="137">
        <v>45831</v>
      </c>
      <c r="C976" s="135"/>
      <c r="D976" s="135">
        <f t="shared" si="93"/>
        <v>0</v>
      </c>
      <c r="E976" s="135">
        <f t="shared" si="94"/>
        <v>0</v>
      </c>
      <c r="F976" s="50"/>
      <c r="G976" s="50">
        <f t="shared" si="95"/>
        <v>47600</v>
      </c>
      <c r="H976" s="123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</row>
    <row r="977" spans="1:23" x14ac:dyDescent="0.2">
      <c r="A977" s="134">
        <v>13</v>
      </c>
      <c r="B977" s="137">
        <v>45838</v>
      </c>
      <c r="C977" s="135"/>
      <c r="D977" s="135">
        <f t="shared" si="93"/>
        <v>0</v>
      </c>
      <c r="E977" s="135">
        <f t="shared" si="94"/>
        <v>0</v>
      </c>
      <c r="F977" s="50"/>
      <c r="G977" s="50">
        <f t="shared" si="95"/>
        <v>47600</v>
      </c>
      <c r="H977" s="123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</row>
    <row r="978" spans="1:23" x14ac:dyDescent="0.2">
      <c r="A978" s="134">
        <v>14</v>
      </c>
      <c r="B978" s="137">
        <v>45845</v>
      </c>
      <c r="C978" s="135"/>
      <c r="D978" s="135">
        <f t="shared" si="93"/>
        <v>0</v>
      </c>
      <c r="E978" s="135">
        <f t="shared" si="94"/>
        <v>0</v>
      </c>
      <c r="F978" s="50"/>
      <c r="G978" s="50">
        <f t="shared" si="95"/>
        <v>47600</v>
      </c>
      <c r="H978" s="123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</row>
    <row r="979" spans="1:23" x14ac:dyDescent="0.2">
      <c r="A979" s="134">
        <v>15</v>
      </c>
      <c r="B979" s="137">
        <v>45852</v>
      </c>
      <c r="C979" s="135"/>
      <c r="D979" s="135">
        <f t="shared" si="93"/>
        <v>0</v>
      </c>
      <c r="E979" s="135">
        <f t="shared" si="94"/>
        <v>0</v>
      </c>
      <c r="F979" s="50"/>
      <c r="G979" s="50">
        <f t="shared" si="95"/>
        <v>47600</v>
      </c>
      <c r="H979" s="123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</row>
    <row r="980" spans="1:23" x14ac:dyDescent="0.2">
      <c r="A980" s="134">
        <v>16</v>
      </c>
      <c r="B980" s="137">
        <v>45859</v>
      </c>
      <c r="C980" s="135"/>
      <c r="D980" s="135">
        <f t="shared" si="93"/>
        <v>0</v>
      </c>
      <c r="E980" s="135">
        <f t="shared" si="94"/>
        <v>0</v>
      </c>
      <c r="F980" s="50"/>
      <c r="G980" s="50">
        <f t="shared" si="95"/>
        <v>47600</v>
      </c>
      <c r="H980" s="123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</row>
    <row r="981" spans="1:23" x14ac:dyDescent="0.2">
      <c r="A981" s="134">
        <v>17</v>
      </c>
      <c r="B981" s="137">
        <v>45866</v>
      </c>
      <c r="C981" s="135"/>
      <c r="D981" s="135">
        <f t="shared" si="93"/>
        <v>0</v>
      </c>
      <c r="E981" s="135">
        <f t="shared" si="94"/>
        <v>0</v>
      </c>
      <c r="F981" s="50"/>
      <c r="G981" s="50">
        <f t="shared" si="95"/>
        <v>47600</v>
      </c>
      <c r="H981" s="123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</row>
    <row r="982" spans="1:23" x14ac:dyDescent="0.2">
      <c r="A982" s="138"/>
      <c r="B982" s="139"/>
      <c r="C982" s="140"/>
      <c r="D982" s="141">
        <f>SUMIFS(D965:D981, F965:F981, "Y")</f>
        <v>12857.142857142859</v>
      </c>
      <c r="E982" s="141">
        <f>SUMIFS(E965:E981, F965:F981, "Y")</f>
        <v>5142.8571428571413</v>
      </c>
      <c r="F982" s="167">
        <f>(SUMIFS(D965:D981, F965:F981, "Y") + SUMIFS(E965:E981, F965:F981, "Y"))</f>
        <v>18000</v>
      </c>
      <c r="G982" s="140"/>
      <c r="H982" s="144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</row>
    <row r="983" spans="1:23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</row>
    <row r="984" spans="1:23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</row>
    <row r="985" spans="1:23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</row>
    <row r="986" spans="1:23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</row>
    <row r="987" spans="1:23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</row>
    <row r="988" spans="1:23" x14ac:dyDescent="0.2">
      <c r="A988" s="256" t="s">
        <v>201</v>
      </c>
      <c r="B988" s="257"/>
      <c r="C988" s="119"/>
      <c r="D988" s="119"/>
      <c r="E988" s="119"/>
      <c r="F988" s="119"/>
      <c r="G988" s="119"/>
      <c r="H988" s="12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</row>
    <row r="989" spans="1:23" x14ac:dyDescent="0.2">
      <c r="A989" s="258" t="s">
        <v>7</v>
      </c>
      <c r="B989" s="259"/>
      <c r="C989" s="148">
        <v>50000</v>
      </c>
      <c r="D989" s="30"/>
      <c r="E989" s="30"/>
      <c r="F989" s="30"/>
      <c r="G989" s="30"/>
      <c r="H989" s="123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</row>
    <row r="990" spans="1:23" x14ac:dyDescent="0.2">
      <c r="A990" s="258" t="s">
        <v>8</v>
      </c>
      <c r="B990" s="259"/>
      <c r="C990" s="82">
        <v>45747</v>
      </c>
      <c r="D990" s="30"/>
      <c r="E990" s="49"/>
      <c r="F990" s="49"/>
      <c r="G990" s="49"/>
      <c r="H990" s="125" t="s">
        <v>10</v>
      </c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</row>
    <row r="991" spans="1:23" x14ac:dyDescent="0.2">
      <c r="A991" s="258" t="s">
        <v>103</v>
      </c>
      <c r="B991" s="259"/>
      <c r="C991" s="135">
        <v>10000</v>
      </c>
      <c r="D991" s="66"/>
      <c r="E991" s="260" t="s">
        <v>14</v>
      </c>
      <c r="F991" s="126" t="s">
        <v>15</v>
      </c>
      <c r="G991" s="135">
        <v>0</v>
      </c>
      <c r="H991" s="127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</row>
    <row r="992" spans="1:23" x14ac:dyDescent="0.2">
      <c r="A992" s="258" t="s">
        <v>17</v>
      </c>
      <c r="B992" s="259"/>
      <c r="C992" s="50">
        <v>2</v>
      </c>
      <c r="D992" s="66"/>
      <c r="E992" s="261"/>
      <c r="F992" s="126" t="s">
        <v>18</v>
      </c>
      <c r="G992" s="50">
        <v>50000</v>
      </c>
      <c r="H992" s="127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</row>
    <row r="993" spans="1:23" x14ac:dyDescent="0.2">
      <c r="A993" s="258" t="s">
        <v>20</v>
      </c>
      <c r="B993" s="259"/>
      <c r="C993" s="50">
        <f>C991*C992</f>
        <v>20000</v>
      </c>
      <c r="D993" s="30"/>
      <c r="E993" s="128"/>
      <c r="F993" s="30"/>
      <c r="G993" s="66"/>
      <c r="H993" s="123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</row>
    <row r="994" spans="1:23" x14ac:dyDescent="0.2">
      <c r="A994" s="258" t="s">
        <v>22</v>
      </c>
      <c r="B994" s="259"/>
      <c r="C994" s="121">
        <f>C989+C993</f>
        <v>70000</v>
      </c>
      <c r="D994" s="30"/>
      <c r="E994" s="30"/>
      <c r="F994" s="30"/>
      <c r="G994" s="30"/>
      <c r="H994" s="123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</row>
    <row r="995" spans="1:23" x14ac:dyDescent="0.2">
      <c r="A995" s="258" t="s">
        <v>24</v>
      </c>
      <c r="B995" s="259"/>
      <c r="C995" s="146">
        <v>1200</v>
      </c>
      <c r="D995" s="30" t="s">
        <v>200</v>
      </c>
      <c r="E995" s="30"/>
      <c r="F995" s="30"/>
      <c r="G995" s="30"/>
      <c r="H995" s="123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</row>
    <row r="996" spans="1:23" x14ac:dyDescent="0.2">
      <c r="A996" s="258" t="s">
        <v>28</v>
      </c>
      <c r="B996" s="259"/>
      <c r="C996" s="130" t="s">
        <v>154</v>
      </c>
      <c r="D996" s="30"/>
      <c r="E996" s="30"/>
      <c r="F996" s="30"/>
      <c r="G996" s="30"/>
      <c r="H996" s="123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</row>
    <row r="997" spans="1:23" x14ac:dyDescent="0.2">
      <c r="A997" s="134" t="s">
        <v>31</v>
      </c>
      <c r="B997" s="166" t="s">
        <v>106</v>
      </c>
      <c r="C997" s="126" t="s">
        <v>33</v>
      </c>
      <c r="D997" s="126" t="s">
        <v>34</v>
      </c>
      <c r="E997" s="126" t="s">
        <v>35</v>
      </c>
      <c r="F997" s="126" t="s">
        <v>36</v>
      </c>
      <c r="G997" s="126" t="s">
        <v>37</v>
      </c>
      <c r="H997" s="123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</row>
    <row r="998" spans="1:23" x14ac:dyDescent="0.2">
      <c r="A998" s="134">
        <v>0</v>
      </c>
      <c r="B998" s="135"/>
      <c r="C998" s="135"/>
      <c r="D998" s="135"/>
      <c r="E998" s="135"/>
      <c r="F998" s="135"/>
      <c r="G998" s="50">
        <f>C994</f>
        <v>70000</v>
      </c>
      <c r="H998" s="123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</row>
    <row r="999" spans="1:23" x14ac:dyDescent="0.2">
      <c r="A999" s="134">
        <v>1</v>
      </c>
      <c r="B999" s="137">
        <v>45754</v>
      </c>
      <c r="C999" s="135">
        <v>4800</v>
      </c>
      <c r="D999" s="135">
        <f t="shared" ref="D999:D1015" si="96">C999/1.4</f>
        <v>3428.5714285714289</v>
      </c>
      <c r="E999" s="135">
        <f t="shared" ref="E999:E1015" si="97">C999-D999</f>
        <v>1371.4285714285711</v>
      </c>
      <c r="F999" s="50" t="s">
        <v>41</v>
      </c>
      <c r="G999" s="50">
        <f t="shared" ref="G999:G1015" si="98">(G998-C999)</f>
        <v>65200</v>
      </c>
      <c r="H999" s="123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</row>
    <row r="1000" spans="1:23" x14ac:dyDescent="0.2">
      <c r="A1000" s="134">
        <v>2</v>
      </c>
      <c r="B1000" s="137">
        <v>45761</v>
      </c>
      <c r="C1000" s="135">
        <v>3600</v>
      </c>
      <c r="D1000" s="135">
        <f t="shared" si="96"/>
        <v>2571.4285714285716</v>
      </c>
      <c r="E1000" s="135">
        <f t="shared" si="97"/>
        <v>1028.5714285714284</v>
      </c>
      <c r="F1000" s="50" t="s">
        <v>41</v>
      </c>
      <c r="G1000" s="50">
        <f t="shared" si="98"/>
        <v>61600</v>
      </c>
      <c r="H1000" s="123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</row>
    <row r="1001" spans="1:23" x14ac:dyDescent="0.2">
      <c r="A1001" s="134">
        <v>3</v>
      </c>
      <c r="B1001" s="137">
        <v>45768</v>
      </c>
      <c r="C1001" s="135">
        <v>1200</v>
      </c>
      <c r="D1001" s="135">
        <f t="shared" si="96"/>
        <v>857.14285714285722</v>
      </c>
      <c r="E1001" s="135">
        <f t="shared" si="97"/>
        <v>342.85714285714278</v>
      </c>
      <c r="F1001" s="50" t="s">
        <v>41</v>
      </c>
      <c r="G1001" s="50">
        <f t="shared" si="98"/>
        <v>60400</v>
      </c>
      <c r="H1001" s="123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</row>
    <row r="1002" spans="1:23" x14ac:dyDescent="0.2">
      <c r="A1002" s="134">
        <v>4</v>
      </c>
      <c r="B1002" s="137">
        <v>45775</v>
      </c>
      <c r="C1002" s="135">
        <v>3600</v>
      </c>
      <c r="D1002" s="135">
        <f t="shared" si="96"/>
        <v>2571.4285714285716</v>
      </c>
      <c r="E1002" s="135">
        <f t="shared" si="97"/>
        <v>1028.5714285714284</v>
      </c>
      <c r="F1002" s="50" t="s">
        <v>41</v>
      </c>
      <c r="G1002" s="50">
        <f t="shared" si="98"/>
        <v>56800</v>
      </c>
      <c r="H1002" s="123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</row>
    <row r="1003" spans="1:23" x14ac:dyDescent="0.2">
      <c r="A1003" s="134">
        <v>5</v>
      </c>
      <c r="B1003" s="137">
        <v>45782</v>
      </c>
      <c r="C1003" s="135">
        <v>3600</v>
      </c>
      <c r="D1003" s="135">
        <f t="shared" si="96"/>
        <v>2571.4285714285716</v>
      </c>
      <c r="E1003" s="135">
        <f t="shared" si="97"/>
        <v>1028.5714285714284</v>
      </c>
      <c r="F1003" s="50" t="s">
        <v>41</v>
      </c>
      <c r="G1003" s="50">
        <f t="shared" si="98"/>
        <v>53200</v>
      </c>
      <c r="H1003" s="123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</row>
    <row r="1004" spans="1:23" x14ac:dyDescent="0.2">
      <c r="A1004" s="134">
        <v>6</v>
      </c>
      <c r="B1004" s="137">
        <v>45789</v>
      </c>
      <c r="C1004" s="135">
        <v>4400</v>
      </c>
      <c r="D1004" s="135">
        <f t="shared" si="96"/>
        <v>3142.8571428571431</v>
      </c>
      <c r="E1004" s="135">
        <f t="shared" si="97"/>
        <v>1257.1428571428569</v>
      </c>
      <c r="F1004" s="50" t="s">
        <v>107</v>
      </c>
      <c r="G1004" s="50">
        <f t="shared" si="98"/>
        <v>48800</v>
      </c>
      <c r="H1004" s="123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</row>
    <row r="1005" spans="1:23" x14ac:dyDescent="0.2">
      <c r="A1005" s="134">
        <v>7</v>
      </c>
      <c r="B1005" s="137">
        <v>45796</v>
      </c>
      <c r="C1005" s="135"/>
      <c r="D1005" s="135">
        <f t="shared" si="96"/>
        <v>0</v>
      </c>
      <c r="E1005" s="135">
        <f t="shared" si="97"/>
        <v>0</v>
      </c>
      <c r="F1005" s="50" t="s">
        <v>107</v>
      </c>
      <c r="G1005" s="50">
        <f t="shared" si="98"/>
        <v>48800</v>
      </c>
      <c r="H1005" s="123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</row>
    <row r="1006" spans="1:23" x14ac:dyDescent="0.2">
      <c r="A1006" s="134">
        <v>8</v>
      </c>
      <c r="B1006" s="137">
        <v>45803</v>
      </c>
      <c r="C1006" s="135"/>
      <c r="D1006" s="135">
        <f t="shared" si="96"/>
        <v>0</v>
      </c>
      <c r="E1006" s="135">
        <f t="shared" si="97"/>
        <v>0</v>
      </c>
      <c r="F1006" s="50" t="s">
        <v>107</v>
      </c>
      <c r="G1006" s="50">
        <f t="shared" si="98"/>
        <v>48800</v>
      </c>
      <c r="H1006" s="123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</row>
    <row r="1007" spans="1:23" x14ac:dyDescent="0.2">
      <c r="A1007" s="134">
        <v>9</v>
      </c>
      <c r="B1007" s="137">
        <v>45810</v>
      </c>
      <c r="C1007" s="135"/>
      <c r="D1007" s="135">
        <f t="shared" si="96"/>
        <v>0</v>
      </c>
      <c r="E1007" s="135">
        <f t="shared" si="97"/>
        <v>0</v>
      </c>
      <c r="F1007" s="50" t="s">
        <v>107</v>
      </c>
      <c r="G1007" s="50">
        <f t="shared" si="98"/>
        <v>48800</v>
      </c>
      <c r="H1007" s="123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</row>
    <row r="1008" spans="1:23" x14ac:dyDescent="0.2">
      <c r="A1008" s="134">
        <v>10</v>
      </c>
      <c r="B1008" s="137">
        <v>45817</v>
      </c>
      <c r="C1008" s="135"/>
      <c r="D1008" s="135">
        <f t="shared" si="96"/>
        <v>0</v>
      </c>
      <c r="E1008" s="135">
        <f t="shared" si="97"/>
        <v>0</v>
      </c>
      <c r="F1008" s="50"/>
      <c r="G1008" s="50">
        <f t="shared" si="98"/>
        <v>48800</v>
      </c>
      <c r="H1008" s="123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</row>
    <row r="1009" spans="1:23" x14ac:dyDescent="0.2">
      <c r="A1009" s="134">
        <v>11</v>
      </c>
      <c r="B1009" s="137">
        <v>45824</v>
      </c>
      <c r="C1009" s="135"/>
      <c r="D1009" s="135">
        <f t="shared" si="96"/>
        <v>0</v>
      </c>
      <c r="E1009" s="135">
        <f t="shared" si="97"/>
        <v>0</v>
      </c>
      <c r="F1009" s="50"/>
      <c r="G1009" s="50">
        <f t="shared" si="98"/>
        <v>48800</v>
      </c>
      <c r="H1009" s="123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</row>
    <row r="1010" spans="1:23" x14ac:dyDescent="0.2">
      <c r="A1010" s="134">
        <v>12</v>
      </c>
      <c r="B1010" s="137">
        <v>45831</v>
      </c>
      <c r="C1010" s="135"/>
      <c r="D1010" s="135">
        <f t="shared" si="96"/>
        <v>0</v>
      </c>
      <c r="E1010" s="135">
        <f t="shared" si="97"/>
        <v>0</v>
      </c>
      <c r="F1010" s="50"/>
      <c r="G1010" s="50">
        <f t="shared" si="98"/>
        <v>48800</v>
      </c>
      <c r="H1010" s="123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</row>
    <row r="1011" spans="1:23" x14ac:dyDescent="0.2">
      <c r="A1011" s="134">
        <v>13</v>
      </c>
      <c r="B1011" s="137">
        <v>45838</v>
      </c>
      <c r="C1011" s="135"/>
      <c r="D1011" s="135">
        <f t="shared" si="96"/>
        <v>0</v>
      </c>
      <c r="E1011" s="135">
        <f t="shared" si="97"/>
        <v>0</v>
      </c>
      <c r="F1011" s="50"/>
      <c r="G1011" s="50">
        <f t="shared" si="98"/>
        <v>48800</v>
      </c>
      <c r="H1011" s="123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</row>
    <row r="1012" spans="1:23" x14ac:dyDescent="0.2">
      <c r="A1012" s="134">
        <v>14</v>
      </c>
      <c r="B1012" s="137">
        <v>45845</v>
      </c>
      <c r="C1012" s="135"/>
      <c r="D1012" s="135">
        <f t="shared" si="96"/>
        <v>0</v>
      </c>
      <c r="E1012" s="135">
        <f t="shared" si="97"/>
        <v>0</v>
      </c>
      <c r="F1012" s="50"/>
      <c r="G1012" s="50">
        <f t="shared" si="98"/>
        <v>48800</v>
      </c>
      <c r="H1012" s="123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</row>
    <row r="1013" spans="1:23" x14ac:dyDescent="0.2">
      <c r="A1013" s="134">
        <v>15</v>
      </c>
      <c r="B1013" s="137">
        <v>45852</v>
      </c>
      <c r="C1013" s="135"/>
      <c r="D1013" s="135">
        <f t="shared" si="96"/>
        <v>0</v>
      </c>
      <c r="E1013" s="135">
        <f t="shared" si="97"/>
        <v>0</v>
      </c>
      <c r="F1013" s="50"/>
      <c r="G1013" s="50">
        <f t="shared" si="98"/>
        <v>48800</v>
      </c>
      <c r="H1013" s="123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</row>
    <row r="1014" spans="1:23" x14ac:dyDescent="0.2">
      <c r="A1014" s="134">
        <v>16</v>
      </c>
      <c r="B1014" s="137">
        <v>45859</v>
      </c>
      <c r="C1014" s="135"/>
      <c r="D1014" s="135">
        <f t="shared" si="96"/>
        <v>0</v>
      </c>
      <c r="E1014" s="135">
        <f t="shared" si="97"/>
        <v>0</v>
      </c>
      <c r="F1014" s="50"/>
      <c r="G1014" s="50">
        <f t="shared" si="98"/>
        <v>48800</v>
      </c>
      <c r="H1014" s="123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</row>
    <row r="1015" spans="1:23" x14ac:dyDescent="0.2">
      <c r="A1015" s="134">
        <v>17</v>
      </c>
      <c r="B1015" s="137">
        <v>45866</v>
      </c>
      <c r="C1015" s="135"/>
      <c r="D1015" s="135">
        <f t="shared" si="96"/>
        <v>0</v>
      </c>
      <c r="E1015" s="135">
        <f t="shared" si="97"/>
        <v>0</v>
      </c>
      <c r="F1015" s="50"/>
      <c r="G1015" s="50">
        <f t="shared" si="98"/>
        <v>48800</v>
      </c>
      <c r="H1015" s="123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</row>
    <row r="1016" spans="1:23" x14ac:dyDescent="0.2">
      <c r="A1016" s="138"/>
      <c r="B1016" s="139"/>
      <c r="C1016" s="140"/>
      <c r="D1016" s="141">
        <f>SUMIFS(D999:D1015, F999:F1015, "Y")</f>
        <v>12000</v>
      </c>
      <c r="E1016" s="141">
        <f>SUMIFS(E999:E1015, F999:F1015, "Y")</f>
        <v>4799.9999999999991</v>
      </c>
      <c r="F1016" s="167">
        <f>(SUMIFS(D999:D1015, F999:F1015, "Y") + SUMIFS(E999:E1015, F999:F1015, "Y"))</f>
        <v>16800</v>
      </c>
      <c r="G1016" s="140"/>
      <c r="H1016" s="144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</row>
    <row r="1017" spans="1:23" x14ac:dyDescent="0.2">
      <c r="A1017" s="30"/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</row>
    <row r="1018" spans="1:23" x14ac:dyDescent="0.2">
      <c r="A1018" s="30"/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</row>
    <row r="1019" spans="1:23" x14ac:dyDescent="0.2">
      <c r="A1019" s="30"/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</row>
    <row r="1020" spans="1:23" x14ac:dyDescent="0.2">
      <c r="A1020" s="30"/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</row>
    <row r="1021" spans="1:23" x14ac:dyDescent="0.2">
      <c r="A1021" s="30"/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</row>
    <row r="1022" spans="1:23" x14ac:dyDescent="0.2">
      <c r="A1022" s="256" t="s">
        <v>202</v>
      </c>
      <c r="B1022" s="257"/>
      <c r="C1022" s="168" t="s">
        <v>185</v>
      </c>
      <c r="D1022" s="119"/>
      <c r="E1022" s="119"/>
      <c r="F1022" s="119"/>
      <c r="G1022" s="119"/>
      <c r="H1022" s="12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</row>
    <row r="1023" spans="1:23" x14ac:dyDescent="0.2">
      <c r="A1023" s="258" t="s">
        <v>7</v>
      </c>
      <c r="B1023" s="259"/>
      <c r="C1023" s="135">
        <v>5000</v>
      </c>
      <c r="D1023" s="30"/>
      <c r="E1023" s="30"/>
      <c r="F1023" s="30"/>
      <c r="G1023" s="30"/>
      <c r="H1023" s="123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</row>
    <row r="1024" spans="1:23" x14ac:dyDescent="0.2">
      <c r="A1024" s="258" t="s">
        <v>8</v>
      </c>
      <c r="B1024" s="259"/>
      <c r="C1024" s="82">
        <v>45747</v>
      </c>
      <c r="D1024" s="30"/>
      <c r="E1024" s="49"/>
      <c r="F1024" s="49"/>
      <c r="G1024" s="49"/>
      <c r="H1024" s="125" t="s">
        <v>10</v>
      </c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</row>
    <row r="1025" spans="1:23" x14ac:dyDescent="0.2">
      <c r="A1025" s="258" t="s">
        <v>203</v>
      </c>
      <c r="B1025" s="259"/>
      <c r="C1025" s="135">
        <v>3000</v>
      </c>
      <c r="D1025" s="66"/>
      <c r="E1025" s="260" t="s">
        <v>14</v>
      </c>
      <c r="F1025" s="126" t="s">
        <v>15</v>
      </c>
      <c r="G1025" s="135">
        <v>0</v>
      </c>
      <c r="H1025" s="127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</row>
    <row r="1026" spans="1:23" x14ac:dyDescent="0.2">
      <c r="A1026" s="258" t="s">
        <v>17</v>
      </c>
      <c r="B1026" s="259"/>
      <c r="C1026" s="50">
        <v>1</v>
      </c>
      <c r="D1026" s="66" t="s">
        <v>204</v>
      </c>
      <c r="E1026" s="261"/>
      <c r="F1026" s="126" t="s">
        <v>18</v>
      </c>
      <c r="G1026" s="50">
        <v>5000</v>
      </c>
      <c r="H1026" s="127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</row>
    <row r="1027" spans="1:23" x14ac:dyDescent="0.2">
      <c r="A1027" s="258" t="s">
        <v>20</v>
      </c>
      <c r="B1027" s="259"/>
      <c r="C1027" s="50">
        <f>C1025*C1026</f>
        <v>3000</v>
      </c>
      <c r="D1027" s="30"/>
      <c r="E1027" s="128"/>
      <c r="F1027" s="30"/>
      <c r="G1027" s="66"/>
      <c r="H1027" s="123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</row>
    <row r="1028" spans="1:23" x14ac:dyDescent="0.2">
      <c r="A1028" s="258" t="s">
        <v>22</v>
      </c>
      <c r="B1028" s="259"/>
      <c r="C1028" s="121">
        <f>C1023+C1027</f>
        <v>8000</v>
      </c>
      <c r="D1028" s="30"/>
      <c r="E1028" s="30"/>
      <c r="F1028" s="30"/>
      <c r="G1028" s="30"/>
      <c r="H1028" s="123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</row>
    <row r="1029" spans="1:23" x14ac:dyDescent="0.2">
      <c r="A1029" s="258" t="s">
        <v>205</v>
      </c>
      <c r="B1029" s="259"/>
      <c r="C1029" s="146">
        <v>6000</v>
      </c>
      <c r="D1029" s="30"/>
      <c r="E1029" s="30"/>
      <c r="F1029" s="30"/>
      <c r="G1029" s="30"/>
      <c r="H1029" s="123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</row>
    <row r="1030" spans="1:23" x14ac:dyDescent="0.2">
      <c r="A1030" s="258" t="s">
        <v>28</v>
      </c>
      <c r="B1030" s="259"/>
      <c r="C1030" s="130" t="s">
        <v>206</v>
      </c>
      <c r="D1030" s="30"/>
      <c r="E1030" s="30"/>
      <c r="F1030" s="30"/>
      <c r="G1030" s="30"/>
      <c r="H1030" s="123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</row>
    <row r="1031" spans="1:23" x14ac:dyDescent="0.2">
      <c r="A1031" s="131" t="s">
        <v>31</v>
      </c>
      <c r="B1031" s="132" t="s">
        <v>106</v>
      </c>
      <c r="C1031" s="133" t="s">
        <v>33</v>
      </c>
      <c r="D1031" s="133" t="s">
        <v>34</v>
      </c>
      <c r="E1031" s="133" t="s">
        <v>35</v>
      </c>
      <c r="F1031" s="133" t="s">
        <v>36</v>
      </c>
      <c r="G1031" s="133" t="s">
        <v>37</v>
      </c>
      <c r="H1031" s="123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</row>
    <row r="1032" spans="1:23" x14ac:dyDescent="0.2">
      <c r="A1032" s="134">
        <v>0</v>
      </c>
      <c r="B1032" s="135"/>
      <c r="C1032" s="135"/>
      <c r="D1032" s="135"/>
      <c r="E1032" s="135"/>
      <c r="F1032" s="135"/>
      <c r="G1032" s="50">
        <f>C1028</f>
        <v>8000</v>
      </c>
      <c r="H1032" s="123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</row>
    <row r="1033" spans="1:23" x14ac:dyDescent="0.2">
      <c r="A1033" s="134">
        <v>1</v>
      </c>
      <c r="B1033" s="137">
        <v>45763</v>
      </c>
      <c r="C1033" s="135">
        <v>1000</v>
      </c>
      <c r="D1033" s="50">
        <f t="shared" ref="D1033:D1042" si="99">C1033/1.4</f>
        <v>714.28571428571433</v>
      </c>
      <c r="E1033" s="50">
        <f t="shared" ref="E1033:E1042" si="100">C1033-D1033</f>
        <v>285.71428571428567</v>
      </c>
      <c r="F1033" s="50" t="s">
        <v>41</v>
      </c>
      <c r="G1033" s="50">
        <f t="shared" ref="G1033:G1042" si="101">(G1032-C1033)</f>
        <v>7000</v>
      </c>
      <c r="H1033" s="123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</row>
    <row r="1034" spans="1:23" x14ac:dyDescent="0.2">
      <c r="A1034" s="134">
        <v>2</v>
      </c>
      <c r="B1034" s="137">
        <v>45779</v>
      </c>
      <c r="C1034" s="135">
        <v>1000</v>
      </c>
      <c r="D1034" s="50">
        <f t="shared" si="99"/>
        <v>714.28571428571433</v>
      </c>
      <c r="E1034" s="50">
        <f t="shared" si="100"/>
        <v>285.71428571428567</v>
      </c>
      <c r="F1034" s="50" t="s">
        <v>168</v>
      </c>
      <c r="G1034" s="50">
        <f t="shared" si="101"/>
        <v>6000</v>
      </c>
      <c r="H1034" s="123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</row>
    <row r="1035" spans="1:23" x14ac:dyDescent="0.2">
      <c r="A1035" s="134">
        <v>3</v>
      </c>
      <c r="B1035" s="137">
        <v>45782</v>
      </c>
      <c r="C1035" s="135">
        <v>0</v>
      </c>
      <c r="D1035" s="50">
        <f t="shared" si="99"/>
        <v>0</v>
      </c>
      <c r="E1035" s="50">
        <f t="shared" si="100"/>
        <v>0</v>
      </c>
      <c r="F1035" s="50" t="s">
        <v>168</v>
      </c>
      <c r="G1035" s="50">
        <f t="shared" si="101"/>
        <v>6000</v>
      </c>
      <c r="H1035" s="123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</row>
    <row r="1036" spans="1:23" x14ac:dyDescent="0.2">
      <c r="A1036" s="134">
        <v>4</v>
      </c>
      <c r="B1036" s="137">
        <v>45789</v>
      </c>
      <c r="C1036" s="135">
        <v>6000</v>
      </c>
      <c r="D1036" s="50">
        <f t="shared" si="99"/>
        <v>4285.7142857142862</v>
      </c>
      <c r="E1036" s="50">
        <f t="shared" si="100"/>
        <v>1714.2857142857138</v>
      </c>
      <c r="F1036" s="50" t="s">
        <v>107</v>
      </c>
      <c r="G1036" s="50">
        <f t="shared" si="101"/>
        <v>0</v>
      </c>
      <c r="H1036" s="123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</row>
    <row r="1037" spans="1:23" x14ac:dyDescent="0.2">
      <c r="A1037" s="134">
        <v>5</v>
      </c>
      <c r="B1037" s="137"/>
      <c r="C1037" s="135"/>
      <c r="D1037" s="50">
        <f t="shared" si="99"/>
        <v>0</v>
      </c>
      <c r="E1037" s="50">
        <f t="shared" si="100"/>
        <v>0</v>
      </c>
      <c r="F1037" s="50" t="s">
        <v>107</v>
      </c>
      <c r="G1037" s="50">
        <f t="shared" si="101"/>
        <v>0</v>
      </c>
      <c r="H1037" s="123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</row>
    <row r="1038" spans="1:23" x14ac:dyDescent="0.2">
      <c r="A1038" s="134">
        <v>6</v>
      </c>
      <c r="B1038" s="137"/>
      <c r="C1038" s="135"/>
      <c r="D1038" s="50">
        <f t="shared" si="99"/>
        <v>0</v>
      </c>
      <c r="E1038" s="50">
        <f t="shared" si="100"/>
        <v>0</v>
      </c>
      <c r="F1038" s="50" t="s">
        <v>107</v>
      </c>
      <c r="G1038" s="50">
        <f t="shared" si="101"/>
        <v>0</v>
      </c>
      <c r="H1038" s="123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</row>
    <row r="1039" spans="1:23" x14ac:dyDescent="0.2">
      <c r="A1039" s="134">
        <v>7</v>
      </c>
      <c r="B1039" s="137"/>
      <c r="C1039" s="135"/>
      <c r="D1039" s="50">
        <f t="shared" si="99"/>
        <v>0</v>
      </c>
      <c r="E1039" s="50">
        <f t="shared" si="100"/>
        <v>0</v>
      </c>
      <c r="F1039" s="50" t="s">
        <v>107</v>
      </c>
      <c r="G1039" s="50">
        <f t="shared" si="101"/>
        <v>0</v>
      </c>
      <c r="H1039" s="123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</row>
    <row r="1040" spans="1:23" x14ac:dyDescent="0.2">
      <c r="A1040" s="134">
        <v>8</v>
      </c>
      <c r="B1040" s="137"/>
      <c r="C1040" s="135"/>
      <c r="D1040" s="50">
        <f t="shared" si="99"/>
        <v>0</v>
      </c>
      <c r="E1040" s="50">
        <f t="shared" si="100"/>
        <v>0</v>
      </c>
      <c r="F1040" s="50" t="s">
        <v>107</v>
      </c>
      <c r="G1040" s="50">
        <f t="shared" si="101"/>
        <v>0</v>
      </c>
      <c r="H1040" s="123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</row>
    <row r="1041" spans="1:23" x14ac:dyDescent="0.2">
      <c r="A1041" s="134">
        <v>9</v>
      </c>
      <c r="B1041" s="137"/>
      <c r="C1041" s="135"/>
      <c r="D1041" s="50">
        <f t="shared" si="99"/>
        <v>0</v>
      </c>
      <c r="E1041" s="50">
        <f t="shared" si="100"/>
        <v>0</v>
      </c>
      <c r="F1041" s="135"/>
      <c r="G1041" s="50">
        <f t="shared" si="101"/>
        <v>0</v>
      </c>
      <c r="H1041" s="123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</row>
    <row r="1042" spans="1:23" x14ac:dyDescent="0.2">
      <c r="A1042" s="134">
        <v>10</v>
      </c>
      <c r="B1042" s="137"/>
      <c r="C1042" s="135"/>
      <c r="D1042" s="50">
        <f t="shared" si="99"/>
        <v>0</v>
      </c>
      <c r="E1042" s="50">
        <f t="shared" si="100"/>
        <v>0</v>
      </c>
      <c r="F1042" s="135"/>
      <c r="G1042" s="50">
        <f t="shared" si="101"/>
        <v>0</v>
      </c>
      <c r="H1042" s="123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</row>
    <row r="1043" spans="1:23" x14ac:dyDescent="0.2">
      <c r="A1043" s="138"/>
      <c r="B1043" s="139"/>
      <c r="C1043" s="140"/>
      <c r="D1043" s="167">
        <f>SUMIFS(D1033:D1042, F1033:F1042, "Y")</f>
        <v>714.28571428571433</v>
      </c>
      <c r="E1043" s="143">
        <f>SUMIFS(E1033:E1042, F1033:F1042, "Y")</f>
        <v>285.71428571428567</v>
      </c>
      <c r="F1043" s="143">
        <f>(SUMIFS(D1033:D1042, F1033:F1042, "Y") + SUMIFS(E1033:E1042, F1033:F1042, "Y"))</f>
        <v>1000</v>
      </c>
      <c r="G1043" s="140"/>
      <c r="H1043" s="144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</row>
    <row r="1044" spans="1:23" x14ac:dyDescent="0.2">
      <c r="A1044" s="30"/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</row>
    <row r="1045" spans="1:23" x14ac:dyDescent="0.2">
      <c r="A1045" s="30"/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</row>
    <row r="1046" spans="1:23" x14ac:dyDescent="0.2">
      <c r="A1046" s="30"/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</row>
    <row r="1047" spans="1:23" x14ac:dyDescent="0.2">
      <c r="A1047" s="30"/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</row>
    <row r="1048" spans="1:23" x14ac:dyDescent="0.2">
      <c r="A1048" s="30"/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</row>
    <row r="1049" spans="1:23" x14ac:dyDescent="0.2">
      <c r="A1049" s="256" t="s">
        <v>207</v>
      </c>
      <c r="B1049" s="257"/>
      <c r="C1049" s="119"/>
      <c r="D1049" s="119"/>
      <c r="E1049" s="119"/>
      <c r="F1049" s="119"/>
      <c r="G1049" s="119"/>
      <c r="H1049" s="12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</row>
    <row r="1050" spans="1:23" x14ac:dyDescent="0.2">
      <c r="A1050" s="258" t="s">
        <v>7</v>
      </c>
      <c r="B1050" s="259"/>
      <c r="C1050" s="50">
        <v>80000</v>
      </c>
      <c r="D1050" s="30"/>
      <c r="E1050" s="30"/>
      <c r="F1050" s="30"/>
      <c r="G1050" s="30"/>
      <c r="H1050" s="123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</row>
    <row r="1051" spans="1:23" x14ac:dyDescent="0.2">
      <c r="A1051" s="258" t="s">
        <v>8</v>
      </c>
      <c r="B1051" s="259"/>
      <c r="C1051" s="150">
        <v>45754</v>
      </c>
      <c r="D1051" s="30"/>
      <c r="E1051" s="49"/>
      <c r="F1051" s="49"/>
      <c r="G1051" s="49"/>
      <c r="H1051" s="125" t="s">
        <v>10</v>
      </c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</row>
    <row r="1052" spans="1:23" x14ac:dyDescent="0.2">
      <c r="A1052" s="258" t="s">
        <v>152</v>
      </c>
      <c r="B1052" s="259"/>
      <c r="C1052" s="50">
        <v>12000</v>
      </c>
      <c r="D1052" s="66"/>
      <c r="E1052" s="260" t="s">
        <v>14</v>
      </c>
      <c r="F1052" s="126" t="s">
        <v>15</v>
      </c>
      <c r="G1052" s="50">
        <v>0</v>
      </c>
      <c r="H1052" s="127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</row>
    <row r="1053" spans="1:23" x14ac:dyDescent="0.2">
      <c r="A1053" s="258" t="s">
        <v>17</v>
      </c>
      <c r="B1053" s="259"/>
      <c r="C1053" s="50">
        <v>3</v>
      </c>
      <c r="D1053" s="66" t="s">
        <v>153</v>
      </c>
      <c r="E1053" s="261"/>
      <c r="F1053" s="126" t="s">
        <v>18</v>
      </c>
      <c r="G1053" s="50">
        <v>80000</v>
      </c>
      <c r="H1053" s="127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</row>
    <row r="1054" spans="1:23" x14ac:dyDescent="0.2">
      <c r="A1054" s="258" t="s">
        <v>20</v>
      </c>
      <c r="B1054" s="259"/>
      <c r="C1054" s="50">
        <f>C1052*C1053</f>
        <v>36000</v>
      </c>
      <c r="D1054" s="30"/>
      <c r="E1054" s="128"/>
      <c r="F1054" s="30"/>
      <c r="G1054" s="66"/>
      <c r="H1054" s="123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</row>
    <row r="1055" spans="1:23" x14ac:dyDescent="0.2">
      <c r="A1055" s="258" t="s">
        <v>22</v>
      </c>
      <c r="B1055" s="259"/>
      <c r="C1055" s="121">
        <f>C1050+C1054</f>
        <v>116000</v>
      </c>
      <c r="D1055" s="30"/>
      <c r="E1055" s="30"/>
      <c r="F1055" s="30"/>
      <c r="G1055" s="30"/>
      <c r="H1055" s="123"/>
    </row>
    <row r="1056" spans="1:23" x14ac:dyDescent="0.2">
      <c r="A1056" s="258" t="s">
        <v>24</v>
      </c>
      <c r="B1056" s="259"/>
      <c r="C1056" s="146">
        <v>1200</v>
      </c>
      <c r="D1056" s="30" t="s">
        <v>208</v>
      </c>
      <c r="E1056" s="30"/>
      <c r="F1056" s="30"/>
      <c r="G1056" s="30"/>
      <c r="H1056" s="123"/>
    </row>
    <row r="1057" spans="1:8" x14ac:dyDescent="0.2">
      <c r="A1057" s="258" t="s">
        <v>28</v>
      </c>
      <c r="B1057" s="259"/>
      <c r="C1057" s="130" t="s">
        <v>179</v>
      </c>
      <c r="D1057" s="30"/>
      <c r="E1057" s="30"/>
      <c r="F1057" s="30"/>
      <c r="G1057" s="30"/>
      <c r="H1057" s="123"/>
    </row>
    <row r="1058" spans="1:8" x14ac:dyDescent="0.2">
      <c r="A1058" s="131" t="s">
        <v>31</v>
      </c>
      <c r="B1058" s="132" t="s">
        <v>106</v>
      </c>
      <c r="C1058" s="133" t="s">
        <v>33</v>
      </c>
      <c r="D1058" s="133" t="s">
        <v>34</v>
      </c>
      <c r="E1058" s="133" t="s">
        <v>35</v>
      </c>
      <c r="F1058" s="133" t="s">
        <v>36</v>
      </c>
      <c r="G1058" s="133" t="s">
        <v>37</v>
      </c>
      <c r="H1058" s="123"/>
    </row>
    <row r="1059" spans="1:8" x14ac:dyDescent="0.2">
      <c r="A1059" s="134">
        <v>0</v>
      </c>
      <c r="B1059" s="135"/>
      <c r="C1059" s="135"/>
      <c r="D1059" s="135"/>
      <c r="E1059" s="135"/>
      <c r="F1059" s="135"/>
      <c r="G1059" s="50">
        <f>C1055</f>
        <v>116000</v>
      </c>
      <c r="H1059" s="123"/>
    </row>
    <row r="1060" spans="1:8" x14ac:dyDescent="0.2">
      <c r="A1060" s="134">
        <v>1</v>
      </c>
      <c r="B1060" s="137">
        <v>45761</v>
      </c>
      <c r="C1060" s="50">
        <v>4800</v>
      </c>
      <c r="D1060" s="50">
        <f t="shared" ref="D1060:D1076" si="102">C1060/1.45</f>
        <v>3310.344827586207</v>
      </c>
      <c r="E1060" s="50">
        <f t="shared" ref="E1060:E1076" si="103">C1060-D1060</f>
        <v>1489.655172413793</v>
      </c>
      <c r="F1060" s="50" t="s">
        <v>41</v>
      </c>
      <c r="G1060" s="50">
        <f t="shared" ref="G1060:G1076" si="104">(G1059-C1060)</f>
        <v>111200</v>
      </c>
      <c r="H1060" s="123"/>
    </row>
    <row r="1061" spans="1:8" x14ac:dyDescent="0.2">
      <c r="A1061" s="134">
        <v>2</v>
      </c>
      <c r="B1061" s="137">
        <v>45768</v>
      </c>
      <c r="C1061" s="50">
        <v>3600</v>
      </c>
      <c r="D1061" s="50">
        <f t="shared" si="102"/>
        <v>2482.7586206896553</v>
      </c>
      <c r="E1061" s="50">
        <f t="shared" si="103"/>
        <v>1117.2413793103447</v>
      </c>
      <c r="F1061" s="50" t="s">
        <v>41</v>
      </c>
      <c r="G1061" s="50">
        <f t="shared" si="104"/>
        <v>107600</v>
      </c>
      <c r="H1061" s="123"/>
    </row>
    <row r="1062" spans="1:8" x14ac:dyDescent="0.2">
      <c r="A1062" s="134">
        <v>3</v>
      </c>
      <c r="B1062" s="137">
        <v>45775</v>
      </c>
      <c r="C1062" s="50">
        <v>4800</v>
      </c>
      <c r="D1062" s="50">
        <f t="shared" si="102"/>
        <v>3310.344827586207</v>
      </c>
      <c r="E1062" s="50">
        <f t="shared" si="103"/>
        <v>1489.655172413793</v>
      </c>
      <c r="F1062" s="50" t="s">
        <v>41</v>
      </c>
      <c r="G1062" s="50">
        <f t="shared" si="104"/>
        <v>102800</v>
      </c>
      <c r="H1062" s="123"/>
    </row>
    <row r="1063" spans="1:8" x14ac:dyDescent="0.2">
      <c r="A1063" s="134">
        <v>4</v>
      </c>
      <c r="B1063" s="137">
        <v>45782</v>
      </c>
      <c r="C1063" s="50">
        <v>4800</v>
      </c>
      <c r="D1063" s="50">
        <f t="shared" si="102"/>
        <v>3310.344827586207</v>
      </c>
      <c r="E1063" s="50">
        <f t="shared" si="103"/>
        <v>1489.655172413793</v>
      </c>
      <c r="F1063" s="50" t="s">
        <v>41</v>
      </c>
      <c r="G1063" s="50">
        <f t="shared" si="104"/>
        <v>98000</v>
      </c>
      <c r="H1063" s="123"/>
    </row>
    <row r="1064" spans="1:8" x14ac:dyDescent="0.2">
      <c r="A1064" s="134">
        <v>5</v>
      </c>
      <c r="B1064" s="137">
        <v>45789</v>
      </c>
      <c r="C1064" s="50">
        <v>4800</v>
      </c>
      <c r="D1064" s="50">
        <f t="shared" si="102"/>
        <v>3310.344827586207</v>
      </c>
      <c r="E1064" s="50">
        <f t="shared" si="103"/>
        <v>1489.655172413793</v>
      </c>
      <c r="F1064" s="50" t="s">
        <v>107</v>
      </c>
      <c r="G1064" s="50">
        <f t="shared" si="104"/>
        <v>93200</v>
      </c>
      <c r="H1064" s="123"/>
    </row>
    <row r="1065" spans="1:8" x14ac:dyDescent="0.2">
      <c r="A1065" s="134">
        <v>6</v>
      </c>
      <c r="B1065" s="137">
        <v>45796</v>
      </c>
      <c r="C1065" s="50"/>
      <c r="D1065" s="50">
        <f t="shared" si="102"/>
        <v>0</v>
      </c>
      <c r="E1065" s="50">
        <f t="shared" si="103"/>
        <v>0</v>
      </c>
      <c r="F1065" s="50" t="s">
        <v>107</v>
      </c>
      <c r="G1065" s="50">
        <f t="shared" si="104"/>
        <v>93200</v>
      </c>
      <c r="H1065" s="123"/>
    </row>
    <row r="1066" spans="1:8" x14ac:dyDescent="0.2">
      <c r="A1066" s="134">
        <v>7</v>
      </c>
      <c r="B1066" s="137">
        <v>45803</v>
      </c>
      <c r="C1066" s="50"/>
      <c r="D1066" s="50">
        <f t="shared" si="102"/>
        <v>0</v>
      </c>
      <c r="E1066" s="50">
        <f t="shared" si="103"/>
        <v>0</v>
      </c>
      <c r="F1066" s="50" t="s">
        <v>107</v>
      </c>
      <c r="G1066" s="50">
        <f t="shared" si="104"/>
        <v>93200</v>
      </c>
      <c r="H1066" s="123"/>
    </row>
    <row r="1067" spans="1:8" x14ac:dyDescent="0.2">
      <c r="A1067" s="134">
        <v>8</v>
      </c>
      <c r="B1067" s="137">
        <v>45810</v>
      </c>
      <c r="C1067" s="50"/>
      <c r="D1067" s="50">
        <f t="shared" si="102"/>
        <v>0</v>
      </c>
      <c r="E1067" s="50">
        <f t="shared" si="103"/>
        <v>0</v>
      </c>
      <c r="F1067" s="50" t="s">
        <v>107</v>
      </c>
      <c r="G1067" s="50">
        <f t="shared" si="104"/>
        <v>93200</v>
      </c>
      <c r="H1067" s="123"/>
    </row>
    <row r="1068" spans="1:8" x14ac:dyDescent="0.2">
      <c r="A1068" s="134">
        <v>9</v>
      </c>
      <c r="B1068" s="137">
        <v>45817</v>
      </c>
      <c r="C1068" s="135"/>
      <c r="D1068" s="50">
        <f t="shared" si="102"/>
        <v>0</v>
      </c>
      <c r="E1068" s="50">
        <f t="shared" si="103"/>
        <v>0</v>
      </c>
      <c r="F1068" s="50" t="s">
        <v>107</v>
      </c>
      <c r="G1068" s="50">
        <f t="shared" si="104"/>
        <v>93200</v>
      </c>
      <c r="H1068" s="123"/>
    </row>
    <row r="1069" spans="1:8" x14ac:dyDescent="0.2">
      <c r="A1069" s="134">
        <v>10</v>
      </c>
      <c r="B1069" s="137">
        <v>45824</v>
      </c>
      <c r="C1069" s="135"/>
      <c r="D1069" s="50">
        <f t="shared" si="102"/>
        <v>0</v>
      </c>
      <c r="E1069" s="50">
        <f t="shared" si="103"/>
        <v>0</v>
      </c>
      <c r="F1069" s="50" t="s">
        <v>107</v>
      </c>
      <c r="G1069" s="50">
        <f t="shared" si="104"/>
        <v>93200</v>
      </c>
      <c r="H1069" s="123"/>
    </row>
    <row r="1070" spans="1:8" x14ac:dyDescent="0.2">
      <c r="A1070" s="134">
        <v>11</v>
      </c>
      <c r="B1070" s="137">
        <v>45831</v>
      </c>
      <c r="C1070" s="135"/>
      <c r="D1070" s="50">
        <f t="shared" si="102"/>
        <v>0</v>
      </c>
      <c r="E1070" s="50">
        <f t="shared" si="103"/>
        <v>0</v>
      </c>
      <c r="F1070" s="50" t="s">
        <v>107</v>
      </c>
      <c r="G1070" s="50">
        <f t="shared" si="104"/>
        <v>93200</v>
      </c>
      <c r="H1070" s="123"/>
    </row>
    <row r="1071" spans="1:8" x14ac:dyDescent="0.2">
      <c r="A1071" s="134">
        <v>12</v>
      </c>
      <c r="B1071" s="137">
        <v>45838</v>
      </c>
      <c r="C1071" s="135"/>
      <c r="D1071" s="50">
        <f t="shared" si="102"/>
        <v>0</v>
      </c>
      <c r="E1071" s="50">
        <f t="shared" si="103"/>
        <v>0</v>
      </c>
      <c r="F1071" s="50" t="s">
        <v>107</v>
      </c>
      <c r="G1071" s="50">
        <f t="shared" si="104"/>
        <v>93200</v>
      </c>
      <c r="H1071" s="123"/>
    </row>
    <row r="1072" spans="1:8" x14ac:dyDescent="0.2">
      <c r="A1072" s="134">
        <v>13</v>
      </c>
      <c r="B1072" s="137">
        <v>45845</v>
      </c>
      <c r="C1072" s="135"/>
      <c r="D1072" s="50">
        <f t="shared" si="102"/>
        <v>0</v>
      </c>
      <c r="E1072" s="50">
        <f t="shared" si="103"/>
        <v>0</v>
      </c>
      <c r="F1072" s="50" t="s">
        <v>107</v>
      </c>
      <c r="G1072" s="50">
        <f t="shared" si="104"/>
        <v>93200</v>
      </c>
      <c r="H1072" s="123"/>
    </row>
    <row r="1073" spans="1:8" x14ac:dyDescent="0.2">
      <c r="A1073" s="134">
        <v>14</v>
      </c>
      <c r="B1073" s="137"/>
      <c r="C1073" s="135"/>
      <c r="D1073" s="50">
        <f t="shared" si="102"/>
        <v>0</v>
      </c>
      <c r="E1073" s="50">
        <f t="shared" si="103"/>
        <v>0</v>
      </c>
      <c r="F1073" s="50" t="s">
        <v>107</v>
      </c>
      <c r="G1073" s="50">
        <f t="shared" si="104"/>
        <v>93200</v>
      </c>
      <c r="H1073" s="123"/>
    </row>
    <row r="1074" spans="1:8" x14ac:dyDescent="0.2">
      <c r="A1074" s="134">
        <v>15</v>
      </c>
      <c r="B1074" s="137"/>
      <c r="C1074" s="135"/>
      <c r="D1074" s="50">
        <f t="shared" si="102"/>
        <v>0</v>
      </c>
      <c r="E1074" s="50">
        <f t="shared" si="103"/>
        <v>0</v>
      </c>
      <c r="F1074" s="50" t="s">
        <v>107</v>
      </c>
      <c r="G1074" s="50">
        <f t="shared" si="104"/>
        <v>93200</v>
      </c>
      <c r="H1074" s="123"/>
    </row>
    <row r="1075" spans="1:8" x14ac:dyDescent="0.2">
      <c r="A1075" s="134">
        <v>16</v>
      </c>
      <c r="B1075" s="137"/>
      <c r="C1075" s="135"/>
      <c r="D1075" s="50">
        <f t="shared" si="102"/>
        <v>0</v>
      </c>
      <c r="E1075" s="50">
        <f t="shared" si="103"/>
        <v>0</v>
      </c>
      <c r="F1075" s="50" t="s">
        <v>107</v>
      </c>
      <c r="G1075" s="50">
        <f t="shared" si="104"/>
        <v>93200</v>
      </c>
      <c r="H1075" s="123"/>
    </row>
    <row r="1076" spans="1:8" x14ac:dyDescent="0.2">
      <c r="A1076" s="134">
        <v>17</v>
      </c>
      <c r="B1076" s="137"/>
      <c r="C1076" s="135"/>
      <c r="D1076" s="50">
        <f t="shared" si="102"/>
        <v>0</v>
      </c>
      <c r="E1076" s="50">
        <f t="shared" si="103"/>
        <v>0</v>
      </c>
      <c r="F1076" s="50" t="s">
        <v>107</v>
      </c>
      <c r="G1076" s="50">
        <f t="shared" si="104"/>
        <v>93200</v>
      </c>
      <c r="H1076" s="123"/>
    </row>
    <row r="1077" spans="1:8" x14ac:dyDescent="0.2">
      <c r="A1077" s="138"/>
      <c r="B1077" s="139"/>
      <c r="C1077" s="140"/>
      <c r="D1077" s="141">
        <f>SUMIFS(D1060:D1076, F1060:F1076, "Y")</f>
        <v>12413.793103448275</v>
      </c>
      <c r="E1077" s="142">
        <f>SUMIFS(E1060:E1076, F1060:F1076, "Y")</f>
        <v>5586.2068965517246</v>
      </c>
      <c r="F1077" s="143">
        <f>(SUMIFS(D1060:D1076, F1060:F1076, "Y") + SUMIFS(E1060:E1076, F1060:F1076, "Y"))</f>
        <v>18000</v>
      </c>
      <c r="G1077" s="140"/>
      <c r="H1077" s="144"/>
    </row>
    <row r="1078" spans="1:8" x14ac:dyDescent="0.2">
      <c r="A1078" s="30"/>
      <c r="B1078" s="66"/>
      <c r="C1078" s="30"/>
      <c r="D1078" s="48"/>
      <c r="E1078" s="169"/>
      <c r="F1078" s="170"/>
      <c r="G1078" s="30"/>
      <c r="H1078" s="30"/>
    </row>
    <row r="1079" spans="1:8" x14ac:dyDescent="0.2">
      <c r="A1079" s="30"/>
      <c r="B1079" s="66"/>
      <c r="C1079" s="30"/>
      <c r="D1079" s="48"/>
      <c r="E1079" s="169"/>
      <c r="F1079" s="170"/>
      <c r="G1079" s="30"/>
      <c r="H1079" s="30"/>
    </row>
    <row r="1080" spans="1:8" x14ac:dyDescent="0.2">
      <c r="A1080" s="30"/>
      <c r="B1080" s="66"/>
      <c r="C1080" s="30"/>
      <c r="D1080" s="48"/>
      <c r="E1080" s="169"/>
      <c r="F1080" s="170"/>
      <c r="G1080" s="30"/>
      <c r="H1080" s="30"/>
    </row>
    <row r="1081" spans="1:8" x14ac:dyDescent="0.2">
      <c r="A1081" s="30"/>
      <c r="B1081" s="66"/>
      <c r="C1081" s="30"/>
      <c r="D1081" s="48"/>
      <c r="E1081" s="169"/>
      <c r="F1081" s="170"/>
      <c r="G1081" s="30"/>
      <c r="H1081" s="30"/>
    </row>
    <row r="1082" spans="1:8" x14ac:dyDescent="0.2">
      <c r="A1082" s="30"/>
      <c r="B1082" s="66"/>
      <c r="C1082" s="30"/>
      <c r="D1082" s="48"/>
      <c r="E1082" s="169"/>
      <c r="F1082" s="170"/>
      <c r="G1082" s="30"/>
      <c r="H1082" s="30"/>
    </row>
    <row r="1083" spans="1:8" x14ac:dyDescent="0.2">
      <c r="A1083" s="256" t="s">
        <v>209</v>
      </c>
      <c r="B1083" s="257"/>
      <c r="C1083" s="119"/>
      <c r="D1083" s="171"/>
      <c r="E1083" s="171"/>
      <c r="F1083" s="119"/>
      <c r="G1083" s="119"/>
      <c r="H1083" s="120"/>
    </row>
    <row r="1084" spans="1:8" x14ac:dyDescent="0.2">
      <c r="A1084" s="258" t="s">
        <v>7</v>
      </c>
      <c r="B1084" s="259"/>
      <c r="C1084" s="121">
        <v>100000</v>
      </c>
      <c r="D1084" s="66"/>
      <c r="E1084" s="66"/>
      <c r="F1084" s="30"/>
      <c r="G1084" s="30"/>
      <c r="H1084" s="123"/>
    </row>
    <row r="1085" spans="1:8" x14ac:dyDescent="0.2">
      <c r="A1085" s="258" t="s">
        <v>8</v>
      </c>
      <c r="B1085" s="259"/>
      <c r="C1085" s="124" t="s">
        <v>210</v>
      </c>
      <c r="D1085" s="66"/>
      <c r="E1085" s="135"/>
      <c r="F1085" s="49"/>
      <c r="G1085" s="49"/>
      <c r="H1085" s="125" t="s">
        <v>10</v>
      </c>
    </row>
    <row r="1086" spans="1:8" x14ac:dyDescent="0.2">
      <c r="A1086" s="258" t="s">
        <v>13</v>
      </c>
      <c r="B1086" s="259"/>
      <c r="C1086" s="50">
        <v>10000</v>
      </c>
      <c r="D1086" s="66"/>
      <c r="E1086" s="262" t="s">
        <v>14</v>
      </c>
      <c r="F1086" s="126" t="s">
        <v>15</v>
      </c>
      <c r="G1086" s="50">
        <v>0</v>
      </c>
      <c r="H1086" s="127"/>
    </row>
    <row r="1087" spans="1:8" x14ac:dyDescent="0.2">
      <c r="A1087" s="258" t="s">
        <v>17</v>
      </c>
      <c r="B1087" s="259"/>
      <c r="C1087" s="50">
        <v>3</v>
      </c>
      <c r="D1087" s="66" t="s">
        <v>153</v>
      </c>
      <c r="E1087" s="261"/>
      <c r="F1087" s="126" t="s">
        <v>18</v>
      </c>
      <c r="G1087" s="50">
        <v>100000</v>
      </c>
      <c r="H1087" s="127"/>
    </row>
    <row r="1088" spans="1:8" x14ac:dyDescent="0.2">
      <c r="A1088" s="258" t="s">
        <v>20</v>
      </c>
      <c r="B1088" s="259"/>
      <c r="C1088" s="50">
        <f>C1086*C1087</f>
        <v>30000</v>
      </c>
      <c r="D1088" s="66"/>
      <c r="E1088" s="172"/>
      <c r="F1088" s="30"/>
      <c r="G1088" s="66"/>
      <c r="H1088" s="123"/>
    </row>
    <row r="1089" spans="1:8" x14ac:dyDescent="0.2">
      <c r="A1089" s="258" t="s">
        <v>22</v>
      </c>
      <c r="B1089" s="259"/>
      <c r="C1089" s="121">
        <f>C1084+C1088</f>
        <v>130000</v>
      </c>
      <c r="D1089" s="66"/>
      <c r="E1089" s="66"/>
      <c r="F1089" s="30"/>
      <c r="G1089" s="30"/>
      <c r="H1089" s="123"/>
    </row>
    <row r="1090" spans="1:8" x14ac:dyDescent="0.2">
      <c r="A1090" s="258" t="s">
        <v>124</v>
      </c>
      <c r="B1090" s="259"/>
      <c r="C1090" s="129">
        <v>10833</v>
      </c>
      <c r="D1090" s="66"/>
      <c r="E1090" s="66"/>
      <c r="F1090" s="30"/>
      <c r="G1090" s="30"/>
      <c r="H1090" s="123"/>
    </row>
    <row r="1091" spans="1:8" x14ac:dyDescent="0.2">
      <c r="A1091" s="258" t="s">
        <v>28</v>
      </c>
      <c r="B1091" s="259"/>
      <c r="C1091" s="130" t="s">
        <v>29</v>
      </c>
      <c r="D1091" s="66"/>
      <c r="E1091" s="66"/>
      <c r="F1091" s="30"/>
      <c r="G1091" s="30"/>
      <c r="H1091" s="123"/>
    </row>
    <row r="1092" spans="1:8" x14ac:dyDescent="0.2">
      <c r="A1092" s="131" t="s">
        <v>31</v>
      </c>
      <c r="B1092" s="132" t="s">
        <v>106</v>
      </c>
      <c r="C1092" s="133" t="s">
        <v>33</v>
      </c>
      <c r="D1092" s="132" t="s">
        <v>34</v>
      </c>
      <c r="E1092" s="132" t="s">
        <v>35</v>
      </c>
      <c r="F1092" s="133" t="s">
        <v>36</v>
      </c>
      <c r="G1092" s="133" t="s">
        <v>37</v>
      </c>
      <c r="H1092" s="123"/>
    </row>
    <row r="1093" spans="1:8" x14ac:dyDescent="0.2">
      <c r="A1093" s="134">
        <v>0</v>
      </c>
      <c r="B1093" s="135"/>
      <c r="C1093" s="135"/>
      <c r="D1093" s="135"/>
      <c r="E1093" s="135"/>
      <c r="F1093" s="135"/>
      <c r="G1093" s="50">
        <f>C1089</f>
        <v>130000</v>
      </c>
      <c r="H1093" s="123"/>
    </row>
    <row r="1094" spans="1:8" x14ac:dyDescent="0.2">
      <c r="A1094" s="134">
        <v>1</v>
      </c>
      <c r="B1094" s="137">
        <v>45768</v>
      </c>
      <c r="C1094" s="50">
        <v>10900</v>
      </c>
      <c r="D1094" s="50">
        <f t="shared" ref="D1094:D1110" si="105">C1094/1.45</f>
        <v>7517.2413793103451</v>
      </c>
      <c r="E1094" s="50">
        <f t="shared" ref="E1094:E1110" si="106">C1094-D1094</f>
        <v>3382.7586206896549</v>
      </c>
      <c r="F1094" s="50" t="s">
        <v>41</v>
      </c>
      <c r="G1094" s="50">
        <f t="shared" ref="G1094:G1110" si="107">(G1093-C1094)</f>
        <v>119100</v>
      </c>
      <c r="H1094" s="123"/>
    </row>
    <row r="1095" spans="1:8" x14ac:dyDescent="0.2">
      <c r="A1095" s="134">
        <v>2</v>
      </c>
      <c r="B1095" s="137">
        <v>45775</v>
      </c>
      <c r="C1095" s="50">
        <v>10900</v>
      </c>
      <c r="D1095" s="50">
        <f t="shared" si="105"/>
        <v>7517.2413793103451</v>
      </c>
      <c r="E1095" s="50">
        <f t="shared" si="106"/>
        <v>3382.7586206896549</v>
      </c>
      <c r="F1095" s="50" t="s">
        <v>41</v>
      </c>
      <c r="G1095" s="50">
        <f t="shared" si="107"/>
        <v>108200</v>
      </c>
      <c r="H1095" s="123"/>
    </row>
    <row r="1096" spans="1:8" x14ac:dyDescent="0.2">
      <c r="A1096" s="134">
        <v>3</v>
      </c>
      <c r="B1096" s="137">
        <v>45782</v>
      </c>
      <c r="C1096" s="50">
        <v>10900</v>
      </c>
      <c r="D1096" s="50">
        <f t="shared" si="105"/>
        <v>7517.2413793103451</v>
      </c>
      <c r="E1096" s="50">
        <f t="shared" si="106"/>
        <v>3382.7586206896549</v>
      </c>
      <c r="F1096" s="50" t="s">
        <v>41</v>
      </c>
      <c r="G1096" s="50">
        <f t="shared" si="107"/>
        <v>97300</v>
      </c>
      <c r="H1096" s="123"/>
    </row>
    <row r="1097" spans="1:8" x14ac:dyDescent="0.2">
      <c r="A1097" s="134">
        <v>4</v>
      </c>
      <c r="B1097" s="137">
        <v>45789</v>
      </c>
      <c r="C1097" s="50">
        <v>10900</v>
      </c>
      <c r="D1097" s="50">
        <f t="shared" si="105"/>
        <v>7517.2413793103451</v>
      </c>
      <c r="E1097" s="50">
        <f t="shared" si="106"/>
        <v>3382.7586206896549</v>
      </c>
      <c r="F1097" s="50" t="s">
        <v>107</v>
      </c>
      <c r="G1097" s="50">
        <f t="shared" si="107"/>
        <v>86400</v>
      </c>
      <c r="H1097" s="123"/>
    </row>
    <row r="1098" spans="1:8" x14ac:dyDescent="0.2">
      <c r="A1098" s="134">
        <v>5</v>
      </c>
      <c r="B1098" s="137">
        <v>45796</v>
      </c>
      <c r="C1098" s="50"/>
      <c r="D1098" s="50">
        <f t="shared" si="105"/>
        <v>0</v>
      </c>
      <c r="E1098" s="50">
        <f t="shared" si="106"/>
        <v>0</v>
      </c>
      <c r="F1098" s="50" t="s">
        <v>107</v>
      </c>
      <c r="G1098" s="50">
        <f t="shared" si="107"/>
        <v>86400</v>
      </c>
      <c r="H1098" s="123"/>
    </row>
    <row r="1099" spans="1:8" x14ac:dyDescent="0.2">
      <c r="A1099" s="134">
        <v>6</v>
      </c>
      <c r="B1099" s="137">
        <v>45803</v>
      </c>
      <c r="C1099" s="50"/>
      <c r="D1099" s="50">
        <f t="shared" si="105"/>
        <v>0</v>
      </c>
      <c r="E1099" s="50">
        <f t="shared" si="106"/>
        <v>0</v>
      </c>
      <c r="F1099" s="50" t="s">
        <v>107</v>
      </c>
      <c r="G1099" s="50">
        <f t="shared" si="107"/>
        <v>86400</v>
      </c>
      <c r="H1099" s="123"/>
    </row>
    <row r="1100" spans="1:8" x14ac:dyDescent="0.2">
      <c r="A1100" s="134">
        <v>7</v>
      </c>
      <c r="B1100" s="137">
        <v>45810</v>
      </c>
      <c r="C1100" s="50"/>
      <c r="D1100" s="50">
        <f t="shared" si="105"/>
        <v>0</v>
      </c>
      <c r="E1100" s="50">
        <f t="shared" si="106"/>
        <v>0</v>
      </c>
      <c r="F1100" s="50" t="s">
        <v>107</v>
      </c>
      <c r="G1100" s="50">
        <f t="shared" si="107"/>
        <v>86400</v>
      </c>
      <c r="H1100" s="123"/>
    </row>
    <row r="1101" spans="1:8" x14ac:dyDescent="0.2">
      <c r="A1101" s="134">
        <v>8</v>
      </c>
      <c r="B1101" s="137">
        <v>45817</v>
      </c>
      <c r="C1101" s="50"/>
      <c r="D1101" s="50">
        <f t="shared" si="105"/>
        <v>0</v>
      </c>
      <c r="E1101" s="50">
        <f t="shared" si="106"/>
        <v>0</v>
      </c>
      <c r="F1101" s="50" t="s">
        <v>107</v>
      </c>
      <c r="G1101" s="50">
        <f t="shared" si="107"/>
        <v>86400</v>
      </c>
      <c r="H1101" s="123"/>
    </row>
    <row r="1102" spans="1:8" x14ac:dyDescent="0.2">
      <c r="A1102" s="134">
        <v>9</v>
      </c>
      <c r="B1102" s="137">
        <v>45824</v>
      </c>
      <c r="C1102" s="50"/>
      <c r="D1102" s="50">
        <f t="shared" si="105"/>
        <v>0</v>
      </c>
      <c r="E1102" s="50">
        <f t="shared" si="106"/>
        <v>0</v>
      </c>
      <c r="F1102" s="50" t="s">
        <v>107</v>
      </c>
      <c r="G1102" s="50">
        <f t="shared" si="107"/>
        <v>86400</v>
      </c>
      <c r="H1102" s="123"/>
    </row>
    <row r="1103" spans="1:8" x14ac:dyDescent="0.2">
      <c r="A1103" s="134">
        <v>10</v>
      </c>
      <c r="B1103" s="137">
        <v>45831</v>
      </c>
      <c r="C1103" s="50"/>
      <c r="D1103" s="50">
        <f t="shared" si="105"/>
        <v>0</v>
      </c>
      <c r="E1103" s="50">
        <f t="shared" si="106"/>
        <v>0</v>
      </c>
      <c r="F1103" s="50" t="s">
        <v>107</v>
      </c>
      <c r="G1103" s="50">
        <f t="shared" si="107"/>
        <v>86400</v>
      </c>
      <c r="H1103" s="123"/>
    </row>
    <row r="1104" spans="1:8" x14ac:dyDescent="0.2">
      <c r="A1104" s="134">
        <v>11</v>
      </c>
      <c r="B1104" s="137">
        <v>45838</v>
      </c>
      <c r="C1104" s="50"/>
      <c r="D1104" s="50">
        <f t="shared" si="105"/>
        <v>0</v>
      </c>
      <c r="E1104" s="50">
        <f t="shared" si="106"/>
        <v>0</v>
      </c>
      <c r="F1104" s="50" t="s">
        <v>107</v>
      </c>
      <c r="G1104" s="50">
        <f t="shared" si="107"/>
        <v>86400</v>
      </c>
      <c r="H1104" s="123"/>
    </row>
    <row r="1105" spans="1:8" x14ac:dyDescent="0.2">
      <c r="A1105" s="134">
        <v>12</v>
      </c>
      <c r="B1105" s="137">
        <v>45845</v>
      </c>
      <c r="C1105" s="135"/>
      <c r="D1105" s="50">
        <f t="shared" si="105"/>
        <v>0</v>
      </c>
      <c r="E1105" s="50">
        <f t="shared" si="106"/>
        <v>0</v>
      </c>
      <c r="F1105" s="50" t="s">
        <v>107</v>
      </c>
      <c r="G1105" s="50">
        <f t="shared" si="107"/>
        <v>86400</v>
      </c>
      <c r="H1105" s="123"/>
    </row>
    <row r="1106" spans="1:8" x14ac:dyDescent="0.2">
      <c r="A1106" s="134">
        <v>13</v>
      </c>
      <c r="B1106" s="137">
        <v>45852</v>
      </c>
      <c r="C1106" s="135"/>
      <c r="D1106" s="50">
        <f t="shared" si="105"/>
        <v>0</v>
      </c>
      <c r="E1106" s="50">
        <f t="shared" si="106"/>
        <v>0</v>
      </c>
      <c r="F1106" s="50" t="s">
        <v>107</v>
      </c>
      <c r="G1106" s="50">
        <f t="shared" si="107"/>
        <v>86400</v>
      </c>
      <c r="H1106" s="123"/>
    </row>
    <row r="1107" spans="1:8" x14ac:dyDescent="0.2">
      <c r="A1107" s="134">
        <v>14</v>
      </c>
      <c r="B1107" s="137">
        <v>45859</v>
      </c>
      <c r="C1107" s="135"/>
      <c r="D1107" s="50">
        <f t="shared" si="105"/>
        <v>0</v>
      </c>
      <c r="E1107" s="50">
        <f t="shared" si="106"/>
        <v>0</v>
      </c>
      <c r="F1107" s="50" t="s">
        <v>107</v>
      </c>
      <c r="G1107" s="50">
        <f t="shared" si="107"/>
        <v>86400</v>
      </c>
      <c r="H1107" s="123"/>
    </row>
    <row r="1108" spans="1:8" x14ac:dyDescent="0.2">
      <c r="A1108" s="134">
        <v>15</v>
      </c>
      <c r="B1108" s="137">
        <v>45866</v>
      </c>
      <c r="C1108" s="135"/>
      <c r="D1108" s="50">
        <f t="shared" si="105"/>
        <v>0</v>
      </c>
      <c r="E1108" s="50">
        <f t="shared" si="106"/>
        <v>0</v>
      </c>
      <c r="F1108" s="50" t="s">
        <v>107</v>
      </c>
      <c r="G1108" s="50">
        <f t="shared" si="107"/>
        <v>86400</v>
      </c>
      <c r="H1108" s="123"/>
    </row>
    <row r="1109" spans="1:8" x14ac:dyDescent="0.2">
      <c r="A1109" s="134">
        <v>16</v>
      </c>
      <c r="B1109" s="137">
        <v>45873</v>
      </c>
      <c r="C1109" s="135"/>
      <c r="D1109" s="50">
        <f t="shared" si="105"/>
        <v>0</v>
      </c>
      <c r="E1109" s="50">
        <f t="shared" si="106"/>
        <v>0</v>
      </c>
      <c r="F1109" s="50" t="s">
        <v>107</v>
      </c>
      <c r="G1109" s="50">
        <f t="shared" si="107"/>
        <v>86400</v>
      </c>
      <c r="H1109" s="123"/>
    </row>
    <row r="1110" spans="1:8" x14ac:dyDescent="0.2">
      <c r="A1110" s="134">
        <v>17</v>
      </c>
      <c r="B1110" s="137">
        <v>45880</v>
      </c>
      <c r="C1110" s="135"/>
      <c r="D1110" s="50">
        <f t="shared" si="105"/>
        <v>0</v>
      </c>
      <c r="E1110" s="50">
        <f t="shared" si="106"/>
        <v>0</v>
      </c>
      <c r="F1110" s="50" t="s">
        <v>107</v>
      </c>
      <c r="G1110" s="50">
        <f t="shared" si="107"/>
        <v>86400</v>
      </c>
      <c r="H1110" s="123"/>
    </row>
    <row r="1111" spans="1:8" x14ac:dyDescent="0.2">
      <c r="A1111" s="138"/>
      <c r="B1111" s="139"/>
      <c r="C1111" s="140"/>
      <c r="D1111" s="141">
        <f>SUMIFS(D1094:D1110, F1094:F1110, "Y")</f>
        <v>22551.724137931036</v>
      </c>
      <c r="E1111" s="142">
        <f>SUMIFS(E1094:E1110, F1094:F1110, "Y")</f>
        <v>10148.275862068964</v>
      </c>
      <c r="F1111" s="143">
        <f>(SUMIFS(D1094:D1110, F1094:F1110, "Y") + SUMIFS(E1094:E1110, F1094:F1110, "Y"))</f>
        <v>32700</v>
      </c>
      <c r="G1111" s="140"/>
      <c r="H1111" s="144"/>
    </row>
    <row r="1112" spans="1:8" x14ac:dyDescent="0.2">
      <c r="A1112" s="30"/>
      <c r="B1112" s="66"/>
      <c r="C1112" s="30"/>
      <c r="D1112" s="48"/>
      <c r="E1112" s="169"/>
      <c r="F1112" s="170"/>
      <c r="G1112" s="30"/>
      <c r="H1112" s="30"/>
    </row>
    <row r="1113" spans="1:8" x14ac:dyDescent="0.2">
      <c r="A1113" s="30"/>
      <c r="B1113" s="66"/>
      <c r="C1113" s="30"/>
      <c r="D1113" s="48"/>
      <c r="E1113" s="169"/>
      <c r="F1113" s="170"/>
      <c r="G1113" s="30"/>
      <c r="H1113" s="30"/>
    </row>
    <row r="1114" spans="1:8" x14ac:dyDescent="0.2">
      <c r="A1114" s="30"/>
      <c r="B1114" s="66"/>
      <c r="C1114" s="30"/>
      <c r="D1114" s="48"/>
      <c r="E1114" s="169"/>
      <c r="F1114" s="170"/>
      <c r="G1114" s="30"/>
      <c r="H1114" s="30"/>
    </row>
    <row r="1115" spans="1:8" x14ac:dyDescent="0.2">
      <c r="A1115" s="30"/>
      <c r="B1115" s="66"/>
      <c r="C1115" s="30"/>
      <c r="D1115" s="48"/>
      <c r="E1115" s="169"/>
      <c r="F1115" s="170"/>
      <c r="G1115" s="30"/>
      <c r="H1115" s="30"/>
    </row>
    <row r="1116" spans="1:8" x14ac:dyDescent="0.2">
      <c r="A1116" s="30"/>
      <c r="B1116" s="66"/>
      <c r="C1116" s="30"/>
      <c r="D1116" s="48"/>
      <c r="E1116" s="169"/>
      <c r="F1116" s="170"/>
      <c r="G1116" s="30"/>
      <c r="H1116" s="30"/>
    </row>
    <row r="1117" spans="1:8" x14ac:dyDescent="0.2">
      <c r="A1117" s="256" t="s">
        <v>211</v>
      </c>
      <c r="B1117" s="257"/>
      <c r="C1117" s="173"/>
      <c r="D1117" s="173"/>
      <c r="E1117" s="173"/>
      <c r="F1117" s="173"/>
      <c r="G1117" s="173"/>
      <c r="H1117" s="174"/>
    </row>
    <row r="1118" spans="1:8" x14ac:dyDescent="0.2">
      <c r="A1118" s="263" t="s">
        <v>7</v>
      </c>
      <c r="B1118" s="259"/>
      <c r="C1118" s="175">
        <v>30000</v>
      </c>
      <c r="D1118" s="176"/>
      <c r="E1118" s="176"/>
      <c r="F1118" s="176"/>
      <c r="G1118" s="176"/>
      <c r="H1118" s="177"/>
    </row>
    <row r="1119" spans="1:8" x14ac:dyDescent="0.2">
      <c r="A1119" s="263" t="s">
        <v>8</v>
      </c>
      <c r="B1119" s="259"/>
      <c r="C1119" s="178" t="s">
        <v>212</v>
      </c>
      <c r="D1119" s="176"/>
      <c r="E1119" s="179"/>
      <c r="F1119" s="179"/>
      <c r="G1119" s="179"/>
      <c r="H1119" s="180" t="s">
        <v>10</v>
      </c>
    </row>
    <row r="1120" spans="1:8" x14ac:dyDescent="0.2">
      <c r="A1120" s="263" t="s">
        <v>103</v>
      </c>
      <c r="B1120" s="259"/>
      <c r="C1120" s="64">
        <v>6000</v>
      </c>
      <c r="D1120" s="181"/>
      <c r="E1120" s="264" t="s">
        <v>14</v>
      </c>
      <c r="F1120" s="182" t="s">
        <v>15</v>
      </c>
      <c r="G1120" s="183">
        <v>0</v>
      </c>
      <c r="H1120" s="184"/>
    </row>
    <row r="1121" spans="1:8" x14ac:dyDescent="0.2">
      <c r="A1121" s="263" t="s">
        <v>17</v>
      </c>
      <c r="B1121" s="259"/>
      <c r="C1121" s="64">
        <v>2</v>
      </c>
      <c r="D1121" s="181"/>
      <c r="E1121" s="261"/>
      <c r="F1121" s="182" t="s">
        <v>18</v>
      </c>
      <c r="G1121" s="183">
        <v>30000</v>
      </c>
      <c r="H1121" s="184"/>
    </row>
    <row r="1122" spans="1:8" x14ac:dyDescent="0.2">
      <c r="A1122" s="263" t="s">
        <v>20</v>
      </c>
      <c r="B1122" s="259"/>
      <c r="C1122" s="64">
        <f>C1120*C1121</f>
        <v>12000</v>
      </c>
      <c r="D1122" s="185"/>
      <c r="E1122" s="186"/>
      <c r="F1122" s="185"/>
      <c r="G1122" s="181"/>
      <c r="H1122" s="187"/>
    </row>
    <row r="1123" spans="1:8" x14ac:dyDescent="0.2">
      <c r="A1123" s="263" t="s">
        <v>22</v>
      </c>
      <c r="B1123" s="259"/>
      <c r="C1123" s="175">
        <f>C1118+C1122</f>
        <v>42000</v>
      </c>
      <c r="D1123" s="185"/>
      <c r="E1123" s="185"/>
      <c r="F1123" s="185"/>
      <c r="G1123" s="185"/>
      <c r="H1123" s="187"/>
    </row>
    <row r="1124" spans="1:8" x14ac:dyDescent="0.2">
      <c r="A1124" s="263" t="s">
        <v>166</v>
      </c>
      <c r="B1124" s="259"/>
      <c r="C1124" s="188">
        <v>700</v>
      </c>
      <c r="D1124" s="176" t="s">
        <v>213</v>
      </c>
      <c r="E1124" s="176"/>
      <c r="F1124" s="176"/>
      <c r="G1124" s="176"/>
      <c r="H1124" s="177"/>
    </row>
    <row r="1125" spans="1:8" x14ac:dyDescent="0.2">
      <c r="A1125" s="263" t="s">
        <v>28</v>
      </c>
      <c r="B1125" s="259"/>
      <c r="C1125" s="189" t="s">
        <v>179</v>
      </c>
      <c r="D1125" s="176"/>
      <c r="E1125" s="176"/>
      <c r="F1125" s="176"/>
      <c r="G1125" s="176"/>
      <c r="H1125" s="177"/>
    </row>
    <row r="1126" spans="1:8" x14ac:dyDescent="0.2">
      <c r="A1126" s="190" t="s">
        <v>31</v>
      </c>
      <c r="B1126" s="183" t="s">
        <v>106</v>
      </c>
      <c r="C1126" s="182" t="s">
        <v>33</v>
      </c>
      <c r="D1126" s="182" t="s">
        <v>34</v>
      </c>
      <c r="E1126" s="182" t="s">
        <v>35</v>
      </c>
      <c r="F1126" s="182" t="s">
        <v>36</v>
      </c>
      <c r="G1126" s="182" t="s">
        <v>37</v>
      </c>
      <c r="H1126" s="177"/>
    </row>
    <row r="1127" spans="1:8" x14ac:dyDescent="0.2">
      <c r="A1127" s="190">
        <v>0</v>
      </c>
      <c r="B1127" s="191"/>
      <c r="C1127" s="191"/>
      <c r="D1127" s="191"/>
      <c r="E1127" s="191"/>
      <c r="F1127" s="191"/>
      <c r="G1127" s="64">
        <f>C1123</f>
        <v>42000</v>
      </c>
      <c r="H1127" s="177"/>
    </row>
    <row r="1128" spans="1:8" x14ac:dyDescent="0.2">
      <c r="A1128" s="190">
        <v>1</v>
      </c>
      <c r="B1128" s="137">
        <v>45775</v>
      </c>
      <c r="C1128" s="64">
        <v>2800</v>
      </c>
      <c r="D1128" s="64">
        <f t="shared" ref="D1128:D1136" si="108">C1128/1.2</f>
        <v>2333.3333333333335</v>
      </c>
      <c r="E1128" s="64">
        <f t="shared" ref="E1128:E1136" si="109">C1128-D1128</f>
        <v>466.66666666666652</v>
      </c>
      <c r="F1128" s="64" t="s">
        <v>41</v>
      </c>
      <c r="G1128" s="64">
        <f t="shared" ref="G1128:G1136" si="110">(G1127-C1128)</f>
        <v>39200</v>
      </c>
      <c r="H1128" s="177"/>
    </row>
    <row r="1129" spans="1:8" x14ac:dyDescent="0.2">
      <c r="A1129" s="190">
        <v>2</v>
      </c>
      <c r="B1129" s="137">
        <v>45782</v>
      </c>
      <c r="C1129" s="64">
        <v>2100</v>
      </c>
      <c r="D1129" s="64">
        <f t="shared" si="108"/>
        <v>1750</v>
      </c>
      <c r="E1129" s="64">
        <f t="shared" si="109"/>
        <v>350</v>
      </c>
      <c r="F1129" s="64" t="s">
        <v>41</v>
      </c>
      <c r="G1129" s="64">
        <f t="shared" si="110"/>
        <v>37100</v>
      </c>
      <c r="H1129" s="177"/>
    </row>
    <row r="1130" spans="1:8" x14ac:dyDescent="0.2">
      <c r="A1130" s="190">
        <v>3</v>
      </c>
      <c r="B1130" s="137">
        <v>45789</v>
      </c>
      <c r="C1130" s="64">
        <v>2800</v>
      </c>
      <c r="D1130" s="64">
        <f t="shared" si="108"/>
        <v>2333.3333333333335</v>
      </c>
      <c r="E1130" s="64">
        <f t="shared" si="109"/>
        <v>466.66666666666652</v>
      </c>
      <c r="F1130" s="64" t="s">
        <v>107</v>
      </c>
      <c r="G1130" s="64">
        <f t="shared" si="110"/>
        <v>34300</v>
      </c>
      <c r="H1130" s="177"/>
    </row>
    <row r="1131" spans="1:8" x14ac:dyDescent="0.2">
      <c r="A1131" s="190">
        <v>4</v>
      </c>
      <c r="B1131" s="137">
        <v>45796</v>
      </c>
      <c r="C1131" s="64"/>
      <c r="D1131" s="64">
        <f t="shared" si="108"/>
        <v>0</v>
      </c>
      <c r="E1131" s="64">
        <f t="shared" si="109"/>
        <v>0</v>
      </c>
      <c r="F1131" s="64" t="s">
        <v>107</v>
      </c>
      <c r="G1131" s="64">
        <f t="shared" si="110"/>
        <v>34300</v>
      </c>
      <c r="H1131" s="177"/>
    </row>
    <row r="1132" spans="1:8" x14ac:dyDescent="0.2">
      <c r="A1132" s="190">
        <v>5</v>
      </c>
      <c r="B1132" s="137">
        <v>45803</v>
      </c>
      <c r="C1132" s="64"/>
      <c r="D1132" s="64">
        <f t="shared" si="108"/>
        <v>0</v>
      </c>
      <c r="E1132" s="64">
        <f t="shared" si="109"/>
        <v>0</v>
      </c>
      <c r="F1132" s="64" t="s">
        <v>107</v>
      </c>
      <c r="G1132" s="64">
        <f t="shared" si="110"/>
        <v>34300</v>
      </c>
      <c r="H1132" s="177"/>
    </row>
    <row r="1133" spans="1:8" x14ac:dyDescent="0.2">
      <c r="A1133" s="190">
        <v>6</v>
      </c>
      <c r="B1133" s="137">
        <v>45810</v>
      </c>
      <c r="C1133" s="64"/>
      <c r="D1133" s="64">
        <f t="shared" si="108"/>
        <v>0</v>
      </c>
      <c r="E1133" s="64">
        <f t="shared" si="109"/>
        <v>0</v>
      </c>
      <c r="F1133" s="64" t="s">
        <v>107</v>
      </c>
      <c r="G1133" s="64">
        <f t="shared" si="110"/>
        <v>34300</v>
      </c>
      <c r="H1133" s="177"/>
    </row>
    <row r="1134" spans="1:8" x14ac:dyDescent="0.2">
      <c r="A1134" s="190">
        <v>7</v>
      </c>
      <c r="B1134" s="137"/>
      <c r="C1134" s="64"/>
      <c r="D1134" s="64">
        <f t="shared" si="108"/>
        <v>0</v>
      </c>
      <c r="E1134" s="64">
        <f t="shared" si="109"/>
        <v>0</v>
      </c>
      <c r="F1134" s="64" t="s">
        <v>107</v>
      </c>
      <c r="G1134" s="64">
        <f t="shared" si="110"/>
        <v>34300</v>
      </c>
      <c r="H1134" s="177"/>
    </row>
    <row r="1135" spans="1:8" x14ac:dyDescent="0.2">
      <c r="A1135" s="190">
        <v>8</v>
      </c>
      <c r="B1135" s="137"/>
      <c r="C1135" s="64"/>
      <c r="D1135" s="64">
        <f t="shared" si="108"/>
        <v>0</v>
      </c>
      <c r="E1135" s="64">
        <f t="shared" si="109"/>
        <v>0</v>
      </c>
      <c r="F1135" s="64" t="s">
        <v>107</v>
      </c>
      <c r="G1135" s="64">
        <f t="shared" si="110"/>
        <v>34300</v>
      </c>
      <c r="H1135" s="177"/>
    </row>
    <row r="1136" spans="1:8" x14ac:dyDescent="0.2">
      <c r="A1136" s="190">
        <v>9</v>
      </c>
      <c r="B1136" s="137"/>
      <c r="C1136" s="191"/>
      <c r="D1136" s="64">
        <f t="shared" si="108"/>
        <v>0</v>
      </c>
      <c r="E1136" s="64">
        <f t="shared" si="109"/>
        <v>0</v>
      </c>
      <c r="F1136" s="191"/>
      <c r="G1136" s="64">
        <f t="shared" si="110"/>
        <v>34300</v>
      </c>
      <c r="H1136" s="177"/>
    </row>
    <row r="1137" spans="1:8" x14ac:dyDescent="0.2">
      <c r="A1137" s="190">
        <v>10</v>
      </c>
      <c r="B1137" s="137"/>
      <c r="C1137" s="191"/>
      <c r="D1137" s="191"/>
      <c r="E1137" s="191"/>
      <c r="F1137" s="191"/>
      <c r="G1137" s="191"/>
      <c r="H1137" s="177"/>
    </row>
    <row r="1138" spans="1:8" x14ac:dyDescent="0.2">
      <c r="A1138" s="192"/>
      <c r="B1138" s="193"/>
      <c r="C1138" s="194"/>
      <c r="D1138" s="142">
        <f>SUMIFS(D1128:D1137, F1128:F1137, "Y")</f>
        <v>4083.3333333333335</v>
      </c>
      <c r="E1138" s="142">
        <f>SUMIFS(E1128:E1137, F1128:F1137, "Y")</f>
        <v>816.66666666666652</v>
      </c>
      <c r="F1138" s="142">
        <f>(SUMIFS(D1128:D1137, F1128:F1137, "Y") + SUMIFS(E1128:E1137, F1128:F1137, "Y"))</f>
        <v>4900</v>
      </c>
      <c r="G1138" s="194"/>
      <c r="H1138" s="195"/>
    </row>
    <row r="1139" spans="1:8" x14ac:dyDescent="0.2">
      <c r="A1139" s="30"/>
      <c r="B1139" s="66"/>
      <c r="C1139" s="30"/>
      <c r="D1139" s="48"/>
      <c r="E1139" s="169"/>
      <c r="F1139" s="170"/>
      <c r="G1139" s="30"/>
      <c r="H1139" s="30"/>
    </row>
    <row r="1140" spans="1:8" x14ac:dyDescent="0.2">
      <c r="A1140" s="30"/>
      <c r="B1140" s="66"/>
      <c r="C1140" s="30"/>
      <c r="D1140" s="48"/>
      <c r="E1140" s="169"/>
      <c r="F1140" s="170"/>
      <c r="G1140" s="30"/>
      <c r="H1140" s="30"/>
    </row>
    <row r="1141" spans="1:8" x14ac:dyDescent="0.2">
      <c r="A1141" s="30"/>
      <c r="B1141" s="66"/>
      <c r="C1141" s="30"/>
      <c r="D1141" s="48"/>
      <c r="E1141" s="169"/>
      <c r="F1141" s="170"/>
      <c r="G1141" s="30"/>
      <c r="H1141" s="30"/>
    </row>
    <row r="1142" spans="1:8" x14ac:dyDescent="0.2">
      <c r="A1142" s="30"/>
      <c r="B1142" s="66"/>
      <c r="C1142" s="30"/>
      <c r="D1142" s="48"/>
      <c r="E1142" s="169"/>
      <c r="F1142" s="170"/>
      <c r="G1142" s="30"/>
      <c r="H1142" s="30"/>
    </row>
    <row r="1143" spans="1:8" x14ac:dyDescent="0.2">
      <c r="A1143" s="30"/>
      <c r="B1143" s="66"/>
      <c r="C1143" s="30"/>
      <c r="D1143" s="48"/>
      <c r="E1143" s="169"/>
      <c r="F1143" s="170"/>
      <c r="G1143" s="30"/>
      <c r="H1143" s="30"/>
    </row>
    <row r="1144" spans="1:8" x14ac:dyDescent="0.2">
      <c r="A1144" s="256" t="s">
        <v>214</v>
      </c>
      <c r="B1144" s="257"/>
      <c r="C1144" s="119"/>
      <c r="D1144" s="119"/>
      <c r="E1144" s="119"/>
      <c r="F1144" s="119"/>
      <c r="G1144" s="119"/>
      <c r="H1144" s="120"/>
    </row>
    <row r="1145" spans="1:8" x14ac:dyDescent="0.2">
      <c r="A1145" s="258" t="s">
        <v>7</v>
      </c>
      <c r="B1145" s="259"/>
      <c r="C1145" s="50">
        <v>50000</v>
      </c>
      <c r="D1145" s="30"/>
      <c r="E1145" s="30"/>
      <c r="F1145" s="30"/>
      <c r="G1145" s="30"/>
      <c r="H1145" s="123"/>
    </row>
    <row r="1146" spans="1:8" x14ac:dyDescent="0.2">
      <c r="A1146" s="258" t="s">
        <v>8</v>
      </c>
      <c r="B1146" s="259"/>
      <c r="C1146" s="150">
        <v>45775</v>
      </c>
      <c r="D1146" s="30"/>
      <c r="E1146" s="49"/>
      <c r="F1146" s="49"/>
      <c r="G1146" s="49"/>
      <c r="H1146" s="125" t="s">
        <v>10</v>
      </c>
    </row>
    <row r="1147" spans="1:8" x14ac:dyDescent="0.2">
      <c r="A1147" s="258" t="s">
        <v>13</v>
      </c>
      <c r="B1147" s="259"/>
      <c r="C1147" s="50">
        <v>5000</v>
      </c>
      <c r="D1147" s="66"/>
      <c r="E1147" s="260" t="s">
        <v>14</v>
      </c>
      <c r="F1147" s="126" t="s">
        <v>15</v>
      </c>
      <c r="G1147" s="50">
        <v>0</v>
      </c>
      <c r="H1147" s="127"/>
    </row>
    <row r="1148" spans="1:8" x14ac:dyDescent="0.2">
      <c r="A1148" s="258" t="s">
        <v>17</v>
      </c>
      <c r="B1148" s="259"/>
      <c r="C1148" s="50">
        <v>2</v>
      </c>
      <c r="D1148" s="66"/>
      <c r="E1148" s="261"/>
      <c r="F1148" s="126" t="s">
        <v>18</v>
      </c>
      <c r="G1148" s="50">
        <v>50000</v>
      </c>
      <c r="H1148" s="127"/>
    </row>
    <row r="1149" spans="1:8" x14ac:dyDescent="0.2">
      <c r="A1149" s="258" t="s">
        <v>20</v>
      </c>
      <c r="B1149" s="259"/>
      <c r="C1149" s="50">
        <f>C1147*C1148</f>
        <v>10000</v>
      </c>
      <c r="D1149" s="30"/>
      <c r="E1149" s="128"/>
      <c r="F1149" s="30"/>
      <c r="G1149" s="66"/>
      <c r="H1149" s="123"/>
    </row>
    <row r="1150" spans="1:8" x14ac:dyDescent="0.2">
      <c r="A1150" s="258" t="s">
        <v>22</v>
      </c>
      <c r="B1150" s="259"/>
      <c r="C1150" s="121">
        <f>C1145+C1149</f>
        <v>60000</v>
      </c>
      <c r="D1150" s="30"/>
      <c r="E1150" s="30"/>
      <c r="F1150" s="30"/>
      <c r="G1150" s="30"/>
      <c r="H1150" s="123"/>
    </row>
    <row r="1151" spans="1:8" x14ac:dyDescent="0.2">
      <c r="A1151" s="258" t="s">
        <v>24</v>
      </c>
      <c r="B1151" s="259"/>
      <c r="C1151" s="146">
        <v>1000</v>
      </c>
      <c r="D1151" s="30" t="s">
        <v>215</v>
      </c>
      <c r="E1151" s="30"/>
      <c r="F1151" s="30"/>
      <c r="G1151" s="30"/>
      <c r="H1151" s="123"/>
    </row>
    <row r="1152" spans="1:8" x14ac:dyDescent="0.2">
      <c r="A1152" s="258" t="s">
        <v>28</v>
      </c>
      <c r="B1152" s="259"/>
      <c r="C1152" s="130" t="s">
        <v>179</v>
      </c>
      <c r="D1152" s="30"/>
      <c r="E1152" s="30"/>
      <c r="F1152" s="30"/>
      <c r="G1152" s="30"/>
      <c r="H1152" s="123"/>
    </row>
    <row r="1153" spans="1:8" x14ac:dyDescent="0.2">
      <c r="A1153" s="131" t="s">
        <v>31</v>
      </c>
      <c r="B1153" s="132" t="s">
        <v>106</v>
      </c>
      <c r="C1153" s="133" t="s">
        <v>33</v>
      </c>
      <c r="D1153" s="133" t="s">
        <v>34</v>
      </c>
      <c r="E1153" s="133" t="s">
        <v>35</v>
      </c>
      <c r="F1153" s="133" t="s">
        <v>36</v>
      </c>
      <c r="G1153" s="133" t="s">
        <v>37</v>
      </c>
      <c r="H1153" s="123"/>
    </row>
    <row r="1154" spans="1:8" x14ac:dyDescent="0.2">
      <c r="A1154" s="134">
        <v>0</v>
      </c>
      <c r="B1154" s="135"/>
      <c r="C1154" s="135"/>
      <c r="D1154" s="135"/>
      <c r="E1154" s="135"/>
      <c r="F1154" s="135"/>
      <c r="G1154" s="50">
        <f>C1150</f>
        <v>60000</v>
      </c>
      <c r="H1154" s="123"/>
    </row>
    <row r="1155" spans="1:8" x14ac:dyDescent="0.2">
      <c r="A1155" s="134">
        <v>1</v>
      </c>
      <c r="B1155" s="137">
        <v>45782</v>
      </c>
      <c r="C1155" s="135">
        <v>4000</v>
      </c>
      <c r="D1155" s="50">
        <f t="shared" ref="D1155:D1166" si="111">C1155/1.2</f>
        <v>3333.3333333333335</v>
      </c>
      <c r="E1155" s="50">
        <f t="shared" ref="E1155:E1166" si="112">C1155-D1155</f>
        <v>666.66666666666652</v>
      </c>
      <c r="F1155" s="50" t="s">
        <v>41</v>
      </c>
      <c r="G1155" s="50">
        <f t="shared" ref="G1155:G1166" si="113">(G1154-C1155)</f>
        <v>56000</v>
      </c>
      <c r="H1155" s="123"/>
    </row>
    <row r="1156" spans="1:8" x14ac:dyDescent="0.2">
      <c r="A1156" s="134">
        <v>2</v>
      </c>
      <c r="B1156" s="137">
        <v>45789</v>
      </c>
      <c r="C1156" s="135">
        <v>5000</v>
      </c>
      <c r="D1156" s="50">
        <f t="shared" si="111"/>
        <v>4166.666666666667</v>
      </c>
      <c r="E1156" s="50">
        <f t="shared" si="112"/>
        <v>833.33333333333303</v>
      </c>
      <c r="F1156" s="50" t="s">
        <v>107</v>
      </c>
      <c r="G1156" s="50">
        <f t="shared" si="113"/>
        <v>51000</v>
      </c>
      <c r="H1156" s="123"/>
    </row>
    <row r="1157" spans="1:8" x14ac:dyDescent="0.2">
      <c r="A1157" s="134">
        <v>3</v>
      </c>
      <c r="B1157" s="137">
        <v>45789</v>
      </c>
      <c r="C1157" s="135"/>
      <c r="D1157" s="50">
        <f t="shared" si="111"/>
        <v>0</v>
      </c>
      <c r="E1157" s="50">
        <f t="shared" si="112"/>
        <v>0</v>
      </c>
      <c r="F1157" s="50" t="s">
        <v>107</v>
      </c>
      <c r="G1157" s="50">
        <f t="shared" si="113"/>
        <v>51000</v>
      </c>
      <c r="H1157" s="123"/>
    </row>
    <row r="1158" spans="1:8" x14ac:dyDescent="0.2">
      <c r="A1158" s="134">
        <v>4</v>
      </c>
      <c r="B1158" s="137">
        <v>45796</v>
      </c>
      <c r="C1158" s="135"/>
      <c r="D1158" s="50">
        <f t="shared" si="111"/>
        <v>0</v>
      </c>
      <c r="E1158" s="50">
        <f t="shared" si="112"/>
        <v>0</v>
      </c>
      <c r="F1158" s="50" t="s">
        <v>107</v>
      </c>
      <c r="G1158" s="50">
        <f t="shared" si="113"/>
        <v>51000</v>
      </c>
      <c r="H1158" s="123"/>
    </row>
    <row r="1159" spans="1:8" x14ac:dyDescent="0.2">
      <c r="A1159" s="134">
        <v>5</v>
      </c>
      <c r="B1159" s="137">
        <v>45803</v>
      </c>
      <c r="C1159" s="135"/>
      <c r="D1159" s="50">
        <f t="shared" si="111"/>
        <v>0</v>
      </c>
      <c r="E1159" s="50">
        <f t="shared" si="112"/>
        <v>0</v>
      </c>
      <c r="F1159" s="50" t="s">
        <v>107</v>
      </c>
      <c r="G1159" s="50">
        <f t="shared" si="113"/>
        <v>51000</v>
      </c>
      <c r="H1159" s="123"/>
    </row>
    <row r="1160" spans="1:8" x14ac:dyDescent="0.2">
      <c r="A1160" s="134">
        <v>6</v>
      </c>
      <c r="B1160" s="137">
        <v>45810</v>
      </c>
      <c r="C1160" s="135"/>
      <c r="D1160" s="50">
        <f t="shared" si="111"/>
        <v>0</v>
      </c>
      <c r="E1160" s="50">
        <f t="shared" si="112"/>
        <v>0</v>
      </c>
      <c r="F1160" s="50" t="s">
        <v>107</v>
      </c>
      <c r="G1160" s="50">
        <f t="shared" si="113"/>
        <v>51000</v>
      </c>
      <c r="H1160" s="123"/>
    </row>
    <row r="1161" spans="1:8" x14ac:dyDescent="0.2">
      <c r="A1161" s="134">
        <v>7</v>
      </c>
      <c r="B1161" s="137">
        <v>45817</v>
      </c>
      <c r="C1161" s="135"/>
      <c r="D1161" s="50">
        <f t="shared" si="111"/>
        <v>0</v>
      </c>
      <c r="E1161" s="50">
        <f t="shared" si="112"/>
        <v>0</v>
      </c>
      <c r="F1161" s="50" t="s">
        <v>107</v>
      </c>
      <c r="G1161" s="50">
        <f t="shared" si="113"/>
        <v>51000</v>
      </c>
      <c r="H1161" s="123"/>
    </row>
    <row r="1162" spans="1:8" x14ac:dyDescent="0.2">
      <c r="A1162" s="134">
        <v>8</v>
      </c>
      <c r="B1162" s="137">
        <v>45824</v>
      </c>
      <c r="C1162" s="135"/>
      <c r="D1162" s="50">
        <f t="shared" si="111"/>
        <v>0</v>
      </c>
      <c r="E1162" s="50">
        <f t="shared" si="112"/>
        <v>0</v>
      </c>
      <c r="F1162" s="50" t="s">
        <v>107</v>
      </c>
      <c r="G1162" s="50">
        <f t="shared" si="113"/>
        <v>51000</v>
      </c>
      <c r="H1162" s="123"/>
    </row>
    <row r="1163" spans="1:8" x14ac:dyDescent="0.2">
      <c r="A1163" s="134">
        <v>9</v>
      </c>
      <c r="B1163" s="137">
        <v>45831</v>
      </c>
      <c r="C1163" s="135"/>
      <c r="D1163" s="50">
        <f t="shared" si="111"/>
        <v>0</v>
      </c>
      <c r="E1163" s="50">
        <f t="shared" si="112"/>
        <v>0</v>
      </c>
      <c r="F1163" s="50"/>
      <c r="G1163" s="50">
        <f t="shared" si="113"/>
        <v>51000</v>
      </c>
      <c r="H1163" s="123"/>
    </row>
    <row r="1164" spans="1:8" x14ac:dyDescent="0.2">
      <c r="A1164" s="134">
        <v>10</v>
      </c>
      <c r="B1164" s="137">
        <v>45838</v>
      </c>
      <c r="C1164" s="135"/>
      <c r="D1164" s="50">
        <f t="shared" si="111"/>
        <v>0</v>
      </c>
      <c r="E1164" s="50">
        <f t="shared" si="112"/>
        <v>0</v>
      </c>
      <c r="F1164" s="50"/>
      <c r="G1164" s="50">
        <f t="shared" si="113"/>
        <v>51000</v>
      </c>
      <c r="H1164" s="123"/>
    </row>
    <row r="1165" spans="1:8" x14ac:dyDescent="0.2">
      <c r="A1165" s="134">
        <v>11</v>
      </c>
      <c r="B1165" s="137">
        <v>45845</v>
      </c>
      <c r="C1165" s="135"/>
      <c r="D1165" s="50">
        <f t="shared" si="111"/>
        <v>0</v>
      </c>
      <c r="E1165" s="50">
        <f t="shared" si="112"/>
        <v>0</v>
      </c>
      <c r="F1165" s="50"/>
      <c r="G1165" s="50">
        <f t="shared" si="113"/>
        <v>51000</v>
      </c>
      <c r="H1165" s="123"/>
    </row>
    <row r="1166" spans="1:8" x14ac:dyDescent="0.2">
      <c r="A1166" s="134">
        <v>12</v>
      </c>
      <c r="B1166" s="137">
        <v>45852</v>
      </c>
      <c r="C1166" s="135"/>
      <c r="D1166" s="50">
        <f t="shared" si="111"/>
        <v>0</v>
      </c>
      <c r="E1166" s="50">
        <f t="shared" si="112"/>
        <v>0</v>
      </c>
      <c r="F1166" s="50"/>
      <c r="G1166" s="50">
        <f t="shared" si="113"/>
        <v>51000</v>
      </c>
      <c r="H1166" s="123"/>
    </row>
    <row r="1167" spans="1:8" x14ac:dyDescent="0.2">
      <c r="A1167" s="138"/>
      <c r="B1167" s="139"/>
      <c r="C1167" s="140"/>
      <c r="D1167" s="141">
        <f>SUMIFS(D1155:D1166, F1155:F1166, "Y")</f>
        <v>3333.3333333333335</v>
      </c>
      <c r="E1167" s="142">
        <f>SUMIFS(E1155:E1166, F1155:F1166, "Y")</f>
        <v>666.66666666666652</v>
      </c>
      <c r="F1167" s="143">
        <f>(SUMIFS(D1155:D1166, F1155:F1166, "Y") + SUMIFS(E1155:E1166, F1155:F1166, "Y"))</f>
        <v>4000</v>
      </c>
      <c r="G1167" s="140"/>
      <c r="H1167" s="144"/>
    </row>
    <row r="1168" spans="1:8" x14ac:dyDescent="0.2">
      <c r="A1168" s="30"/>
      <c r="B1168" s="66"/>
      <c r="C1168" s="30"/>
      <c r="D1168" s="48"/>
      <c r="E1168" s="169"/>
      <c r="F1168" s="170"/>
      <c r="G1168" s="30"/>
      <c r="H1168" s="30"/>
    </row>
    <row r="1169" spans="1:8" x14ac:dyDescent="0.2">
      <c r="A1169" s="30"/>
      <c r="B1169" s="66"/>
      <c r="C1169" s="30"/>
      <c r="D1169" s="48"/>
      <c r="E1169" s="169"/>
      <c r="F1169" s="170"/>
      <c r="G1169" s="30"/>
      <c r="H1169" s="30"/>
    </row>
    <row r="1170" spans="1:8" x14ac:dyDescent="0.2">
      <c r="A1170" s="30"/>
      <c r="B1170" s="66"/>
      <c r="C1170" s="30"/>
      <c r="D1170" s="48"/>
      <c r="E1170" s="169"/>
      <c r="F1170" s="170"/>
      <c r="G1170" s="30"/>
      <c r="H1170" s="30"/>
    </row>
    <row r="1171" spans="1:8" x14ac:dyDescent="0.2">
      <c r="A1171" s="30"/>
      <c r="B1171" s="66"/>
      <c r="C1171" s="30"/>
      <c r="D1171" s="48"/>
      <c r="E1171" s="169"/>
      <c r="F1171" s="170"/>
      <c r="G1171" s="30"/>
      <c r="H1171" s="30"/>
    </row>
    <row r="1172" spans="1:8" x14ac:dyDescent="0.2">
      <c r="A1172" s="30"/>
      <c r="B1172" s="66"/>
      <c r="C1172" s="30"/>
      <c r="D1172" s="48"/>
      <c r="E1172" s="169"/>
      <c r="F1172" s="170"/>
      <c r="G1172" s="30"/>
      <c r="H1172" s="30"/>
    </row>
    <row r="1173" spans="1:8" x14ac:dyDescent="0.2">
      <c r="A1173" s="256" t="s">
        <v>216</v>
      </c>
      <c r="B1173" s="257"/>
      <c r="C1173" s="119"/>
      <c r="D1173" s="119"/>
      <c r="E1173" s="119"/>
      <c r="F1173" s="119"/>
      <c r="G1173" s="119"/>
      <c r="H1173" s="120"/>
    </row>
    <row r="1174" spans="1:8" x14ac:dyDescent="0.2">
      <c r="A1174" s="258" t="s">
        <v>7</v>
      </c>
      <c r="B1174" s="259"/>
      <c r="C1174" s="50">
        <v>50000</v>
      </c>
      <c r="D1174" s="30"/>
      <c r="E1174" s="30"/>
      <c r="F1174" s="30"/>
      <c r="G1174" s="30"/>
      <c r="H1174" s="123"/>
    </row>
    <row r="1175" spans="1:8" x14ac:dyDescent="0.2">
      <c r="A1175" s="258" t="s">
        <v>8</v>
      </c>
      <c r="B1175" s="259"/>
      <c r="C1175" s="150">
        <v>45782</v>
      </c>
      <c r="D1175" s="30"/>
      <c r="E1175" s="49"/>
      <c r="F1175" s="49"/>
      <c r="G1175" s="49"/>
      <c r="H1175" s="125" t="s">
        <v>10</v>
      </c>
    </row>
    <row r="1176" spans="1:8" x14ac:dyDescent="0.2">
      <c r="A1176" s="258" t="s">
        <v>13</v>
      </c>
      <c r="B1176" s="259"/>
      <c r="C1176" s="50">
        <v>5000</v>
      </c>
      <c r="D1176" s="66"/>
      <c r="E1176" s="260" t="s">
        <v>14</v>
      </c>
      <c r="F1176" s="126" t="s">
        <v>15</v>
      </c>
      <c r="G1176" s="50">
        <v>0</v>
      </c>
      <c r="H1176" s="127"/>
    </row>
    <row r="1177" spans="1:8" x14ac:dyDescent="0.2">
      <c r="A1177" s="258" t="s">
        <v>17</v>
      </c>
      <c r="B1177" s="259"/>
      <c r="C1177" s="50">
        <v>2</v>
      </c>
      <c r="D1177" s="66"/>
      <c r="E1177" s="261"/>
      <c r="F1177" s="126" t="s">
        <v>18</v>
      </c>
      <c r="G1177" s="50">
        <v>50000</v>
      </c>
      <c r="H1177" s="127"/>
    </row>
    <row r="1178" spans="1:8" x14ac:dyDescent="0.2">
      <c r="A1178" s="258" t="s">
        <v>20</v>
      </c>
      <c r="B1178" s="259"/>
      <c r="C1178" s="50">
        <f>C1176*C1177</f>
        <v>10000</v>
      </c>
      <c r="D1178" s="30"/>
      <c r="E1178" s="128"/>
      <c r="F1178" s="30"/>
      <c r="G1178" s="66"/>
      <c r="H1178" s="123"/>
    </row>
    <row r="1179" spans="1:8" x14ac:dyDescent="0.2">
      <c r="A1179" s="258" t="s">
        <v>22</v>
      </c>
      <c r="B1179" s="259"/>
      <c r="C1179" s="121">
        <f>C1174+C1178</f>
        <v>60000</v>
      </c>
      <c r="D1179" s="30"/>
      <c r="E1179" s="30"/>
      <c r="F1179" s="30"/>
      <c r="G1179" s="30"/>
      <c r="H1179" s="123"/>
    </row>
    <row r="1180" spans="1:8" x14ac:dyDescent="0.2">
      <c r="A1180" s="258" t="s">
        <v>24</v>
      </c>
      <c r="B1180" s="259"/>
      <c r="C1180" s="146">
        <v>1000</v>
      </c>
      <c r="D1180" s="30" t="s">
        <v>217</v>
      </c>
      <c r="E1180" s="30"/>
      <c r="F1180" s="30"/>
      <c r="G1180" s="30"/>
      <c r="H1180" s="123"/>
    </row>
    <row r="1181" spans="1:8" x14ac:dyDescent="0.2">
      <c r="A1181" s="258" t="s">
        <v>28</v>
      </c>
      <c r="B1181" s="259"/>
      <c r="C1181" s="130" t="s">
        <v>179</v>
      </c>
      <c r="D1181" s="30"/>
      <c r="E1181" s="30"/>
      <c r="F1181" s="30"/>
      <c r="G1181" s="30"/>
      <c r="H1181" s="123"/>
    </row>
    <row r="1182" spans="1:8" x14ac:dyDescent="0.2">
      <c r="A1182" s="131" t="s">
        <v>31</v>
      </c>
      <c r="B1182" s="132" t="s">
        <v>106</v>
      </c>
      <c r="C1182" s="133" t="s">
        <v>33</v>
      </c>
      <c r="D1182" s="133" t="s">
        <v>34</v>
      </c>
      <c r="E1182" s="133" t="s">
        <v>35</v>
      </c>
      <c r="F1182" s="133" t="s">
        <v>36</v>
      </c>
      <c r="G1182" s="133" t="s">
        <v>37</v>
      </c>
      <c r="H1182" s="123"/>
    </row>
    <row r="1183" spans="1:8" x14ac:dyDescent="0.2">
      <c r="A1183" s="134">
        <v>0</v>
      </c>
      <c r="B1183" s="135"/>
      <c r="C1183" s="135"/>
      <c r="D1183" s="135"/>
      <c r="E1183" s="135"/>
      <c r="F1183" s="135"/>
      <c r="G1183" s="50">
        <f>C1179</f>
        <v>60000</v>
      </c>
      <c r="H1183" s="123"/>
    </row>
    <row r="1184" spans="1:8" x14ac:dyDescent="0.2">
      <c r="A1184" s="134">
        <v>1</v>
      </c>
      <c r="B1184" s="137">
        <v>45789</v>
      </c>
      <c r="C1184" s="135">
        <v>4000</v>
      </c>
      <c r="D1184" s="50">
        <f t="shared" ref="D1184:D1195" si="114">C1184/1.2</f>
        <v>3333.3333333333335</v>
      </c>
      <c r="E1184" s="50">
        <f t="shared" ref="E1184:E1195" si="115">C1184-D1184</f>
        <v>666.66666666666652</v>
      </c>
      <c r="F1184" s="50" t="s">
        <v>107</v>
      </c>
      <c r="G1184" s="50">
        <f t="shared" ref="G1184:G1195" si="116">(G1183-C1184)</f>
        <v>56000</v>
      </c>
      <c r="H1184" s="123"/>
    </row>
    <row r="1185" spans="1:8" x14ac:dyDescent="0.2">
      <c r="A1185" s="134">
        <v>2</v>
      </c>
      <c r="B1185" s="137">
        <v>45789</v>
      </c>
      <c r="C1185" s="135"/>
      <c r="D1185" s="50">
        <f t="shared" si="114"/>
        <v>0</v>
      </c>
      <c r="E1185" s="50">
        <f t="shared" si="115"/>
        <v>0</v>
      </c>
      <c r="F1185" s="50" t="s">
        <v>107</v>
      </c>
      <c r="G1185" s="50">
        <f t="shared" si="116"/>
        <v>56000</v>
      </c>
      <c r="H1185" s="123"/>
    </row>
    <row r="1186" spans="1:8" x14ac:dyDescent="0.2">
      <c r="A1186" s="134">
        <v>3</v>
      </c>
      <c r="B1186" s="137">
        <v>45796</v>
      </c>
      <c r="C1186" s="135"/>
      <c r="D1186" s="50">
        <f t="shared" si="114"/>
        <v>0</v>
      </c>
      <c r="E1186" s="50">
        <f t="shared" si="115"/>
        <v>0</v>
      </c>
      <c r="F1186" s="50" t="s">
        <v>107</v>
      </c>
      <c r="G1186" s="50">
        <f t="shared" si="116"/>
        <v>56000</v>
      </c>
      <c r="H1186" s="123"/>
    </row>
    <row r="1187" spans="1:8" x14ac:dyDescent="0.2">
      <c r="A1187" s="134">
        <v>4</v>
      </c>
      <c r="B1187" s="137">
        <v>45803</v>
      </c>
      <c r="C1187" s="135"/>
      <c r="D1187" s="50">
        <f t="shared" si="114"/>
        <v>0</v>
      </c>
      <c r="E1187" s="50">
        <f t="shared" si="115"/>
        <v>0</v>
      </c>
      <c r="F1187" s="50" t="s">
        <v>107</v>
      </c>
      <c r="G1187" s="50">
        <f t="shared" si="116"/>
        <v>56000</v>
      </c>
      <c r="H1187" s="123"/>
    </row>
    <row r="1188" spans="1:8" x14ac:dyDescent="0.2">
      <c r="A1188" s="134">
        <v>5</v>
      </c>
      <c r="B1188" s="137">
        <v>45810</v>
      </c>
      <c r="C1188" s="135"/>
      <c r="D1188" s="50">
        <f t="shared" si="114"/>
        <v>0</v>
      </c>
      <c r="E1188" s="50">
        <f t="shared" si="115"/>
        <v>0</v>
      </c>
      <c r="F1188" s="50" t="s">
        <v>107</v>
      </c>
      <c r="G1188" s="50">
        <f t="shared" si="116"/>
        <v>56000</v>
      </c>
      <c r="H1188" s="123"/>
    </row>
    <row r="1189" spans="1:8" x14ac:dyDescent="0.2">
      <c r="A1189" s="134">
        <v>6</v>
      </c>
      <c r="B1189" s="137">
        <v>45817</v>
      </c>
      <c r="C1189" s="135"/>
      <c r="D1189" s="50">
        <f t="shared" si="114"/>
        <v>0</v>
      </c>
      <c r="E1189" s="50">
        <f t="shared" si="115"/>
        <v>0</v>
      </c>
      <c r="F1189" s="50" t="s">
        <v>107</v>
      </c>
      <c r="G1189" s="50">
        <f t="shared" si="116"/>
        <v>56000</v>
      </c>
      <c r="H1189" s="123"/>
    </row>
    <row r="1190" spans="1:8" x14ac:dyDescent="0.2">
      <c r="A1190" s="134">
        <v>7</v>
      </c>
      <c r="B1190" s="137">
        <v>45824</v>
      </c>
      <c r="C1190" s="135"/>
      <c r="D1190" s="50">
        <f t="shared" si="114"/>
        <v>0</v>
      </c>
      <c r="E1190" s="50">
        <f t="shared" si="115"/>
        <v>0</v>
      </c>
      <c r="F1190" s="50" t="s">
        <v>107</v>
      </c>
      <c r="G1190" s="50">
        <f t="shared" si="116"/>
        <v>56000</v>
      </c>
      <c r="H1190" s="123"/>
    </row>
    <row r="1191" spans="1:8" x14ac:dyDescent="0.2">
      <c r="A1191" s="134">
        <v>8</v>
      </c>
      <c r="B1191" s="137">
        <v>45831</v>
      </c>
      <c r="C1191" s="135"/>
      <c r="D1191" s="50">
        <f t="shared" si="114"/>
        <v>0</v>
      </c>
      <c r="E1191" s="50">
        <f t="shared" si="115"/>
        <v>0</v>
      </c>
      <c r="F1191" s="50" t="s">
        <v>107</v>
      </c>
      <c r="G1191" s="50">
        <f t="shared" si="116"/>
        <v>56000</v>
      </c>
      <c r="H1191" s="123"/>
    </row>
    <row r="1192" spans="1:8" x14ac:dyDescent="0.2">
      <c r="A1192" s="134">
        <v>9</v>
      </c>
      <c r="B1192" s="137">
        <v>45838</v>
      </c>
      <c r="C1192" s="135"/>
      <c r="D1192" s="50">
        <f t="shared" si="114"/>
        <v>0</v>
      </c>
      <c r="E1192" s="50">
        <f t="shared" si="115"/>
        <v>0</v>
      </c>
      <c r="F1192" s="50"/>
      <c r="G1192" s="50">
        <f t="shared" si="116"/>
        <v>56000</v>
      </c>
      <c r="H1192" s="123"/>
    </row>
    <row r="1193" spans="1:8" x14ac:dyDescent="0.2">
      <c r="A1193" s="134">
        <v>10</v>
      </c>
      <c r="B1193" s="137">
        <v>45845</v>
      </c>
      <c r="C1193" s="135"/>
      <c r="D1193" s="50">
        <f t="shared" si="114"/>
        <v>0</v>
      </c>
      <c r="E1193" s="50">
        <f t="shared" si="115"/>
        <v>0</v>
      </c>
      <c r="F1193" s="50"/>
      <c r="G1193" s="50">
        <f t="shared" si="116"/>
        <v>56000</v>
      </c>
      <c r="H1193" s="123"/>
    </row>
    <row r="1194" spans="1:8" x14ac:dyDescent="0.2">
      <c r="A1194" s="134">
        <v>11</v>
      </c>
      <c r="B1194" s="137">
        <v>45852</v>
      </c>
      <c r="C1194" s="135"/>
      <c r="D1194" s="50">
        <f t="shared" si="114"/>
        <v>0</v>
      </c>
      <c r="E1194" s="50">
        <f t="shared" si="115"/>
        <v>0</v>
      </c>
      <c r="F1194" s="50"/>
      <c r="G1194" s="50">
        <f t="shared" si="116"/>
        <v>56000</v>
      </c>
      <c r="H1194" s="123"/>
    </row>
    <row r="1195" spans="1:8" x14ac:dyDescent="0.2">
      <c r="A1195" s="134">
        <v>12</v>
      </c>
      <c r="B1195" s="137"/>
      <c r="C1195" s="135"/>
      <c r="D1195" s="50">
        <f t="shared" si="114"/>
        <v>0</v>
      </c>
      <c r="E1195" s="50">
        <f t="shared" si="115"/>
        <v>0</v>
      </c>
      <c r="F1195" s="50"/>
      <c r="G1195" s="50">
        <f t="shared" si="116"/>
        <v>56000</v>
      </c>
      <c r="H1195" s="123"/>
    </row>
    <row r="1196" spans="1:8" x14ac:dyDescent="0.2">
      <c r="A1196" s="138"/>
      <c r="B1196" s="139"/>
      <c r="C1196" s="140"/>
      <c r="D1196" s="141">
        <f>SUMIFS(D1184:D1195, F1184:F1195, "Y")</f>
        <v>0</v>
      </c>
      <c r="E1196" s="142">
        <f>SUMIFS(E1184:E1195, F1184:F1195, "Y")</f>
        <v>0</v>
      </c>
      <c r="F1196" s="143">
        <f>(SUMIFS(D1184:D1195, F1184:F1195, "Y") + SUMIFS(E1184:E1195, F1184:F1195, "Y"))</f>
        <v>0</v>
      </c>
      <c r="G1196" s="140"/>
      <c r="H1196" s="144"/>
    </row>
    <row r="1197" spans="1:8" x14ac:dyDescent="0.2">
      <c r="A1197" s="30"/>
      <c r="B1197" s="66"/>
      <c r="C1197" s="30"/>
      <c r="D1197" s="48"/>
      <c r="E1197" s="169"/>
      <c r="F1197" s="170"/>
      <c r="G1197" s="30"/>
      <c r="H1197" s="30"/>
    </row>
    <row r="1198" spans="1:8" x14ac:dyDescent="0.2">
      <c r="A1198" s="30"/>
      <c r="B1198" s="66"/>
      <c r="C1198" s="30"/>
      <c r="D1198" s="48"/>
      <c r="E1198" s="169"/>
      <c r="F1198" s="170"/>
      <c r="G1198" s="30"/>
      <c r="H1198" s="30"/>
    </row>
    <row r="1199" spans="1:8" x14ac:dyDescent="0.2">
      <c r="A1199" s="30"/>
      <c r="B1199" s="66"/>
      <c r="C1199" s="30"/>
      <c r="D1199" s="48"/>
      <c r="E1199" s="169"/>
      <c r="F1199" s="170"/>
      <c r="G1199" s="30"/>
      <c r="H1199" s="30"/>
    </row>
    <row r="1200" spans="1:8" x14ac:dyDescent="0.2">
      <c r="A1200" s="30"/>
      <c r="B1200" s="66"/>
      <c r="C1200" s="30"/>
      <c r="D1200" s="48"/>
      <c r="E1200" s="169"/>
      <c r="F1200" s="170"/>
      <c r="G1200" s="30"/>
      <c r="H1200" s="30"/>
    </row>
    <row r="1201" spans="1:8" x14ac:dyDescent="0.2">
      <c r="A1201" s="30"/>
      <c r="B1201" s="66"/>
      <c r="C1201" s="30"/>
      <c r="D1201" s="48"/>
      <c r="E1201" s="169"/>
      <c r="F1201" s="170"/>
      <c r="G1201" s="30"/>
      <c r="H1201" s="30"/>
    </row>
    <row r="1202" spans="1:8" x14ac:dyDescent="0.2">
      <c r="A1202" s="256" t="s">
        <v>218</v>
      </c>
      <c r="B1202" s="257"/>
      <c r="C1202" s="119"/>
      <c r="D1202" s="119"/>
      <c r="E1202" s="119"/>
      <c r="F1202" s="119"/>
      <c r="G1202" s="119"/>
      <c r="H1202" s="120"/>
    </row>
    <row r="1203" spans="1:8" x14ac:dyDescent="0.2">
      <c r="A1203" s="258" t="s">
        <v>7</v>
      </c>
      <c r="B1203" s="259"/>
      <c r="C1203" s="50">
        <v>100000</v>
      </c>
      <c r="D1203" s="30"/>
      <c r="E1203" s="30"/>
      <c r="F1203" s="30"/>
      <c r="G1203" s="30"/>
      <c r="H1203" s="123"/>
    </row>
    <row r="1204" spans="1:8" x14ac:dyDescent="0.2">
      <c r="A1204" s="258" t="s">
        <v>8</v>
      </c>
      <c r="B1204" s="259"/>
      <c r="C1204" s="150">
        <v>45788</v>
      </c>
      <c r="D1204" s="30"/>
      <c r="E1204" s="49"/>
      <c r="F1204" s="49"/>
      <c r="G1204" s="49"/>
      <c r="H1204" s="125" t="s">
        <v>10</v>
      </c>
    </row>
    <row r="1205" spans="1:8" x14ac:dyDescent="0.2">
      <c r="A1205" s="196">
        <v>0.1</v>
      </c>
      <c r="B1205" s="197" t="s">
        <v>219</v>
      </c>
      <c r="C1205" s="50">
        <f>C1203*A1205</f>
        <v>10000</v>
      </c>
      <c r="D1205" s="66"/>
      <c r="E1205" s="260" t="s">
        <v>14</v>
      </c>
      <c r="F1205" s="126" t="s">
        <v>15</v>
      </c>
      <c r="G1205" s="50">
        <v>0</v>
      </c>
      <c r="H1205" s="127"/>
    </row>
    <row r="1206" spans="1:8" x14ac:dyDescent="0.2">
      <c r="A1206" s="258" t="s">
        <v>17</v>
      </c>
      <c r="B1206" s="259"/>
      <c r="C1206" s="50">
        <v>2</v>
      </c>
      <c r="D1206" s="198">
        <f>C1206*30</f>
        <v>60</v>
      </c>
      <c r="E1206" s="261"/>
      <c r="F1206" s="126" t="s">
        <v>18</v>
      </c>
      <c r="G1206" s="50">
        <v>50000</v>
      </c>
      <c r="H1206" s="127"/>
    </row>
    <row r="1207" spans="1:8" x14ac:dyDescent="0.2">
      <c r="A1207" s="258" t="s">
        <v>20</v>
      </c>
      <c r="B1207" s="259"/>
      <c r="C1207" s="50">
        <f>C1205*C1206</f>
        <v>20000</v>
      </c>
      <c r="D1207" s="30"/>
      <c r="E1207" s="128"/>
      <c r="F1207" s="30"/>
      <c r="G1207" s="66"/>
      <c r="H1207" s="123"/>
    </row>
    <row r="1208" spans="1:8" x14ac:dyDescent="0.2">
      <c r="A1208" s="258" t="s">
        <v>22</v>
      </c>
      <c r="B1208" s="259"/>
      <c r="C1208" s="121">
        <f>C1203+C1207</f>
        <v>120000</v>
      </c>
      <c r="D1208" s="30"/>
      <c r="E1208" s="30"/>
      <c r="F1208" s="30"/>
      <c r="G1208" s="30"/>
      <c r="H1208" s="123"/>
    </row>
    <row r="1209" spans="1:8" x14ac:dyDescent="0.2">
      <c r="A1209" s="258" t="s">
        <v>24</v>
      </c>
      <c r="B1209" s="259"/>
      <c r="C1209" s="146"/>
      <c r="D1209" s="30" t="s">
        <v>217</v>
      </c>
      <c r="E1209" s="30"/>
      <c r="F1209" s="30"/>
      <c r="G1209" s="30"/>
      <c r="H1209" s="123"/>
    </row>
    <row r="1210" spans="1:8" x14ac:dyDescent="0.2">
      <c r="A1210" s="258" t="s">
        <v>28</v>
      </c>
      <c r="B1210" s="259"/>
      <c r="C1210" s="130" t="s">
        <v>179</v>
      </c>
      <c r="D1210" s="30"/>
      <c r="E1210" s="30"/>
      <c r="F1210" s="30"/>
      <c r="G1210" s="30"/>
      <c r="H1210" s="123"/>
    </row>
    <row r="1211" spans="1:8" x14ac:dyDescent="0.2">
      <c r="A1211" s="131" t="s">
        <v>31</v>
      </c>
      <c r="B1211" s="132" t="s">
        <v>106</v>
      </c>
      <c r="C1211" s="133" t="s">
        <v>33</v>
      </c>
      <c r="D1211" s="133" t="s">
        <v>34</v>
      </c>
      <c r="E1211" s="133" t="s">
        <v>35</v>
      </c>
      <c r="F1211" s="133" t="s">
        <v>36</v>
      </c>
      <c r="G1211" s="133" t="s">
        <v>37</v>
      </c>
      <c r="H1211" s="123"/>
    </row>
    <row r="1212" spans="1:8" x14ac:dyDescent="0.2">
      <c r="A1212" s="134">
        <v>0</v>
      </c>
      <c r="B1212" s="135"/>
      <c r="C1212" s="135"/>
      <c r="D1212" s="135"/>
      <c r="E1212" s="135"/>
      <c r="F1212" s="135"/>
      <c r="G1212" s="50">
        <f>C1208</f>
        <v>120000</v>
      </c>
      <c r="H1212" s="123"/>
    </row>
    <row r="1213" spans="1:8" x14ac:dyDescent="0.2">
      <c r="A1213" s="134">
        <v>1</v>
      </c>
      <c r="B1213" s="137">
        <v>45789</v>
      </c>
      <c r="C1213" s="135">
        <v>4000</v>
      </c>
      <c r="D1213" s="50">
        <f t="shared" ref="D1213:D1224" si="117">C1213/1.2</f>
        <v>3333.3333333333335</v>
      </c>
      <c r="E1213" s="50">
        <f t="shared" ref="E1213:E1224" si="118">C1213-D1213</f>
        <v>666.66666666666652</v>
      </c>
      <c r="F1213" s="50" t="s">
        <v>107</v>
      </c>
      <c r="G1213" s="50">
        <f t="shared" ref="G1213:G1224" si="119">(G1212-C1213)</f>
        <v>116000</v>
      </c>
      <c r="H1213" s="123"/>
    </row>
    <row r="1214" spans="1:8" x14ac:dyDescent="0.2">
      <c r="A1214" s="134">
        <v>2</v>
      </c>
      <c r="B1214" s="137">
        <v>45796</v>
      </c>
      <c r="C1214" s="135"/>
      <c r="D1214" s="50">
        <f t="shared" si="117"/>
        <v>0</v>
      </c>
      <c r="E1214" s="50">
        <f t="shared" si="118"/>
        <v>0</v>
      </c>
      <c r="F1214" s="50" t="s">
        <v>107</v>
      </c>
      <c r="G1214" s="50">
        <f t="shared" si="119"/>
        <v>116000</v>
      </c>
      <c r="H1214" s="123"/>
    </row>
    <row r="1215" spans="1:8" x14ac:dyDescent="0.2">
      <c r="A1215" s="134">
        <v>3</v>
      </c>
      <c r="B1215" s="137">
        <v>45803</v>
      </c>
      <c r="C1215" s="135"/>
      <c r="D1215" s="50">
        <f t="shared" si="117"/>
        <v>0</v>
      </c>
      <c r="E1215" s="50">
        <f t="shared" si="118"/>
        <v>0</v>
      </c>
      <c r="F1215" s="50" t="s">
        <v>107</v>
      </c>
      <c r="G1215" s="50">
        <f t="shared" si="119"/>
        <v>116000</v>
      </c>
      <c r="H1215" s="123"/>
    </row>
    <row r="1216" spans="1:8" x14ac:dyDescent="0.2">
      <c r="A1216" s="134">
        <v>4</v>
      </c>
      <c r="B1216" s="137">
        <v>45810</v>
      </c>
      <c r="C1216" s="135"/>
      <c r="D1216" s="50">
        <f t="shared" si="117"/>
        <v>0</v>
      </c>
      <c r="E1216" s="50">
        <f t="shared" si="118"/>
        <v>0</v>
      </c>
      <c r="F1216" s="50" t="s">
        <v>107</v>
      </c>
      <c r="G1216" s="50">
        <f t="shared" si="119"/>
        <v>116000</v>
      </c>
      <c r="H1216" s="123"/>
    </row>
    <row r="1217" spans="1:8" x14ac:dyDescent="0.2">
      <c r="A1217" s="134">
        <v>5</v>
      </c>
      <c r="B1217" s="137">
        <v>45817</v>
      </c>
      <c r="C1217" s="135"/>
      <c r="D1217" s="50">
        <f t="shared" si="117"/>
        <v>0</v>
      </c>
      <c r="E1217" s="50">
        <f t="shared" si="118"/>
        <v>0</v>
      </c>
      <c r="F1217" s="50" t="s">
        <v>107</v>
      </c>
      <c r="G1217" s="50">
        <f t="shared" si="119"/>
        <v>116000</v>
      </c>
      <c r="H1217" s="123"/>
    </row>
    <row r="1218" spans="1:8" x14ac:dyDescent="0.2">
      <c r="A1218" s="134">
        <v>6</v>
      </c>
      <c r="B1218" s="137">
        <v>45824</v>
      </c>
      <c r="C1218" s="135"/>
      <c r="D1218" s="50">
        <f t="shared" si="117"/>
        <v>0</v>
      </c>
      <c r="E1218" s="50">
        <f t="shared" si="118"/>
        <v>0</v>
      </c>
      <c r="F1218" s="50" t="s">
        <v>107</v>
      </c>
      <c r="G1218" s="50">
        <f t="shared" si="119"/>
        <v>116000</v>
      </c>
      <c r="H1218" s="123"/>
    </row>
    <row r="1219" spans="1:8" x14ac:dyDescent="0.2">
      <c r="A1219" s="134">
        <v>7</v>
      </c>
      <c r="B1219" s="137">
        <v>45831</v>
      </c>
      <c r="C1219" s="135"/>
      <c r="D1219" s="50">
        <f t="shared" si="117"/>
        <v>0</v>
      </c>
      <c r="E1219" s="50">
        <f t="shared" si="118"/>
        <v>0</v>
      </c>
      <c r="F1219" s="50" t="s">
        <v>107</v>
      </c>
      <c r="G1219" s="50">
        <f t="shared" si="119"/>
        <v>116000</v>
      </c>
      <c r="H1219" s="123"/>
    </row>
    <row r="1220" spans="1:8" x14ac:dyDescent="0.2">
      <c r="A1220" s="134">
        <v>8</v>
      </c>
      <c r="B1220" s="137">
        <v>45838</v>
      </c>
      <c r="C1220" s="135"/>
      <c r="D1220" s="50">
        <f t="shared" si="117"/>
        <v>0</v>
      </c>
      <c r="E1220" s="50">
        <f t="shared" si="118"/>
        <v>0</v>
      </c>
      <c r="F1220" s="50" t="s">
        <v>107</v>
      </c>
      <c r="G1220" s="50">
        <f t="shared" si="119"/>
        <v>116000</v>
      </c>
      <c r="H1220" s="123"/>
    </row>
    <row r="1221" spans="1:8" x14ac:dyDescent="0.2">
      <c r="A1221" s="134">
        <v>9</v>
      </c>
      <c r="B1221" s="137">
        <v>45845</v>
      </c>
      <c r="C1221" s="135"/>
      <c r="D1221" s="50">
        <f t="shared" si="117"/>
        <v>0</v>
      </c>
      <c r="E1221" s="50">
        <f t="shared" si="118"/>
        <v>0</v>
      </c>
      <c r="F1221" s="50"/>
      <c r="G1221" s="50">
        <f t="shared" si="119"/>
        <v>116000</v>
      </c>
      <c r="H1221" s="123"/>
    </row>
    <row r="1222" spans="1:8" x14ac:dyDescent="0.2">
      <c r="A1222" s="134">
        <v>10</v>
      </c>
      <c r="B1222" s="137">
        <v>45852</v>
      </c>
      <c r="C1222" s="135"/>
      <c r="D1222" s="50">
        <f t="shared" si="117"/>
        <v>0</v>
      </c>
      <c r="E1222" s="50">
        <f t="shared" si="118"/>
        <v>0</v>
      </c>
      <c r="F1222" s="50"/>
      <c r="G1222" s="50">
        <f t="shared" si="119"/>
        <v>116000</v>
      </c>
      <c r="H1222" s="123"/>
    </row>
    <row r="1223" spans="1:8" x14ac:dyDescent="0.2">
      <c r="A1223" s="134">
        <v>11</v>
      </c>
      <c r="B1223" s="137">
        <v>45859</v>
      </c>
      <c r="C1223" s="135"/>
      <c r="D1223" s="50">
        <f t="shared" si="117"/>
        <v>0</v>
      </c>
      <c r="E1223" s="50">
        <f t="shared" si="118"/>
        <v>0</v>
      </c>
      <c r="F1223" s="50"/>
      <c r="G1223" s="50">
        <f t="shared" si="119"/>
        <v>116000</v>
      </c>
      <c r="H1223" s="123"/>
    </row>
    <row r="1224" spans="1:8" x14ac:dyDescent="0.2">
      <c r="A1224" s="134">
        <v>12</v>
      </c>
      <c r="B1224" s="137">
        <v>45866</v>
      </c>
      <c r="C1224" s="135"/>
      <c r="D1224" s="50">
        <f t="shared" si="117"/>
        <v>0</v>
      </c>
      <c r="E1224" s="50">
        <f t="shared" si="118"/>
        <v>0</v>
      </c>
      <c r="F1224" s="50"/>
      <c r="G1224" s="50">
        <f t="shared" si="119"/>
        <v>116000</v>
      </c>
      <c r="H1224" s="123"/>
    </row>
    <row r="1225" spans="1:8" x14ac:dyDescent="0.2">
      <c r="A1225" s="138"/>
      <c r="B1225" s="139"/>
      <c r="C1225" s="140"/>
      <c r="D1225" s="141">
        <f>SUMIFS(D1213:D1224, F1213:F1224, "Y")</f>
        <v>0</v>
      </c>
      <c r="E1225" s="142">
        <f>SUMIFS(E1213:E1224, F1213:F1224, "Y")</f>
        <v>0</v>
      </c>
      <c r="F1225" s="143">
        <f>(SUMIFS(D1213:D1224, F1213:F1224, "Y") + SUMIFS(E1213:E1224, F1213:F1224, "Y"))</f>
        <v>0</v>
      </c>
      <c r="G1225" s="140"/>
      <c r="H1225" s="144"/>
    </row>
    <row r="1226" spans="1:8" x14ac:dyDescent="0.2">
      <c r="A1226" s="30"/>
      <c r="B1226" s="66"/>
      <c r="C1226" s="30"/>
      <c r="D1226" s="48"/>
      <c r="E1226" s="169"/>
      <c r="F1226" s="170"/>
      <c r="G1226" s="30"/>
      <c r="H1226" s="30"/>
    </row>
    <row r="1227" spans="1:8" x14ac:dyDescent="0.2">
      <c r="A1227" s="30"/>
      <c r="B1227" s="66"/>
      <c r="C1227" s="30"/>
      <c r="D1227" s="48"/>
      <c r="E1227" s="169"/>
      <c r="F1227" s="170"/>
      <c r="G1227" s="30"/>
      <c r="H1227" s="30"/>
    </row>
    <row r="1228" spans="1:8" x14ac:dyDescent="0.2">
      <c r="A1228" s="30"/>
      <c r="B1228" s="66"/>
      <c r="C1228" s="30"/>
      <c r="D1228" s="48"/>
      <c r="E1228" s="169"/>
      <c r="F1228" s="170"/>
      <c r="G1228" s="30"/>
      <c r="H1228" s="30"/>
    </row>
    <row r="1229" spans="1:8" x14ac:dyDescent="0.2">
      <c r="A1229" s="30"/>
      <c r="B1229" s="66"/>
      <c r="C1229" s="30"/>
      <c r="D1229" s="48"/>
      <c r="E1229" s="169"/>
      <c r="F1229" s="170"/>
      <c r="G1229" s="30"/>
      <c r="H1229" s="30"/>
    </row>
    <row r="1230" spans="1:8" x14ac:dyDescent="0.2">
      <c r="A1230" s="30"/>
      <c r="B1230" s="66"/>
      <c r="C1230" s="30"/>
      <c r="D1230" s="48"/>
      <c r="E1230" s="169"/>
      <c r="F1230" s="170"/>
      <c r="G1230" s="30"/>
      <c r="H1230" s="30"/>
    </row>
    <row r="1231" spans="1:8" x14ac:dyDescent="0.2">
      <c r="A1231" s="30"/>
      <c r="B1231" s="66"/>
      <c r="C1231" s="30"/>
      <c r="D1231" s="48"/>
      <c r="E1231" s="169"/>
      <c r="F1231" s="170"/>
      <c r="G1231" s="30"/>
      <c r="H1231" s="30"/>
    </row>
    <row r="1232" spans="1:8" x14ac:dyDescent="0.2">
      <c r="A1232" s="30"/>
      <c r="B1232" s="66"/>
      <c r="C1232" s="30"/>
      <c r="D1232" s="48"/>
      <c r="E1232" s="169"/>
      <c r="F1232" s="170"/>
      <c r="G1232" s="30"/>
      <c r="H1232" s="30"/>
    </row>
    <row r="1233" spans="1:8" x14ac:dyDescent="0.2">
      <c r="A1233" s="30"/>
      <c r="B1233" s="66"/>
      <c r="C1233" s="30"/>
      <c r="D1233" s="48"/>
      <c r="E1233" s="169"/>
      <c r="F1233" s="170"/>
      <c r="G1233" s="30"/>
      <c r="H1233" s="30"/>
    </row>
    <row r="1234" spans="1:8" x14ac:dyDescent="0.2">
      <c r="A1234" s="30"/>
      <c r="B1234" s="66"/>
      <c r="C1234" s="30"/>
      <c r="D1234" s="48"/>
      <c r="E1234" s="169"/>
      <c r="F1234" s="170"/>
      <c r="G1234" s="30"/>
      <c r="H1234" s="30"/>
    </row>
    <row r="1235" spans="1:8" x14ac:dyDescent="0.2">
      <c r="A1235" s="30"/>
      <c r="B1235" s="66"/>
      <c r="C1235" s="30"/>
      <c r="D1235" s="48"/>
      <c r="E1235" s="169"/>
      <c r="F1235" s="170"/>
      <c r="G1235" s="30"/>
      <c r="H1235" s="30"/>
    </row>
    <row r="1236" spans="1:8" x14ac:dyDescent="0.2">
      <c r="A1236" s="30"/>
      <c r="B1236" s="66"/>
      <c r="C1236" s="30"/>
      <c r="D1236" s="48"/>
      <c r="E1236" s="169"/>
      <c r="F1236" s="170"/>
      <c r="G1236" s="30"/>
      <c r="H1236" s="30"/>
    </row>
    <row r="1237" spans="1:8" x14ac:dyDescent="0.2">
      <c r="A1237" s="30"/>
      <c r="B1237" s="66"/>
      <c r="C1237" s="30"/>
      <c r="D1237" s="48"/>
      <c r="E1237" s="169"/>
      <c r="F1237" s="170"/>
      <c r="G1237" s="30"/>
      <c r="H1237" s="30"/>
    </row>
    <row r="1238" spans="1:8" x14ac:dyDescent="0.2">
      <c r="A1238" s="30"/>
      <c r="B1238" s="66"/>
      <c r="C1238" s="30"/>
      <c r="D1238" s="48"/>
      <c r="E1238" s="169"/>
      <c r="F1238" s="170"/>
      <c r="G1238" s="30"/>
      <c r="H1238" s="30"/>
    </row>
    <row r="1239" spans="1:8" x14ac:dyDescent="0.2">
      <c r="A1239" s="30"/>
      <c r="B1239" s="66"/>
      <c r="C1239" s="30"/>
      <c r="D1239" s="48"/>
      <c r="E1239" s="169"/>
      <c r="F1239" s="170"/>
      <c r="G1239" s="30"/>
      <c r="H1239" s="30"/>
    </row>
    <row r="1240" spans="1:8" x14ac:dyDescent="0.2">
      <c r="A1240" s="30"/>
      <c r="B1240" s="66"/>
      <c r="C1240" s="30"/>
      <c r="D1240" s="48"/>
      <c r="E1240" s="169"/>
      <c r="F1240" s="170"/>
      <c r="G1240" s="30"/>
      <c r="H1240" s="30"/>
    </row>
    <row r="1241" spans="1:8" x14ac:dyDescent="0.2">
      <c r="A1241" s="30"/>
      <c r="B1241" s="66"/>
      <c r="C1241" s="30"/>
      <c r="D1241" s="48"/>
      <c r="E1241" s="169"/>
      <c r="F1241" s="170"/>
      <c r="G1241" s="30"/>
      <c r="H1241" s="30"/>
    </row>
    <row r="1242" spans="1:8" x14ac:dyDescent="0.2">
      <c r="A1242" s="30"/>
      <c r="B1242" s="66"/>
      <c r="C1242" s="30"/>
      <c r="D1242" s="48"/>
      <c r="E1242" s="169"/>
      <c r="F1242" s="170"/>
      <c r="G1242" s="30"/>
      <c r="H1242" s="30"/>
    </row>
    <row r="1243" spans="1:8" x14ac:dyDescent="0.2">
      <c r="A1243" s="30"/>
      <c r="B1243" s="66"/>
      <c r="C1243" s="30"/>
      <c r="D1243" s="48"/>
      <c r="E1243" s="169"/>
      <c r="F1243" s="170"/>
      <c r="G1243" s="30"/>
      <c r="H1243" s="30"/>
    </row>
    <row r="1244" spans="1:8" x14ac:dyDescent="0.2">
      <c r="A1244" s="30"/>
      <c r="B1244" s="66"/>
      <c r="C1244" s="30"/>
      <c r="D1244" s="48"/>
      <c r="E1244" s="169"/>
      <c r="F1244" s="170"/>
      <c r="G1244" s="30"/>
      <c r="H1244" s="30"/>
    </row>
    <row r="1245" spans="1:8" x14ac:dyDescent="0.2">
      <c r="A1245" s="30"/>
      <c r="B1245" s="66"/>
      <c r="C1245" s="30"/>
      <c r="D1245" s="48"/>
      <c r="E1245" s="169"/>
      <c r="F1245" s="170"/>
      <c r="G1245" s="30"/>
      <c r="H1245" s="30"/>
    </row>
    <row r="1246" spans="1:8" x14ac:dyDescent="0.2">
      <c r="A1246" s="30"/>
      <c r="B1246" s="66"/>
      <c r="C1246" s="30"/>
      <c r="D1246" s="48"/>
      <c r="E1246" s="169"/>
      <c r="F1246" s="170"/>
      <c r="G1246" s="30"/>
      <c r="H1246" s="30"/>
    </row>
    <row r="1247" spans="1:8" x14ac:dyDescent="0.2">
      <c r="A1247" s="30"/>
      <c r="B1247" s="66"/>
      <c r="C1247" s="30"/>
      <c r="D1247" s="48"/>
      <c r="E1247" s="169"/>
      <c r="F1247" s="170"/>
      <c r="G1247" s="30"/>
      <c r="H1247" s="30"/>
    </row>
    <row r="1248" spans="1:8" x14ac:dyDescent="0.2">
      <c r="A1248" s="30"/>
      <c r="B1248" s="66"/>
      <c r="C1248" s="30"/>
      <c r="D1248" s="48"/>
      <c r="E1248" s="169"/>
      <c r="F1248" s="170"/>
      <c r="G1248" s="30"/>
      <c r="H1248" s="30"/>
    </row>
    <row r="1249" spans="1:8" x14ac:dyDescent="0.2">
      <c r="A1249" s="30"/>
      <c r="B1249" s="66"/>
      <c r="C1249" s="30"/>
      <c r="D1249" s="48"/>
      <c r="E1249" s="169"/>
      <c r="F1249" s="170"/>
      <c r="G1249" s="30"/>
      <c r="H1249" s="30"/>
    </row>
    <row r="1250" spans="1:8" x14ac:dyDescent="0.2">
      <c r="A1250" s="30"/>
      <c r="B1250" s="66"/>
      <c r="C1250" s="30"/>
      <c r="D1250" s="48"/>
      <c r="E1250" s="169"/>
      <c r="F1250" s="170"/>
      <c r="G1250" s="30"/>
      <c r="H1250" s="30"/>
    </row>
    <row r="1251" spans="1:8" x14ac:dyDescent="0.2">
      <c r="A1251" s="30"/>
      <c r="B1251" s="66"/>
      <c r="C1251" s="30"/>
      <c r="D1251" s="48"/>
      <c r="E1251" s="169"/>
      <c r="F1251" s="170"/>
      <c r="G1251" s="30"/>
      <c r="H1251" s="30"/>
    </row>
    <row r="1252" spans="1:8" x14ac:dyDescent="0.2">
      <c r="A1252" s="30"/>
      <c r="B1252" s="66"/>
      <c r="C1252" s="30"/>
      <c r="D1252" s="48"/>
      <c r="E1252" s="169"/>
      <c r="F1252" s="170"/>
      <c r="G1252" s="30"/>
      <c r="H1252" s="30"/>
    </row>
    <row r="1253" spans="1:8" x14ac:dyDescent="0.2">
      <c r="A1253" s="30"/>
      <c r="B1253" s="66"/>
      <c r="C1253" s="30"/>
      <c r="D1253" s="48"/>
      <c r="E1253" s="169"/>
      <c r="F1253" s="170"/>
      <c r="G1253" s="30"/>
      <c r="H1253" s="30"/>
    </row>
    <row r="1254" spans="1:8" x14ac:dyDescent="0.2">
      <c r="A1254" s="30"/>
      <c r="B1254" s="66"/>
      <c r="C1254" s="30"/>
      <c r="D1254" s="48"/>
      <c r="E1254" s="169"/>
      <c r="F1254" s="170"/>
      <c r="G1254" s="30"/>
      <c r="H1254" s="30"/>
    </row>
    <row r="1255" spans="1:8" x14ac:dyDescent="0.2">
      <c r="A1255" s="30"/>
      <c r="B1255" s="66"/>
      <c r="C1255" s="30"/>
      <c r="D1255" s="48"/>
      <c r="E1255" s="169"/>
      <c r="F1255" s="170"/>
      <c r="G1255" s="30"/>
      <c r="H1255" s="30"/>
    </row>
    <row r="1256" spans="1:8" x14ac:dyDescent="0.2">
      <c r="A1256" s="30"/>
      <c r="B1256" s="66"/>
      <c r="C1256" s="30"/>
      <c r="D1256" s="48"/>
      <c r="E1256" s="169"/>
      <c r="F1256" s="170"/>
      <c r="G1256" s="30"/>
      <c r="H1256" s="30"/>
    </row>
    <row r="1257" spans="1:8" x14ac:dyDescent="0.2">
      <c r="A1257" s="30"/>
      <c r="B1257" s="66"/>
      <c r="C1257" s="30"/>
      <c r="D1257" s="48"/>
      <c r="E1257" s="169"/>
      <c r="F1257" s="170"/>
      <c r="G1257" s="30"/>
      <c r="H1257" s="30"/>
    </row>
    <row r="1258" spans="1:8" x14ac:dyDescent="0.2">
      <c r="A1258" s="30"/>
      <c r="B1258" s="66"/>
      <c r="C1258" s="30"/>
      <c r="D1258" s="48"/>
      <c r="E1258" s="169"/>
      <c r="F1258" s="170"/>
      <c r="G1258" s="30"/>
      <c r="H1258" s="30"/>
    </row>
    <row r="1259" spans="1:8" x14ac:dyDescent="0.2">
      <c r="A1259" s="30"/>
      <c r="B1259" s="66"/>
      <c r="C1259" s="30"/>
      <c r="D1259" s="48"/>
      <c r="E1259" s="169"/>
      <c r="F1259" s="170"/>
      <c r="G1259" s="30"/>
      <c r="H1259" s="30"/>
    </row>
    <row r="1260" spans="1:8" x14ac:dyDescent="0.2">
      <c r="A1260" s="30"/>
      <c r="B1260" s="66"/>
      <c r="C1260" s="30"/>
      <c r="D1260" s="48"/>
      <c r="E1260" s="169"/>
      <c r="F1260" s="170"/>
      <c r="G1260" s="30"/>
      <c r="H1260" s="30"/>
    </row>
    <row r="1261" spans="1:8" x14ac:dyDescent="0.2">
      <c r="A1261" s="30"/>
      <c r="B1261" s="66"/>
      <c r="C1261" s="30"/>
      <c r="D1261" s="48"/>
      <c r="E1261" s="169"/>
      <c r="F1261" s="170"/>
      <c r="G1261" s="30"/>
      <c r="H1261" s="30"/>
    </row>
    <row r="1262" spans="1:8" x14ac:dyDescent="0.2">
      <c r="A1262" s="30"/>
      <c r="B1262" s="66"/>
      <c r="C1262" s="30"/>
      <c r="D1262" s="48"/>
      <c r="E1262" s="169"/>
      <c r="F1262" s="170"/>
      <c r="G1262" s="30"/>
      <c r="H1262" s="30"/>
    </row>
    <row r="1263" spans="1:8" x14ac:dyDescent="0.2">
      <c r="A1263" s="30"/>
      <c r="B1263" s="66"/>
      <c r="C1263" s="30"/>
      <c r="D1263" s="48"/>
      <c r="E1263" s="169"/>
      <c r="F1263" s="170"/>
      <c r="G1263" s="30"/>
      <c r="H1263" s="30"/>
    </row>
    <row r="1264" spans="1:8" x14ac:dyDescent="0.2">
      <c r="A1264" s="30"/>
      <c r="B1264" s="66"/>
      <c r="C1264" s="30"/>
      <c r="D1264" s="48"/>
      <c r="E1264" s="169"/>
      <c r="F1264" s="170"/>
      <c r="G1264" s="30"/>
      <c r="H1264" s="30"/>
    </row>
    <row r="1265" spans="1:8" x14ac:dyDescent="0.2">
      <c r="A1265" s="30"/>
      <c r="B1265" s="66"/>
      <c r="C1265" s="30"/>
      <c r="D1265" s="48"/>
      <c r="E1265" s="169"/>
      <c r="F1265" s="170"/>
      <c r="G1265" s="30"/>
      <c r="H1265" s="30"/>
    </row>
    <row r="1266" spans="1:8" x14ac:dyDescent="0.2">
      <c r="A1266" s="30"/>
      <c r="B1266" s="66"/>
      <c r="C1266" s="30"/>
      <c r="D1266" s="48"/>
      <c r="E1266" s="169"/>
      <c r="F1266" s="170"/>
      <c r="G1266" s="30"/>
      <c r="H1266" s="30"/>
    </row>
    <row r="1267" spans="1:8" x14ac:dyDescent="0.2">
      <c r="A1267" s="30"/>
      <c r="B1267" s="66"/>
      <c r="C1267" s="30"/>
      <c r="D1267" s="48"/>
      <c r="E1267" s="169"/>
      <c r="F1267" s="170"/>
      <c r="G1267" s="30"/>
      <c r="H1267" s="30"/>
    </row>
    <row r="1268" spans="1:8" x14ac:dyDescent="0.2">
      <c r="A1268" s="30"/>
      <c r="B1268" s="66"/>
      <c r="C1268" s="30"/>
      <c r="D1268" s="48"/>
      <c r="E1268" s="169"/>
      <c r="F1268" s="170"/>
      <c r="G1268" s="30"/>
      <c r="H1268" s="30"/>
    </row>
    <row r="1269" spans="1:8" x14ac:dyDescent="0.2">
      <c r="A1269" s="30"/>
      <c r="B1269" s="66"/>
      <c r="C1269" s="30"/>
      <c r="D1269" s="48"/>
      <c r="E1269" s="169"/>
      <c r="F1269" s="170"/>
      <c r="G1269" s="30"/>
      <c r="H1269" s="30"/>
    </row>
    <row r="1270" spans="1:8" x14ac:dyDescent="0.2">
      <c r="A1270" s="30"/>
      <c r="B1270" s="66"/>
      <c r="C1270" s="30"/>
      <c r="D1270" s="48"/>
      <c r="E1270" s="169"/>
      <c r="F1270" s="170"/>
      <c r="G1270" s="30"/>
      <c r="H1270" s="30"/>
    </row>
    <row r="1271" spans="1:8" x14ac:dyDescent="0.2">
      <c r="A1271" s="30"/>
      <c r="B1271" s="66"/>
      <c r="C1271" s="30"/>
      <c r="D1271" s="48"/>
      <c r="E1271" s="169"/>
      <c r="F1271" s="170"/>
      <c r="G1271" s="30"/>
      <c r="H1271" s="30"/>
    </row>
    <row r="1272" spans="1:8" x14ac:dyDescent="0.2">
      <c r="A1272" s="30"/>
      <c r="B1272" s="66"/>
      <c r="C1272" s="30"/>
      <c r="D1272" s="48"/>
      <c r="E1272" s="169"/>
      <c r="F1272" s="170"/>
      <c r="G1272" s="30"/>
      <c r="H1272" s="30"/>
    </row>
    <row r="1273" spans="1:8" x14ac:dyDescent="0.2">
      <c r="A1273" s="30"/>
      <c r="B1273" s="66"/>
      <c r="C1273" s="30"/>
      <c r="D1273" s="48"/>
      <c r="E1273" s="169"/>
      <c r="F1273" s="170"/>
      <c r="G1273" s="30"/>
      <c r="H1273" s="30"/>
    </row>
    <row r="1274" spans="1:8" x14ac:dyDescent="0.2">
      <c r="A1274" s="30"/>
      <c r="B1274" s="66"/>
      <c r="C1274" s="30"/>
      <c r="D1274" s="48"/>
      <c r="E1274" s="169"/>
      <c r="F1274" s="170"/>
      <c r="G1274" s="30"/>
      <c r="H1274" s="30"/>
    </row>
    <row r="1275" spans="1:8" x14ac:dyDescent="0.2">
      <c r="A1275" s="30"/>
      <c r="B1275" s="66"/>
      <c r="C1275" s="30"/>
      <c r="D1275" s="48"/>
      <c r="E1275" s="169"/>
      <c r="F1275" s="170"/>
      <c r="G1275" s="30"/>
      <c r="H1275" s="30"/>
    </row>
    <row r="1276" spans="1:8" x14ac:dyDescent="0.2">
      <c r="A1276" s="30"/>
      <c r="B1276" s="66"/>
      <c r="C1276" s="30"/>
      <c r="D1276" s="48"/>
      <c r="E1276" s="169"/>
      <c r="F1276" s="170"/>
      <c r="G1276" s="30"/>
      <c r="H1276" s="30"/>
    </row>
    <row r="1277" spans="1:8" x14ac:dyDescent="0.2">
      <c r="A1277" s="30"/>
      <c r="B1277" s="66"/>
      <c r="C1277" s="30"/>
      <c r="D1277" s="48"/>
      <c r="E1277" s="169"/>
      <c r="F1277" s="170"/>
      <c r="G1277" s="30"/>
      <c r="H1277" s="30"/>
    </row>
    <row r="1278" spans="1:8" x14ac:dyDescent="0.2">
      <c r="A1278" s="30"/>
      <c r="B1278" s="66"/>
      <c r="C1278" s="30"/>
      <c r="D1278" s="48"/>
      <c r="E1278" s="169"/>
      <c r="F1278" s="170"/>
      <c r="G1278" s="30"/>
      <c r="H1278" s="30"/>
    </row>
    <row r="1279" spans="1:8" x14ac:dyDescent="0.2">
      <c r="A1279" s="30"/>
      <c r="B1279" s="66"/>
      <c r="C1279" s="30"/>
      <c r="D1279" s="48"/>
      <c r="E1279" s="169"/>
      <c r="F1279" s="170"/>
      <c r="G1279" s="30"/>
      <c r="H1279" s="30"/>
    </row>
    <row r="1280" spans="1:8" x14ac:dyDescent="0.2">
      <c r="A1280" s="30"/>
      <c r="B1280" s="66"/>
      <c r="C1280" s="30"/>
      <c r="D1280" s="48"/>
      <c r="E1280" s="169"/>
      <c r="F1280" s="170"/>
      <c r="G1280" s="30"/>
      <c r="H1280" s="30"/>
    </row>
    <row r="1281" spans="1:8" x14ac:dyDescent="0.2">
      <c r="A1281" s="30"/>
      <c r="B1281" s="66"/>
      <c r="C1281" s="30"/>
      <c r="D1281" s="48"/>
      <c r="E1281" s="169"/>
      <c r="F1281" s="170"/>
      <c r="G1281" s="30"/>
      <c r="H1281" s="30"/>
    </row>
    <row r="1282" spans="1:8" x14ac:dyDescent="0.2">
      <c r="A1282" s="30"/>
      <c r="B1282" s="66"/>
      <c r="C1282" s="30"/>
      <c r="D1282" s="48"/>
      <c r="E1282" s="169"/>
      <c r="F1282" s="170"/>
      <c r="G1282" s="30"/>
      <c r="H1282" s="30"/>
    </row>
    <row r="1283" spans="1:8" x14ac:dyDescent="0.2">
      <c r="A1283" s="30"/>
      <c r="B1283" s="66"/>
      <c r="C1283" s="30"/>
      <c r="D1283" s="48"/>
      <c r="E1283" s="169"/>
      <c r="F1283" s="170"/>
      <c r="G1283" s="30"/>
      <c r="H1283" s="30"/>
    </row>
    <row r="1284" spans="1:8" x14ac:dyDescent="0.2">
      <c r="A1284" s="30"/>
      <c r="B1284" s="66"/>
      <c r="C1284" s="30"/>
      <c r="D1284" s="48"/>
      <c r="E1284" s="169"/>
      <c r="F1284" s="170"/>
      <c r="G1284" s="30"/>
      <c r="H1284" s="30"/>
    </row>
    <row r="1285" spans="1:8" x14ac:dyDescent="0.2">
      <c r="A1285" s="30"/>
      <c r="B1285" s="66"/>
      <c r="C1285" s="30"/>
      <c r="D1285" s="48"/>
      <c r="E1285" s="169"/>
      <c r="F1285" s="170"/>
      <c r="G1285" s="30"/>
      <c r="H1285" s="30"/>
    </row>
    <row r="1286" spans="1:8" x14ac:dyDescent="0.2">
      <c r="A1286" s="30"/>
      <c r="B1286" s="66"/>
      <c r="C1286" s="30"/>
      <c r="D1286" s="48"/>
      <c r="E1286" s="169"/>
      <c r="F1286" s="170"/>
      <c r="G1286" s="30"/>
      <c r="H1286" s="30"/>
    </row>
    <row r="1287" spans="1:8" x14ac:dyDescent="0.2">
      <c r="A1287" s="30"/>
      <c r="B1287" s="66"/>
      <c r="C1287" s="30"/>
      <c r="D1287" s="48"/>
      <c r="E1287" s="169"/>
      <c r="F1287" s="170"/>
      <c r="G1287" s="30"/>
      <c r="H1287" s="30"/>
    </row>
    <row r="1288" spans="1:8" x14ac:dyDescent="0.2">
      <c r="A1288" s="30"/>
      <c r="B1288" s="66"/>
      <c r="C1288" s="30"/>
      <c r="D1288" s="48"/>
      <c r="E1288" s="169"/>
      <c r="F1288" s="170"/>
      <c r="G1288" s="30"/>
      <c r="H1288" s="30"/>
    </row>
    <row r="1289" spans="1:8" x14ac:dyDescent="0.2">
      <c r="A1289" s="30"/>
      <c r="B1289" s="66"/>
      <c r="C1289" s="30"/>
      <c r="D1289" s="48"/>
      <c r="E1289" s="169"/>
      <c r="F1289" s="170"/>
      <c r="G1289" s="30"/>
      <c r="H1289" s="30"/>
    </row>
    <row r="1290" spans="1:8" x14ac:dyDescent="0.2">
      <c r="A1290" s="30"/>
      <c r="B1290" s="66"/>
      <c r="C1290" s="30"/>
      <c r="D1290" s="48"/>
      <c r="E1290" s="169"/>
      <c r="F1290" s="170"/>
      <c r="G1290" s="30"/>
      <c r="H1290" s="30"/>
    </row>
    <row r="1291" spans="1:8" x14ac:dyDescent="0.2">
      <c r="A1291" s="30"/>
      <c r="B1291" s="66"/>
      <c r="C1291" s="30"/>
      <c r="D1291" s="48"/>
      <c r="E1291" s="169"/>
      <c r="F1291" s="170"/>
      <c r="G1291" s="30"/>
      <c r="H1291" s="30"/>
    </row>
    <row r="1292" spans="1:8" x14ac:dyDescent="0.2">
      <c r="A1292" s="30"/>
      <c r="B1292" s="66"/>
      <c r="C1292" s="30"/>
      <c r="D1292" s="48"/>
      <c r="E1292" s="169"/>
      <c r="F1292" s="170"/>
      <c r="G1292" s="30"/>
      <c r="H1292" s="30"/>
    </row>
    <row r="1293" spans="1:8" x14ac:dyDescent="0.2">
      <c r="A1293" s="30"/>
      <c r="B1293" s="66"/>
      <c r="C1293" s="30"/>
      <c r="D1293" s="48"/>
      <c r="E1293" s="169"/>
      <c r="F1293" s="170"/>
      <c r="G1293" s="30"/>
      <c r="H1293" s="30"/>
    </row>
    <row r="1294" spans="1:8" x14ac:dyDescent="0.2">
      <c r="A1294" s="30"/>
      <c r="B1294" s="66"/>
      <c r="C1294" s="30"/>
      <c r="D1294" s="48"/>
      <c r="E1294" s="169"/>
      <c r="F1294" s="170"/>
      <c r="G1294" s="30"/>
      <c r="H1294" s="30"/>
    </row>
    <row r="1295" spans="1:8" x14ac:dyDescent="0.2">
      <c r="A1295" s="30"/>
      <c r="B1295" s="66"/>
      <c r="C1295" s="30"/>
      <c r="D1295" s="48"/>
      <c r="E1295" s="169"/>
      <c r="F1295" s="170"/>
      <c r="G1295" s="30"/>
      <c r="H1295" s="30"/>
    </row>
    <row r="1296" spans="1:8" x14ac:dyDescent="0.2">
      <c r="A1296" s="30"/>
      <c r="B1296" s="66"/>
      <c r="C1296" s="30"/>
      <c r="D1296" s="48"/>
      <c r="E1296" s="169"/>
      <c r="F1296" s="170"/>
      <c r="G1296" s="30"/>
      <c r="H1296" s="30"/>
    </row>
    <row r="1297" spans="1:8" x14ac:dyDescent="0.2">
      <c r="A1297" s="30"/>
      <c r="B1297" s="66"/>
      <c r="C1297" s="30"/>
      <c r="D1297" s="48"/>
      <c r="E1297" s="169"/>
      <c r="F1297" s="170"/>
      <c r="G1297" s="30"/>
      <c r="H1297" s="30"/>
    </row>
    <row r="1298" spans="1:8" x14ac:dyDescent="0.2">
      <c r="A1298" s="30"/>
      <c r="B1298" s="66"/>
      <c r="C1298" s="30"/>
      <c r="D1298" s="48"/>
      <c r="E1298" s="169"/>
      <c r="F1298" s="170"/>
      <c r="G1298" s="30"/>
      <c r="H1298" s="30"/>
    </row>
    <row r="1299" spans="1:8" x14ac:dyDescent="0.2">
      <c r="A1299" s="30"/>
      <c r="B1299" s="66"/>
      <c r="C1299" s="30"/>
      <c r="D1299" s="48"/>
      <c r="E1299" s="169"/>
      <c r="F1299" s="170"/>
      <c r="G1299" s="30"/>
      <c r="H1299" s="30"/>
    </row>
    <row r="1300" spans="1:8" x14ac:dyDescent="0.2">
      <c r="A1300" s="30"/>
      <c r="B1300" s="66"/>
      <c r="C1300" s="30"/>
      <c r="D1300" s="48"/>
      <c r="E1300" s="169"/>
      <c r="F1300" s="170"/>
      <c r="G1300" s="30"/>
      <c r="H1300" s="30"/>
    </row>
    <row r="1301" spans="1:8" x14ac:dyDescent="0.2">
      <c r="A1301" s="30"/>
      <c r="B1301" s="66"/>
      <c r="C1301" s="30"/>
      <c r="D1301" s="48"/>
      <c r="E1301" s="169"/>
      <c r="F1301" s="170"/>
      <c r="G1301" s="30"/>
      <c r="H1301" s="30"/>
    </row>
    <row r="1302" spans="1:8" x14ac:dyDescent="0.2">
      <c r="A1302" s="30"/>
      <c r="B1302" s="66"/>
      <c r="C1302" s="30"/>
      <c r="D1302" s="48"/>
      <c r="E1302" s="169"/>
      <c r="F1302" s="170"/>
      <c r="G1302" s="30"/>
      <c r="H1302" s="30"/>
    </row>
    <row r="1303" spans="1:8" x14ac:dyDescent="0.2">
      <c r="A1303" s="30"/>
      <c r="B1303" s="66"/>
      <c r="C1303" s="30"/>
      <c r="D1303" s="48"/>
      <c r="E1303" s="169"/>
      <c r="F1303" s="170"/>
      <c r="G1303" s="30"/>
      <c r="H1303" s="30"/>
    </row>
    <row r="1304" spans="1:8" x14ac:dyDescent="0.2">
      <c r="A1304" s="30"/>
      <c r="B1304" s="66"/>
      <c r="C1304" s="30"/>
      <c r="D1304" s="48"/>
      <c r="E1304" s="169"/>
      <c r="F1304" s="170"/>
      <c r="G1304" s="30"/>
      <c r="H1304" s="30"/>
    </row>
    <row r="1305" spans="1:8" x14ac:dyDescent="0.2">
      <c r="A1305" s="30"/>
      <c r="B1305" s="66"/>
      <c r="C1305" s="30"/>
      <c r="D1305" s="48"/>
      <c r="E1305" s="169"/>
      <c r="F1305" s="170"/>
      <c r="G1305" s="30"/>
      <c r="H1305" s="30"/>
    </row>
    <row r="1306" spans="1:8" x14ac:dyDescent="0.2">
      <c r="A1306" s="30"/>
      <c r="B1306" s="66"/>
      <c r="C1306" s="30"/>
      <c r="D1306" s="48"/>
      <c r="E1306" s="169"/>
      <c r="F1306" s="170"/>
      <c r="G1306" s="30"/>
      <c r="H1306" s="30"/>
    </row>
    <row r="1307" spans="1:8" x14ac:dyDescent="0.2">
      <c r="A1307" s="30"/>
      <c r="B1307" s="66"/>
      <c r="C1307" s="30"/>
      <c r="D1307" s="48"/>
      <c r="E1307" s="169"/>
      <c r="F1307" s="170"/>
      <c r="G1307" s="30"/>
      <c r="H1307" s="30"/>
    </row>
    <row r="1308" spans="1:8" x14ac:dyDescent="0.2">
      <c r="A1308" s="30"/>
      <c r="B1308" s="66"/>
      <c r="C1308" s="30"/>
      <c r="D1308" s="48"/>
      <c r="E1308" s="169"/>
      <c r="F1308" s="170"/>
      <c r="G1308" s="30"/>
      <c r="H1308" s="30"/>
    </row>
    <row r="1309" spans="1:8" x14ac:dyDescent="0.2">
      <c r="A1309" s="30"/>
      <c r="B1309" s="66"/>
      <c r="C1309" s="30"/>
      <c r="D1309" s="48"/>
      <c r="E1309" s="169"/>
      <c r="F1309" s="170"/>
      <c r="G1309" s="30"/>
      <c r="H1309" s="30"/>
    </row>
    <row r="1310" spans="1:8" x14ac:dyDescent="0.2">
      <c r="A1310" s="30"/>
      <c r="B1310" s="66"/>
      <c r="C1310" s="30"/>
      <c r="D1310" s="48"/>
      <c r="E1310" s="169"/>
      <c r="F1310" s="170"/>
      <c r="G1310" s="30"/>
      <c r="H1310" s="30"/>
    </row>
    <row r="1311" spans="1:8" x14ac:dyDescent="0.2">
      <c r="A1311" s="30"/>
      <c r="B1311" s="66"/>
      <c r="C1311" s="30"/>
      <c r="D1311" s="48"/>
      <c r="E1311" s="169"/>
      <c r="F1311" s="170"/>
      <c r="G1311" s="30"/>
      <c r="H1311" s="30"/>
    </row>
    <row r="1312" spans="1:8" x14ac:dyDescent="0.2">
      <c r="A1312" s="30"/>
      <c r="B1312" s="66"/>
      <c r="C1312" s="30"/>
      <c r="D1312" s="48"/>
      <c r="E1312" s="169"/>
      <c r="F1312" s="170"/>
      <c r="G1312" s="30"/>
      <c r="H1312" s="30"/>
    </row>
    <row r="1313" spans="1:8" x14ac:dyDescent="0.2">
      <c r="A1313" s="30"/>
      <c r="B1313" s="66"/>
      <c r="C1313" s="30"/>
      <c r="D1313" s="48"/>
      <c r="E1313" s="169"/>
      <c r="F1313" s="170"/>
      <c r="G1313" s="30"/>
      <c r="H1313" s="30"/>
    </row>
    <row r="1314" spans="1:8" x14ac:dyDescent="0.2">
      <c r="A1314" s="30"/>
      <c r="B1314" s="66"/>
      <c r="C1314" s="30"/>
      <c r="D1314" s="48"/>
      <c r="E1314" s="169"/>
      <c r="F1314" s="170"/>
      <c r="G1314" s="30"/>
      <c r="H1314" s="30"/>
    </row>
    <row r="1315" spans="1:8" x14ac:dyDescent="0.2">
      <c r="A1315" s="30"/>
      <c r="B1315" s="66"/>
      <c r="C1315" s="30"/>
      <c r="D1315" s="48"/>
      <c r="E1315" s="169"/>
      <c r="F1315" s="170"/>
      <c r="G1315" s="30"/>
      <c r="H1315" s="30"/>
    </row>
    <row r="1316" spans="1:8" x14ac:dyDescent="0.2">
      <c r="A1316" s="30"/>
      <c r="B1316" s="66"/>
      <c r="C1316" s="30"/>
      <c r="D1316" s="48"/>
      <c r="E1316" s="169"/>
      <c r="F1316" s="170"/>
      <c r="G1316" s="30"/>
      <c r="H1316" s="30"/>
    </row>
    <row r="1317" spans="1:8" x14ac:dyDescent="0.2">
      <c r="A1317" s="30"/>
      <c r="B1317" s="66"/>
      <c r="C1317" s="30"/>
      <c r="D1317" s="48"/>
      <c r="E1317" s="169"/>
      <c r="F1317" s="170"/>
      <c r="G1317" s="30"/>
      <c r="H1317" s="30"/>
    </row>
    <row r="1318" spans="1:8" x14ac:dyDescent="0.2">
      <c r="A1318" s="30"/>
      <c r="B1318" s="66"/>
      <c r="C1318" s="30"/>
      <c r="D1318" s="48"/>
      <c r="E1318" s="169"/>
      <c r="F1318" s="170"/>
      <c r="G1318" s="30"/>
      <c r="H1318" s="30"/>
    </row>
    <row r="1319" spans="1:8" x14ac:dyDescent="0.2">
      <c r="A1319" s="30"/>
      <c r="B1319" s="66"/>
      <c r="C1319" s="30"/>
      <c r="D1319" s="48"/>
      <c r="E1319" s="169"/>
      <c r="F1319" s="170"/>
      <c r="G1319" s="30"/>
      <c r="H1319" s="30"/>
    </row>
    <row r="1320" spans="1:8" x14ac:dyDescent="0.2">
      <c r="A1320" s="30"/>
      <c r="B1320" s="66"/>
      <c r="C1320" s="30"/>
      <c r="D1320" s="48"/>
      <c r="E1320" s="169"/>
      <c r="F1320" s="170"/>
      <c r="G1320" s="30"/>
      <c r="H1320" s="30"/>
    </row>
    <row r="1321" spans="1:8" x14ac:dyDescent="0.2">
      <c r="A1321" s="30"/>
      <c r="B1321" s="66"/>
      <c r="C1321" s="30"/>
      <c r="D1321" s="48"/>
      <c r="E1321" s="169"/>
      <c r="F1321" s="170"/>
      <c r="G1321" s="30"/>
      <c r="H1321" s="30"/>
    </row>
    <row r="1322" spans="1:8" x14ac:dyDescent="0.2">
      <c r="A1322" s="30"/>
      <c r="B1322" s="66"/>
      <c r="C1322" s="30"/>
      <c r="D1322" s="48"/>
      <c r="E1322" s="169"/>
      <c r="F1322" s="170"/>
      <c r="G1322" s="30"/>
      <c r="H1322" s="30"/>
    </row>
    <row r="1323" spans="1:8" x14ac:dyDescent="0.2">
      <c r="A1323" s="30"/>
      <c r="B1323" s="66"/>
      <c r="C1323" s="30"/>
      <c r="D1323" s="48"/>
      <c r="E1323" s="169"/>
      <c r="F1323" s="170"/>
      <c r="G1323" s="30"/>
      <c r="H1323" s="30"/>
    </row>
    <row r="1324" spans="1:8" x14ac:dyDescent="0.2">
      <c r="A1324" s="30"/>
      <c r="B1324" s="66"/>
      <c r="C1324" s="30"/>
      <c r="D1324" s="48"/>
      <c r="E1324" s="169"/>
      <c r="F1324" s="170"/>
      <c r="G1324" s="30"/>
      <c r="H1324" s="30"/>
    </row>
    <row r="1325" spans="1:8" x14ac:dyDescent="0.2">
      <c r="A1325" s="30"/>
      <c r="B1325" s="66"/>
      <c r="C1325" s="30"/>
      <c r="D1325" s="48"/>
      <c r="E1325" s="169"/>
      <c r="F1325" s="170"/>
      <c r="G1325" s="30"/>
      <c r="H1325" s="30"/>
    </row>
    <row r="1326" spans="1:8" x14ac:dyDescent="0.2">
      <c r="A1326" s="30"/>
      <c r="B1326" s="66"/>
      <c r="C1326" s="30"/>
      <c r="D1326" s="48"/>
      <c r="E1326" s="169"/>
      <c r="F1326" s="170"/>
      <c r="G1326" s="30"/>
      <c r="H1326" s="30"/>
    </row>
    <row r="1327" spans="1:8" x14ac:dyDescent="0.2">
      <c r="A1327" s="30"/>
      <c r="B1327" s="66"/>
      <c r="C1327" s="30"/>
      <c r="D1327" s="48"/>
      <c r="E1327" s="169"/>
      <c r="F1327" s="170"/>
      <c r="G1327" s="30"/>
      <c r="H1327" s="30"/>
    </row>
    <row r="1328" spans="1:8" x14ac:dyDescent="0.2">
      <c r="A1328" s="30"/>
      <c r="B1328" s="66"/>
      <c r="C1328" s="30"/>
      <c r="D1328" s="48"/>
      <c r="E1328" s="169"/>
      <c r="F1328" s="170"/>
      <c r="G1328" s="30"/>
      <c r="H1328" s="30"/>
    </row>
    <row r="1329" spans="1:8" x14ac:dyDescent="0.2">
      <c r="A1329" s="30"/>
      <c r="B1329" s="66"/>
      <c r="C1329" s="30"/>
      <c r="D1329" s="48"/>
      <c r="E1329" s="169"/>
      <c r="F1329" s="170"/>
      <c r="G1329" s="30"/>
      <c r="H1329" s="30"/>
    </row>
    <row r="1330" spans="1:8" x14ac:dyDescent="0.2">
      <c r="A1330" s="30"/>
      <c r="B1330" s="66"/>
      <c r="C1330" s="30"/>
      <c r="D1330" s="48"/>
      <c r="E1330" s="169"/>
      <c r="F1330" s="170"/>
      <c r="G1330" s="30"/>
      <c r="H1330" s="30"/>
    </row>
    <row r="1331" spans="1:8" x14ac:dyDescent="0.2">
      <c r="A1331" s="30"/>
      <c r="B1331" s="66"/>
      <c r="C1331" s="30"/>
      <c r="D1331" s="48"/>
      <c r="E1331" s="169"/>
      <c r="F1331" s="170"/>
      <c r="G1331" s="30"/>
      <c r="H1331" s="30"/>
    </row>
    <row r="1332" spans="1:8" x14ac:dyDescent="0.2">
      <c r="A1332" s="30"/>
      <c r="B1332" s="66"/>
      <c r="C1332" s="30"/>
      <c r="D1332" s="48"/>
      <c r="E1332" s="169"/>
      <c r="F1332" s="170"/>
      <c r="G1332" s="30"/>
      <c r="H1332" s="30"/>
    </row>
    <row r="1333" spans="1:8" x14ac:dyDescent="0.2">
      <c r="A1333" s="30"/>
      <c r="B1333" s="66"/>
      <c r="C1333" s="30"/>
      <c r="D1333" s="48"/>
      <c r="E1333" s="169"/>
      <c r="F1333" s="170"/>
      <c r="G1333" s="30"/>
      <c r="H1333" s="30"/>
    </row>
    <row r="1334" spans="1:8" x14ac:dyDescent="0.2">
      <c r="A1334" s="30"/>
      <c r="B1334" s="66"/>
      <c r="C1334" s="30"/>
      <c r="D1334" s="48"/>
      <c r="E1334" s="169"/>
      <c r="F1334" s="170"/>
      <c r="G1334" s="30"/>
      <c r="H1334" s="30"/>
    </row>
    <row r="1335" spans="1:8" x14ac:dyDescent="0.2">
      <c r="A1335" s="30"/>
      <c r="B1335" s="66"/>
      <c r="C1335" s="30"/>
      <c r="D1335" s="48"/>
      <c r="E1335" s="169"/>
      <c r="F1335" s="170"/>
      <c r="G1335" s="30"/>
      <c r="H1335" s="30"/>
    </row>
    <row r="1336" spans="1:8" x14ac:dyDescent="0.2">
      <c r="A1336" s="30"/>
      <c r="B1336" s="66"/>
      <c r="C1336" s="30"/>
      <c r="D1336" s="48"/>
      <c r="E1336" s="169"/>
      <c r="F1336" s="170"/>
      <c r="G1336" s="30"/>
      <c r="H1336" s="30"/>
    </row>
    <row r="1337" spans="1:8" x14ac:dyDescent="0.2">
      <c r="A1337" s="30"/>
      <c r="B1337" s="66"/>
      <c r="C1337" s="30"/>
      <c r="D1337" s="48"/>
      <c r="E1337" s="169"/>
      <c r="F1337" s="170"/>
      <c r="G1337" s="30"/>
      <c r="H1337" s="30"/>
    </row>
    <row r="1338" spans="1:8" x14ac:dyDescent="0.2">
      <c r="A1338" s="30"/>
      <c r="B1338" s="66"/>
      <c r="C1338" s="30"/>
      <c r="D1338" s="48"/>
      <c r="E1338" s="169"/>
      <c r="F1338" s="170"/>
      <c r="G1338" s="30"/>
      <c r="H1338" s="30"/>
    </row>
    <row r="1339" spans="1:8" x14ac:dyDescent="0.2">
      <c r="A1339" s="30"/>
      <c r="B1339" s="66"/>
      <c r="C1339" s="30"/>
      <c r="D1339" s="48"/>
      <c r="E1339" s="169"/>
      <c r="F1339" s="170"/>
      <c r="G1339" s="30"/>
      <c r="H1339" s="30"/>
    </row>
    <row r="1340" spans="1:8" x14ac:dyDescent="0.2">
      <c r="A1340" s="30"/>
      <c r="B1340" s="66"/>
      <c r="C1340" s="30"/>
      <c r="D1340" s="48"/>
      <c r="E1340" s="169"/>
      <c r="F1340" s="170"/>
      <c r="G1340" s="30"/>
      <c r="H1340" s="30"/>
    </row>
    <row r="1341" spans="1:8" x14ac:dyDescent="0.2">
      <c r="A1341" s="30"/>
      <c r="B1341" s="66"/>
      <c r="C1341" s="30"/>
      <c r="D1341" s="48"/>
      <c r="E1341" s="169"/>
      <c r="F1341" s="170"/>
      <c r="G1341" s="30"/>
      <c r="H1341" s="30"/>
    </row>
    <row r="1342" spans="1:8" x14ac:dyDescent="0.2">
      <c r="A1342" s="30"/>
      <c r="B1342" s="66"/>
      <c r="C1342" s="30"/>
      <c r="D1342" s="48"/>
      <c r="E1342" s="169"/>
      <c r="F1342" s="170"/>
      <c r="G1342" s="30"/>
      <c r="H1342" s="30"/>
    </row>
    <row r="1343" spans="1:8" x14ac:dyDescent="0.2">
      <c r="A1343" s="30"/>
      <c r="B1343" s="66"/>
      <c r="C1343" s="30"/>
      <c r="D1343" s="48"/>
      <c r="E1343" s="169"/>
      <c r="F1343" s="170"/>
      <c r="G1343" s="30"/>
      <c r="H1343" s="30"/>
    </row>
    <row r="1344" spans="1:8" x14ac:dyDescent="0.2">
      <c r="A1344" s="30"/>
      <c r="B1344" s="66"/>
      <c r="C1344" s="30"/>
      <c r="D1344" s="48"/>
      <c r="E1344" s="169"/>
      <c r="F1344" s="170"/>
      <c r="G1344" s="30"/>
      <c r="H1344" s="30"/>
    </row>
    <row r="1345" spans="1:8" x14ac:dyDescent="0.2">
      <c r="A1345" s="30"/>
      <c r="B1345" s="66"/>
      <c r="C1345" s="30"/>
      <c r="D1345" s="48"/>
      <c r="E1345" s="169"/>
      <c r="F1345" s="170"/>
      <c r="G1345" s="30"/>
      <c r="H1345" s="30"/>
    </row>
    <row r="1346" spans="1:8" x14ac:dyDescent="0.2">
      <c r="A1346" s="30"/>
      <c r="B1346" s="66"/>
      <c r="C1346" s="30"/>
      <c r="D1346" s="48"/>
      <c r="E1346" s="169"/>
      <c r="F1346" s="170"/>
      <c r="G1346" s="30"/>
      <c r="H1346" s="30"/>
    </row>
    <row r="1347" spans="1:8" x14ac:dyDescent="0.2">
      <c r="A1347" s="30"/>
      <c r="B1347" s="66"/>
      <c r="C1347" s="30"/>
      <c r="D1347" s="48"/>
      <c r="E1347" s="169"/>
      <c r="F1347" s="170"/>
      <c r="G1347" s="30"/>
      <c r="H1347" s="30"/>
    </row>
    <row r="1348" spans="1:8" x14ac:dyDescent="0.2">
      <c r="A1348" s="30"/>
      <c r="B1348" s="66"/>
      <c r="C1348" s="30"/>
      <c r="D1348" s="48"/>
      <c r="E1348" s="169"/>
      <c r="F1348" s="170"/>
      <c r="G1348" s="30"/>
      <c r="H1348" s="30"/>
    </row>
    <row r="1349" spans="1:8" x14ac:dyDescent="0.2">
      <c r="A1349" s="30"/>
      <c r="B1349" s="66"/>
      <c r="C1349" s="30"/>
      <c r="D1349" s="48"/>
      <c r="E1349" s="169"/>
      <c r="F1349" s="170"/>
      <c r="G1349" s="30"/>
      <c r="H1349" s="30"/>
    </row>
    <row r="1350" spans="1:8" x14ac:dyDescent="0.2">
      <c r="A1350" s="30"/>
      <c r="B1350" s="66"/>
      <c r="C1350" s="30"/>
      <c r="D1350" s="48"/>
      <c r="E1350" s="169"/>
      <c r="F1350" s="170"/>
      <c r="G1350" s="30"/>
      <c r="H1350" s="30"/>
    </row>
    <row r="1351" spans="1:8" x14ac:dyDescent="0.2">
      <c r="A1351" s="30"/>
      <c r="B1351" s="66"/>
      <c r="C1351" s="30"/>
      <c r="D1351" s="48"/>
      <c r="E1351" s="169"/>
      <c r="F1351" s="170"/>
      <c r="G1351" s="30"/>
      <c r="H1351" s="30"/>
    </row>
    <row r="1352" spans="1:8" x14ac:dyDescent="0.2">
      <c r="A1352" s="30"/>
      <c r="B1352" s="66"/>
      <c r="C1352" s="30"/>
      <c r="D1352" s="48"/>
      <c r="E1352" s="169"/>
      <c r="F1352" s="170"/>
      <c r="G1352" s="30"/>
      <c r="H1352" s="30"/>
    </row>
    <row r="1353" spans="1:8" x14ac:dyDescent="0.2">
      <c r="A1353" s="30"/>
      <c r="B1353" s="66"/>
      <c r="C1353" s="30"/>
      <c r="D1353" s="48"/>
      <c r="E1353" s="169"/>
      <c r="F1353" s="170"/>
      <c r="G1353" s="30"/>
      <c r="H1353" s="30"/>
    </row>
    <row r="1354" spans="1:8" x14ac:dyDescent="0.2">
      <c r="A1354" s="30"/>
      <c r="B1354" s="66"/>
      <c r="C1354" s="30"/>
      <c r="D1354" s="48"/>
      <c r="E1354" s="169"/>
      <c r="F1354" s="170"/>
      <c r="G1354" s="30"/>
      <c r="H1354" s="30"/>
    </row>
    <row r="1355" spans="1:8" x14ac:dyDescent="0.2">
      <c r="A1355" s="30"/>
      <c r="B1355" s="66"/>
      <c r="C1355" s="30"/>
      <c r="D1355" s="48"/>
      <c r="E1355" s="169"/>
      <c r="F1355" s="170"/>
      <c r="G1355" s="30"/>
      <c r="H1355" s="30"/>
    </row>
    <row r="1356" spans="1:8" x14ac:dyDescent="0.2">
      <c r="A1356" s="30"/>
      <c r="B1356" s="66"/>
      <c r="C1356" s="30"/>
      <c r="D1356" s="48"/>
      <c r="E1356" s="169"/>
      <c r="F1356" s="170"/>
      <c r="G1356" s="30"/>
      <c r="H1356" s="30"/>
    </row>
    <row r="1357" spans="1:8" x14ac:dyDescent="0.2">
      <c r="A1357" s="30"/>
      <c r="B1357" s="66"/>
      <c r="C1357" s="30"/>
      <c r="D1357" s="48"/>
      <c r="E1357" s="169"/>
      <c r="F1357" s="170"/>
      <c r="G1357" s="30"/>
      <c r="H1357" s="30"/>
    </row>
    <row r="1358" spans="1:8" x14ac:dyDescent="0.2">
      <c r="A1358" s="30"/>
      <c r="B1358" s="66"/>
      <c r="C1358" s="30"/>
      <c r="D1358" s="48"/>
      <c r="E1358" s="169"/>
      <c r="F1358" s="170"/>
      <c r="G1358" s="30"/>
      <c r="H1358" s="30"/>
    </row>
    <row r="1359" spans="1:8" x14ac:dyDescent="0.2">
      <c r="A1359" s="30"/>
      <c r="B1359" s="66"/>
      <c r="C1359" s="30"/>
      <c r="D1359" s="48"/>
      <c r="E1359" s="169"/>
      <c r="F1359" s="170"/>
      <c r="G1359" s="30"/>
      <c r="H1359" s="30"/>
    </row>
    <row r="1360" spans="1:8" x14ac:dyDescent="0.2">
      <c r="A1360" s="30"/>
      <c r="B1360" s="66"/>
      <c r="C1360" s="30"/>
      <c r="D1360" s="48"/>
      <c r="E1360" s="169"/>
      <c r="F1360" s="170"/>
      <c r="G1360" s="30"/>
      <c r="H1360" s="30"/>
    </row>
    <row r="1361" spans="1:8" x14ac:dyDescent="0.2">
      <c r="A1361" s="30"/>
      <c r="B1361" s="66"/>
      <c r="C1361" s="30"/>
      <c r="D1361" s="48"/>
      <c r="E1361" s="169"/>
      <c r="F1361" s="170"/>
      <c r="G1361" s="30"/>
      <c r="H1361" s="30"/>
    </row>
    <row r="1362" spans="1:8" x14ac:dyDescent="0.2">
      <c r="A1362" s="30"/>
      <c r="B1362" s="66"/>
      <c r="C1362" s="30"/>
      <c r="D1362" s="48"/>
      <c r="E1362" s="169"/>
      <c r="F1362" s="170"/>
      <c r="G1362" s="30"/>
      <c r="H1362" s="30"/>
    </row>
    <row r="1363" spans="1:8" x14ac:dyDescent="0.2">
      <c r="A1363" s="30"/>
      <c r="B1363" s="66"/>
      <c r="C1363" s="30"/>
      <c r="D1363" s="48"/>
      <c r="E1363" s="169"/>
      <c r="F1363" s="170"/>
      <c r="G1363" s="30"/>
      <c r="H1363" s="30"/>
    </row>
    <row r="1364" spans="1:8" x14ac:dyDescent="0.2">
      <c r="A1364" s="30"/>
      <c r="B1364" s="66"/>
      <c r="C1364" s="30"/>
      <c r="D1364" s="48"/>
      <c r="E1364" s="169"/>
      <c r="F1364" s="170"/>
      <c r="G1364" s="30"/>
      <c r="H1364" s="30"/>
    </row>
    <row r="1365" spans="1:8" x14ac:dyDescent="0.2">
      <c r="A1365" s="30"/>
      <c r="B1365" s="66"/>
      <c r="C1365" s="30"/>
      <c r="D1365" s="48"/>
      <c r="E1365" s="169"/>
      <c r="F1365" s="170"/>
      <c r="G1365" s="30"/>
      <c r="H1365" s="30"/>
    </row>
    <row r="1366" spans="1:8" x14ac:dyDescent="0.2">
      <c r="A1366" s="30"/>
      <c r="B1366" s="66"/>
      <c r="C1366" s="30"/>
      <c r="D1366" s="48"/>
      <c r="E1366" s="169"/>
      <c r="F1366" s="170"/>
      <c r="G1366" s="30"/>
      <c r="H1366" s="30"/>
    </row>
    <row r="1367" spans="1:8" x14ac:dyDescent="0.2">
      <c r="A1367" s="30"/>
      <c r="B1367" s="66"/>
      <c r="C1367" s="30"/>
      <c r="D1367" s="48"/>
      <c r="E1367" s="169"/>
      <c r="F1367" s="170"/>
      <c r="G1367" s="30"/>
      <c r="H1367" s="30"/>
    </row>
    <row r="1368" spans="1:8" x14ac:dyDescent="0.2">
      <c r="A1368" s="30"/>
      <c r="B1368" s="66"/>
      <c r="C1368" s="30"/>
      <c r="D1368" s="48"/>
      <c r="E1368" s="169"/>
      <c r="F1368" s="170"/>
      <c r="G1368" s="30"/>
      <c r="H1368" s="30"/>
    </row>
    <row r="1369" spans="1:8" x14ac:dyDescent="0.2">
      <c r="A1369" s="30"/>
      <c r="B1369" s="66"/>
      <c r="C1369" s="30"/>
      <c r="D1369" s="48"/>
      <c r="E1369" s="169"/>
      <c r="F1369" s="170"/>
      <c r="G1369" s="30"/>
      <c r="H1369" s="30"/>
    </row>
    <row r="1370" spans="1:8" x14ac:dyDescent="0.2">
      <c r="A1370" s="30"/>
      <c r="B1370" s="66"/>
      <c r="C1370" s="30"/>
      <c r="D1370" s="48"/>
      <c r="E1370" s="169"/>
      <c r="F1370" s="170"/>
      <c r="G1370" s="30"/>
      <c r="H1370" s="30"/>
    </row>
    <row r="1371" spans="1:8" x14ac:dyDescent="0.2">
      <c r="A1371" s="30"/>
      <c r="B1371" s="66"/>
      <c r="C1371" s="30"/>
      <c r="D1371" s="48"/>
      <c r="E1371" s="169"/>
      <c r="F1371" s="170"/>
      <c r="G1371" s="30"/>
      <c r="H1371" s="30"/>
    </row>
    <row r="1372" spans="1:8" x14ac:dyDescent="0.2">
      <c r="A1372" s="30"/>
      <c r="B1372" s="66"/>
      <c r="C1372" s="30"/>
      <c r="D1372" s="48"/>
      <c r="E1372" s="169"/>
      <c r="F1372" s="170"/>
      <c r="G1372" s="30"/>
      <c r="H1372" s="30"/>
    </row>
    <row r="1373" spans="1:8" x14ac:dyDescent="0.2">
      <c r="A1373" s="30"/>
      <c r="B1373" s="66"/>
      <c r="C1373" s="30"/>
      <c r="D1373" s="48"/>
      <c r="E1373" s="169"/>
      <c r="F1373" s="170"/>
      <c r="G1373" s="30"/>
      <c r="H1373" s="30"/>
    </row>
    <row r="1374" spans="1:8" x14ac:dyDescent="0.2">
      <c r="A1374" s="30"/>
      <c r="B1374" s="66"/>
      <c r="C1374" s="30"/>
      <c r="D1374" s="48"/>
      <c r="E1374" s="169"/>
      <c r="F1374" s="170"/>
      <c r="G1374" s="30"/>
      <c r="H1374" s="30"/>
    </row>
    <row r="1375" spans="1:8" x14ac:dyDescent="0.2">
      <c r="A1375" s="30"/>
      <c r="B1375" s="66"/>
      <c r="C1375" s="30"/>
      <c r="D1375" s="48"/>
      <c r="E1375" s="169"/>
      <c r="F1375" s="170"/>
      <c r="G1375" s="30"/>
      <c r="H1375" s="30"/>
    </row>
    <row r="1376" spans="1:8" x14ac:dyDescent="0.2">
      <c r="A1376" s="30"/>
      <c r="B1376" s="66"/>
      <c r="C1376" s="30"/>
      <c r="D1376" s="48"/>
      <c r="E1376" s="169"/>
      <c r="F1376" s="170"/>
      <c r="G1376" s="30"/>
      <c r="H1376" s="30"/>
    </row>
    <row r="1377" spans="1:8" x14ac:dyDescent="0.2">
      <c r="A1377" s="30"/>
      <c r="B1377" s="66"/>
      <c r="C1377" s="30"/>
      <c r="D1377" s="48"/>
      <c r="E1377" s="169"/>
      <c r="F1377" s="170"/>
      <c r="G1377" s="30"/>
      <c r="H1377" s="30"/>
    </row>
    <row r="1378" spans="1:8" x14ac:dyDescent="0.2">
      <c r="A1378" s="30"/>
      <c r="B1378" s="66"/>
      <c r="C1378" s="30"/>
      <c r="D1378" s="48"/>
      <c r="E1378" s="169"/>
      <c r="F1378" s="170"/>
      <c r="G1378" s="30"/>
      <c r="H1378" s="30"/>
    </row>
    <row r="1379" spans="1:8" x14ac:dyDescent="0.2">
      <c r="A1379" s="30"/>
      <c r="B1379" s="66"/>
      <c r="C1379" s="30"/>
      <c r="D1379" s="48"/>
      <c r="E1379" s="169"/>
      <c r="F1379" s="170"/>
      <c r="G1379" s="30"/>
      <c r="H1379" s="30"/>
    </row>
    <row r="1380" spans="1:8" x14ac:dyDescent="0.2">
      <c r="A1380" s="30"/>
      <c r="B1380" s="66"/>
      <c r="C1380" s="30"/>
      <c r="D1380" s="48"/>
      <c r="E1380" s="169"/>
      <c r="F1380" s="170"/>
      <c r="G1380" s="30"/>
      <c r="H1380" s="30"/>
    </row>
    <row r="1381" spans="1:8" x14ac:dyDescent="0.2">
      <c r="A1381" s="30"/>
      <c r="B1381" s="66"/>
      <c r="C1381" s="30"/>
      <c r="D1381" s="48"/>
      <c r="E1381" s="169"/>
      <c r="F1381" s="170"/>
      <c r="G1381" s="30"/>
      <c r="H1381" s="30"/>
    </row>
    <row r="1382" spans="1:8" x14ac:dyDescent="0.2">
      <c r="A1382" s="30"/>
      <c r="B1382" s="66"/>
      <c r="C1382" s="30"/>
      <c r="D1382" s="48"/>
      <c r="E1382" s="169"/>
      <c r="F1382" s="170"/>
      <c r="G1382" s="30"/>
      <c r="H1382" s="30"/>
    </row>
    <row r="1383" spans="1:8" x14ac:dyDescent="0.2">
      <c r="A1383" s="30"/>
      <c r="B1383" s="66"/>
      <c r="C1383" s="30"/>
      <c r="D1383" s="48"/>
      <c r="E1383" s="169"/>
      <c r="F1383" s="170"/>
      <c r="G1383" s="30"/>
      <c r="H1383" s="30"/>
    </row>
    <row r="1384" spans="1:8" x14ac:dyDescent="0.2">
      <c r="A1384" s="30"/>
      <c r="B1384" s="66"/>
      <c r="C1384" s="30"/>
      <c r="D1384" s="48"/>
      <c r="E1384" s="169"/>
      <c r="F1384" s="170"/>
      <c r="G1384" s="30"/>
      <c r="H1384" s="30"/>
    </row>
    <row r="1385" spans="1:8" x14ac:dyDescent="0.2">
      <c r="A1385" s="30"/>
      <c r="B1385" s="66"/>
      <c r="C1385" s="30"/>
      <c r="D1385" s="48"/>
      <c r="E1385" s="169"/>
      <c r="F1385" s="170"/>
      <c r="G1385" s="30"/>
      <c r="H1385" s="30"/>
    </row>
    <row r="1386" spans="1:8" x14ac:dyDescent="0.2">
      <c r="A1386" s="30"/>
      <c r="B1386" s="66"/>
      <c r="C1386" s="30"/>
      <c r="D1386" s="48"/>
      <c r="E1386" s="169"/>
      <c r="F1386" s="170"/>
      <c r="G1386" s="30"/>
      <c r="H1386" s="30"/>
    </row>
    <row r="1387" spans="1:8" x14ac:dyDescent="0.2">
      <c r="A1387" s="30"/>
      <c r="B1387" s="66"/>
      <c r="C1387" s="30"/>
      <c r="D1387" s="48"/>
      <c r="E1387" s="169"/>
      <c r="F1387" s="170"/>
      <c r="G1387" s="30"/>
      <c r="H1387" s="30"/>
    </row>
    <row r="1388" spans="1:8" x14ac:dyDescent="0.2">
      <c r="A1388" s="30"/>
      <c r="B1388" s="66"/>
      <c r="C1388" s="30"/>
      <c r="D1388" s="48"/>
      <c r="E1388" s="169"/>
      <c r="F1388" s="170"/>
      <c r="G1388" s="30"/>
      <c r="H1388" s="30"/>
    </row>
    <row r="1389" spans="1:8" x14ac:dyDescent="0.2">
      <c r="A1389" s="30"/>
      <c r="B1389" s="66"/>
      <c r="C1389" s="30"/>
      <c r="D1389" s="48"/>
      <c r="E1389" s="169"/>
      <c r="F1389" s="170"/>
      <c r="G1389" s="30"/>
      <c r="H1389" s="30"/>
    </row>
    <row r="1390" spans="1:8" x14ac:dyDescent="0.2">
      <c r="A1390" s="30"/>
      <c r="B1390" s="66"/>
      <c r="C1390" s="30"/>
      <c r="D1390" s="48"/>
      <c r="E1390" s="169"/>
      <c r="F1390" s="170"/>
      <c r="G1390" s="30"/>
      <c r="H1390" s="30"/>
    </row>
    <row r="1391" spans="1:8" x14ac:dyDescent="0.2">
      <c r="A1391" s="30"/>
      <c r="B1391" s="66"/>
      <c r="C1391" s="30"/>
      <c r="D1391" s="48"/>
      <c r="E1391" s="169"/>
      <c r="F1391" s="170"/>
      <c r="G1391" s="30"/>
      <c r="H1391" s="30"/>
    </row>
    <row r="1392" spans="1:8" x14ac:dyDescent="0.2">
      <c r="A1392" s="30"/>
      <c r="B1392" s="66"/>
      <c r="C1392" s="30"/>
      <c r="D1392" s="48"/>
      <c r="E1392" s="169"/>
      <c r="F1392" s="170"/>
      <c r="G1392" s="30"/>
      <c r="H1392" s="30"/>
    </row>
    <row r="1393" spans="1:8" x14ac:dyDescent="0.2">
      <c r="A1393" s="30"/>
      <c r="B1393" s="66"/>
      <c r="C1393" s="30"/>
      <c r="D1393" s="48"/>
      <c r="E1393" s="169"/>
      <c r="F1393" s="170"/>
      <c r="G1393" s="30"/>
      <c r="H1393" s="30"/>
    </row>
    <row r="1394" spans="1:8" x14ac:dyDescent="0.2">
      <c r="A1394" s="30"/>
      <c r="B1394" s="66"/>
      <c r="C1394" s="30"/>
      <c r="D1394" s="48"/>
      <c r="E1394" s="169"/>
      <c r="F1394" s="170"/>
      <c r="G1394" s="30"/>
      <c r="H1394" s="30"/>
    </row>
    <row r="1395" spans="1:8" x14ac:dyDescent="0.2">
      <c r="A1395" s="30"/>
      <c r="B1395" s="66"/>
      <c r="C1395" s="30"/>
      <c r="D1395" s="48"/>
      <c r="E1395" s="169"/>
      <c r="F1395" s="170"/>
      <c r="G1395" s="30"/>
      <c r="H1395" s="30"/>
    </row>
    <row r="1396" spans="1:8" x14ac:dyDescent="0.2">
      <c r="A1396" s="30"/>
      <c r="B1396" s="66"/>
      <c r="C1396" s="30"/>
      <c r="D1396" s="48"/>
      <c r="E1396" s="169"/>
      <c r="F1396" s="170"/>
      <c r="G1396" s="30"/>
      <c r="H1396" s="30"/>
    </row>
    <row r="1397" spans="1:8" x14ac:dyDescent="0.2">
      <c r="A1397" s="30"/>
      <c r="B1397" s="66"/>
      <c r="C1397" s="30"/>
      <c r="D1397" s="48"/>
      <c r="E1397" s="169"/>
      <c r="F1397" s="170"/>
      <c r="G1397" s="30"/>
      <c r="H1397" s="30"/>
    </row>
    <row r="1398" spans="1:8" x14ac:dyDescent="0.2">
      <c r="A1398" s="30"/>
      <c r="B1398" s="66"/>
      <c r="C1398" s="30"/>
      <c r="D1398" s="48"/>
      <c r="E1398" s="169"/>
      <c r="F1398" s="170"/>
      <c r="G1398" s="30"/>
      <c r="H1398" s="30"/>
    </row>
    <row r="1399" spans="1:8" x14ac:dyDescent="0.2">
      <c r="A1399" s="30"/>
      <c r="B1399" s="66"/>
      <c r="C1399" s="30"/>
      <c r="D1399" s="48"/>
      <c r="E1399" s="169"/>
      <c r="F1399" s="170"/>
      <c r="G1399" s="30"/>
      <c r="H1399" s="30"/>
    </row>
    <row r="1400" spans="1:8" x14ac:dyDescent="0.2">
      <c r="A1400" s="30"/>
      <c r="B1400" s="66"/>
      <c r="C1400" s="30"/>
      <c r="D1400" s="48"/>
      <c r="E1400" s="169"/>
      <c r="F1400" s="170"/>
      <c r="G1400" s="30"/>
      <c r="H1400" s="30"/>
    </row>
    <row r="1401" spans="1:8" x14ac:dyDescent="0.2">
      <c r="A1401" s="30"/>
      <c r="B1401" s="66"/>
      <c r="C1401" s="30"/>
      <c r="D1401" s="48"/>
      <c r="E1401" s="169"/>
      <c r="F1401" s="170"/>
      <c r="G1401" s="30"/>
      <c r="H1401" s="30"/>
    </row>
    <row r="1402" spans="1:8" x14ac:dyDescent="0.2">
      <c r="A1402" s="30"/>
      <c r="B1402" s="66"/>
      <c r="C1402" s="30"/>
      <c r="D1402" s="48"/>
      <c r="E1402" s="169"/>
      <c r="F1402" s="170"/>
      <c r="G1402" s="30"/>
      <c r="H1402" s="30"/>
    </row>
    <row r="1403" spans="1:8" x14ac:dyDescent="0.2">
      <c r="A1403" s="30"/>
      <c r="B1403" s="66"/>
      <c r="C1403" s="30"/>
      <c r="D1403" s="48"/>
      <c r="E1403" s="169"/>
      <c r="F1403" s="170"/>
      <c r="G1403" s="30"/>
      <c r="H1403" s="30"/>
    </row>
    <row r="1404" spans="1:8" x14ac:dyDescent="0.2">
      <c r="A1404" s="30"/>
      <c r="B1404" s="66"/>
      <c r="C1404" s="30"/>
      <c r="D1404" s="48"/>
      <c r="E1404" s="169"/>
      <c r="F1404" s="170"/>
      <c r="G1404" s="30"/>
      <c r="H1404" s="30"/>
    </row>
    <row r="1405" spans="1:8" x14ac:dyDescent="0.2">
      <c r="A1405" s="30"/>
      <c r="B1405" s="66"/>
      <c r="C1405" s="30"/>
      <c r="D1405" s="48"/>
      <c r="E1405" s="169"/>
      <c r="F1405" s="170"/>
      <c r="G1405" s="30"/>
      <c r="H1405" s="30"/>
    </row>
    <row r="1406" spans="1:8" x14ac:dyDescent="0.2">
      <c r="A1406" s="30"/>
      <c r="B1406" s="66"/>
      <c r="C1406" s="30"/>
      <c r="D1406" s="48"/>
      <c r="E1406" s="169"/>
      <c r="F1406" s="170"/>
      <c r="G1406" s="30"/>
      <c r="H1406" s="30"/>
    </row>
    <row r="1407" spans="1:8" x14ac:dyDescent="0.2">
      <c r="A1407" s="30"/>
      <c r="B1407" s="66"/>
      <c r="C1407" s="30"/>
      <c r="D1407" s="48"/>
      <c r="E1407" s="169"/>
      <c r="F1407" s="170"/>
      <c r="G1407" s="30"/>
      <c r="H1407" s="30"/>
    </row>
    <row r="1408" spans="1:8" x14ac:dyDescent="0.2">
      <c r="A1408" s="30"/>
      <c r="B1408" s="66"/>
      <c r="C1408" s="30"/>
      <c r="D1408" s="48"/>
      <c r="E1408" s="169"/>
      <c r="F1408" s="170"/>
      <c r="G1408" s="30"/>
      <c r="H1408" s="30"/>
    </row>
    <row r="1409" spans="1:8" x14ac:dyDescent="0.2">
      <c r="A1409" s="30"/>
      <c r="B1409" s="66"/>
      <c r="C1409" s="30"/>
      <c r="D1409" s="48"/>
      <c r="E1409" s="169"/>
      <c r="F1409" s="170"/>
      <c r="G1409" s="30"/>
      <c r="H1409" s="30"/>
    </row>
    <row r="1410" spans="1:8" x14ac:dyDescent="0.2">
      <c r="A1410" s="30"/>
      <c r="B1410" s="66"/>
      <c r="C1410" s="30"/>
      <c r="D1410" s="48"/>
      <c r="E1410" s="169"/>
      <c r="F1410" s="170"/>
      <c r="G1410" s="30"/>
      <c r="H1410" s="30"/>
    </row>
    <row r="1411" spans="1:8" x14ac:dyDescent="0.2">
      <c r="A1411" s="30"/>
      <c r="B1411" s="66"/>
      <c r="C1411" s="30"/>
      <c r="D1411" s="48"/>
      <c r="E1411" s="169"/>
      <c r="F1411" s="170"/>
      <c r="G1411" s="30"/>
      <c r="H1411" s="30"/>
    </row>
    <row r="1412" spans="1:8" x14ac:dyDescent="0.2">
      <c r="A1412" s="30"/>
      <c r="B1412" s="66"/>
      <c r="C1412" s="30"/>
      <c r="D1412" s="48"/>
      <c r="E1412" s="169"/>
      <c r="F1412" s="170"/>
      <c r="G1412" s="30"/>
      <c r="H1412" s="30"/>
    </row>
    <row r="1413" spans="1:8" x14ac:dyDescent="0.2">
      <c r="A1413" s="30"/>
      <c r="B1413" s="66"/>
      <c r="C1413" s="30"/>
      <c r="D1413" s="48"/>
      <c r="E1413" s="169"/>
      <c r="F1413" s="170"/>
      <c r="G1413" s="30"/>
      <c r="H1413" s="30"/>
    </row>
    <row r="1414" spans="1:8" x14ac:dyDescent="0.2">
      <c r="A1414" s="30"/>
      <c r="B1414" s="66"/>
      <c r="C1414" s="30"/>
      <c r="D1414" s="48"/>
      <c r="E1414" s="169"/>
      <c r="F1414" s="170"/>
      <c r="G1414" s="30"/>
      <c r="H1414" s="30"/>
    </row>
    <row r="1415" spans="1:8" x14ac:dyDescent="0.2">
      <c r="A1415" s="30"/>
      <c r="B1415" s="66"/>
      <c r="C1415" s="30"/>
      <c r="D1415" s="48"/>
      <c r="E1415" s="169"/>
      <c r="F1415" s="170"/>
      <c r="G1415" s="30"/>
      <c r="H1415" s="30"/>
    </row>
    <row r="1416" spans="1:8" x14ac:dyDescent="0.2">
      <c r="A1416" s="30"/>
      <c r="B1416" s="66"/>
      <c r="C1416" s="30"/>
      <c r="D1416" s="48"/>
      <c r="E1416" s="169"/>
      <c r="F1416" s="170"/>
      <c r="G1416" s="30"/>
      <c r="H1416" s="30"/>
    </row>
    <row r="1417" spans="1:8" x14ac:dyDescent="0.2">
      <c r="A1417" s="30"/>
      <c r="B1417" s="66"/>
      <c r="C1417" s="30"/>
      <c r="D1417" s="48"/>
      <c r="E1417" s="169"/>
      <c r="F1417" s="170"/>
      <c r="G1417" s="30"/>
      <c r="H1417" s="30"/>
    </row>
    <row r="1418" spans="1:8" x14ac:dyDescent="0.2">
      <c r="A1418" s="30"/>
      <c r="B1418" s="66"/>
      <c r="C1418" s="30"/>
      <c r="D1418" s="48"/>
      <c r="E1418" s="169"/>
      <c r="F1418" s="170"/>
      <c r="G1418" s="30"/>
      <c r="H1418" s="30"/>
    </row>
    <row r="1419" spans="1:8" x14ac:dyDescent="0.2">
      <c r="A1419" s="30"/>
      <c r="B1419" s="66"/>
      <c r="C1419" s="30"/>
      <c r="D1419" s="48"/>
      <c r="E1419" s="169"/>
      <c r="F1419" s="170"/>
      <c r="G1419" s="30"/>
      <c r="H1419" s="30"/>
    </row>
    <row r="1420" spans="1:8" x14ac:dyDescent="0.2">
      <c r="A1420" s="30"/>
      <c r="B1420" s="66"/>
      <c r="C1420" s="30"/>
      <c r="D1420" s="48"/>
      <c r="E1420" s="169"/>
      <c r="F1420" s="170"/>
      <c r="G1420" s="30"/>
      <c r="H1420" s="30"/>
    </row>
    <row r="1421" spans="1:8" x14ac:dyDescent="0.2">
      <c r="A1421" s="30"/>
      <c r="B1421" s="66"/>
      <c r="C1421" s="30"/>
      <c r="D1421" s="48"/>
      <c r="E1421" s="169"/>
      <c r="F1421" s="170"/>
      <c r="G1421" s="30"/>
      <c r="H1421" s="30"/>
    </row>
    <row r="1422" spans="1:8" x14ac:dyDescent="0.2">
      <c r="A1422" s="30"/>
      <c r="B1422" s="66"/>
      <c r="C1422" s="30"/>
      <c r="D1422" s="48"/>
      <c r="E1422" s="169"/>
      <c r="F1422" s="170"/>
      <c r="G1422" s="30"/>
      <c r="H1422" s="30"/>
    </row>
    <row r="1423" spans="1:8" x14ac:dyDescent="0.2">
      <c r="A1423" s="30"/>
      <c r="B1423" s="66"/>
      <c r="C1423" s="30"/>
      <c r="D1423" s="48"/>
      <c r="E1423" s="169"/>
      <c r="F1423" s="170"/>
      <c r="G1423" s="30"/>
      <c r="H1423" s="30"/>
    </row>
    <row r="1424" spans="1:8" x14ac:dyDescent="0.2">
      <c r="A1424" s="30"/>
      <c r="B1424" s="66"/>
      <c r="C1424" s="30"/>
      <c r="D1424" s="48"/>
      <c r="E1424" s="169"/>
      <c r="F1424" s="170"/>
      <c r="G1424" s="30"/>
      <c r="H1424" s="30"/>
    </row>
    <row r="1425" spans="1:8" x14ac:dyDescent="0.2">
      <c r="A1425" s="30"/>
      <c r="B1425" s="66"/>
      <c r="C1425" s="30"/>
      <c r="D1425" s="48"/>
      <c r="E1425" s="169"/>
      <c r="F1425" s="170"/>
      <c r="G1425" s="30"/>
      <c r="H1425" s="30"/>
    </row>
    <row r="1426" spans="1:8" x14ac:dyDescent="0.2">
      <c r="A1426" s="30"/>
      <c r="B1426" s="66"/>
      <c r="C1426" s="30"/>
      <c r="D1426" s="48"/>
      <c r="E1426" s="169"/>
      <c r="F1426" s="170"/>
      <c r="G1426" s="30"/>
      <c r="H1426" s="30"/>
    </row>
    <row r="1427" spans="1:8" x14ac:dyDescent="0.2">
      <c r="A1427" s="30"/>
      <c r="B1427" s="66"/>
      <c r="C1427" s="30"/>
      <c r="D1427" s="48"/>
      <c r="E1427" s="169"/>
      <c r="F1427" s="170"/>
      <c r="G1427" s="30"/>
      <c r="H1427" s="30"/>
    </row>
    <row r="1428" spans="1:8" x14ac:dyDescent="0.2">
      <c r="A1428" s="30"/>
      <c r="B1428" s="66"/>
      <c r="C1428" s="30"/>
      <c r="D1428" s="48"/>
      <c r="E1428" s="169"/>
      <c r="F1428" s="170"/>
      <c r="G1428" s="30"/>
      <c r="H1428" s="30"/>
    </row>
    <row r="1429" spans="1:8" x14ac:dyDescent="0.2">
      <c r="A1429" s="30"/>
      <c r="B1429" s="66"/>
      <c r="C1429" s="30"/>
      <c r="D1429" s="48"/>
      <c r="E1429" s="169"/>
      <c r="F1429" s="170"/>
      <c r="G1429" s="30"/>
      <c r="H1429" s="30"/>
    </row>
    <row r="1430" spans="1:8" x14ac:dyDescent="0.2">
      <c r="A1430" s="30"/>
      <c r="B1430" s="66"/>
      <c r="C1430" s="30"/>
      <c r="D1430" s="48"/>
      <c r="E1430" s="169"/>
      <c r="F1430" s="170"/>
      <c r="G1430" s="30"/>
      <c r="H1430" s="30"/>
    </row>
    <row r="1431" spans="1:8" x14ac:dyDescent="0.2">
      <c r="A1431" s="30"/>
      <c r="B1431" s="66"/>
      <c r="C1431" s="30"/>
      <c r="D1431" s="48"/>
      <c r="E1431" s="169"/>
      <c r="F1431" s="170"/>
      <c r="G1431" s="30"/>
      <c r="H1431" s="30"/>
    </row>
    <row r="1432" spans="1:8" x14ac:dyDescent="0.2">
      <c r="A1432" s="30"/>
      <c r="B1432" s="66"/>
      <c r="C1432" s="30"/>
      <c r="D1432" s="48"/>
      <c r="E1432" s="169"/>
      <c r="F1432" s="170"/>
      <c r="G1432" s="30"/>
      <c r="H1432" s="30"/>
    </row>
    <row r="1433" spans="1:8" x14ac:dyDescent="0.2">
      <c r="A1433" s="30"/>
      <c r="B1433" s="66"/>
      <c r="C1433" s="30"/>
      <c r="D1433" s="48"/>
      <c r="E1433" s="169"/>
      <c r="F1433" s="170"/>
      <c r="G1433" s="30"/>
      <c r="H1433" s="30"/>
    </row>
    <row r="1434" spans="1:8" x14ac:dyDescent="0.2">
      <c r="A1434" s="30"/>
      <c r="B1434" s="66"/>
      <c r="C1434" s="30"/>
      <c r="D1434" s="48"/>
      <c r="E1434" s="169"/>
      <c r="F1434" s="170"/>
      <c r="G1434" s="30"/>
      <c r="H1434" s="30"/>
    </row>
    <row r="1435" spans="1:8" x14ac:dyDescent="0.2">
      <c r="A1435" s="30"/>
      <c r="B1435" s="66"/>
      <c r="C1435" s="30"/>
      <c r="D1435" s="48"/>
      <c r="E1435" s="169"/>
      <c r="F1435" s="170"/>
      <c r="G1435" s="30"/>
      <c r="H1435" s="30"/>
    </row>
    <row r="1436" spans="1:8" x14ac:dyDescent="0.2">
      <c r="A1436" s="30"/>
      <c r="B1436" s="66"/>
      <c r="C1436" s="30"/>
      <c r="D1436" s="48"/>
      <c r="E1436" s="169"/>
      <c r="F1436" s="170"/>
      <c r="G1436" s="30"/>
      <c r="H1436" s="30"/>
    </row>
    <row r="1437" spans="1:8" x14ac:dyDescent="0.2">
      <c r="A1437" s="30"/>
      <c r="B1437" s="66"/>
      <c r="C1437" s="30"/>
      <c r="D1437" s="48"/>
      <c r="E1437" s="169"/>
      <c r="F1437" s="170"/>
      <c r="G1437" s="30"/>
      <c r="H1437" s="30"/>
    </row>
    <row r="1438" spans="1:8" x14ac:dyDescent="0.2">
      <c r="A1438" s="30"/>
      <c r="B1438" s="66"/>
      <c r="C1438" s="30"/>
      <c r="D1438" s="48"/>
      <c r="E1438" s="169"/>
      <c r="F1438" s="170"/>
      <c r="G1438" s="30"/>
      <c r="H1438" s="30"/>
    </row>
    <row r="1439" spans="1:8" x14ac:dyDescent="0.2">
      <c r="A1439" s="30"/>
      <c r="B1439" s="66"/>
      <c r="C1439" s="30"/>
      <c r="D1439" s="48"/>
      <c r="E1439" s="169"/>
      <c r="F1439" s="170"/>
      <c r="G1439" s="30"/>
      <c r="H1439" s="30"/>
    </row>
    <row r="1440" spans="1:8" x14ac:dyDescent="0.2">
      <c r="A1440" s="30"/>
      <c r="B1440" s="66"/>
      <c r="C1440" s="30"/>
      <c r="D1440" s="48"/>
      <c r="E1440" s="169"/>
      <c r="F1440" s="170"/>
      <c r="G1440" s="30"/>
      <c r="H1440" s="30"/>
    </row>
    <row r="1441" spans="1:8" x14ac:dyDescent="0.2">
      <c r="A1441" s="30"/>
      <c r="B1441" s="66"/>
      <c r="C1441" s="30"/>
      <c r="D1441" s="48"/>
      <c r="E1441" s="169"/>
      <c r="F1441" s="170"/>
      <c r="G1441" s="30"/>
      <c r="H1441" s="30"/>
    </row>
    <row r="1442" spans="1:8" x14ac:dyDescent="0.2">
      <c r="A1442" s="30"/>
      <c r="B1442" s="66"/>
      <c r="C1442" s="30"/>
      <c r="D1442" s="48"/>
      <c r="E1442" s="169"/>
      <c r="F1442" s="170"/>
      <c r="G1442" s="30"/>
      <c r="H1442" s="30"/>
    </row>
    <row r="1443" spans="1:8" x14ac:dyDescent="0.2">
      <c r="A1443" s="30"/>
      <c r="B1443" s="66"/>
      <c r="C1443" s="30"/>
      <c r="D1443" s="48"/>
      <c r="E1443" s="169"/>
      <c r="F1443" s="170"/>
      <c r="G1443" s="30"/>
      <c r="H1443" s="30"/>
    </row>
    <row r="1444" spans="1:8" x14ac:dyDescent="0.2">
      <c r="A1444" s="30"/>
      <c r="B1444" s="66"/>
      <c r="C1444" s="30"/>
      <c r="D1444" s="48"/>
      <c r="E1444" s="169"/>
      <c r="F1444" s="170"/>
      <c r="G1444" s="30"/>
      <c r="H1444" s="30"/>
    </row>
    <row r="1445" spans="1:8" x14ac:dyDescent="0.2">
      <c r="A1445" s="30"/>
      <c r="B1445" s="66"/>
      <c r="C1445" s="30"/>
      <c r="D1445" s="48"/>
      <c r="E1445" s="169"/>
      <c r="F1445" s="170"/>
      <c r="G1445" s="30"/>
      <c r="H1445" s="30"/>
    </row>
    <row r="1446" spans="1:8" x14ac:dyDescent="0.2">
      <c r="A1446" s="30"/>
      <c r="B1446" s="66"/>
      <c r="C1446" s="30"/>
      <c r="D1446" s="48"/>
      <c r="E1446" s="169"/>
      <c r="F1446" s="170"/>
      <c r="G1446" s="30"/>
      <c r="H1446" s="30"/>
    </row>
    <row r="1447" spans="1:8" x14ac:dyDescent="0.2">
      <c r="A1447" s="30"/>
      <c r="B1447" s="66"/>
      <c r="C1447" s="30"/>
      <c r="D1447" s="48"/>
      <c r="E1447" s="169"/>
      <c r="F1447" s="170"/>
      <c r="G1447" s="30"/>
      <c r="H1447" s="30"/>
    </row>
    <row r="1448" spans="1:8" x14ac:dyDescent="0.2">
      <c r="A1448" s="30"/>
      <c r="B1448" s="66"/>
      <c r="C1448" s="30"/>
      <c r="D1448" s="48"/>
      <c r="E1448" s="169"/>
      <c r="F1448" s="170"/>
      <c r="G1448" s="30"/>
      <c r="H1448" s="30"/>
    </row>
    <row r="1449" spans="1:8" x14ac:dyDescent="0.2">
      <c r="A1449" s="30"/>
      <c r="B1449" s="66"/>
      <c r="C1449" s="30"/>
      <c r="D1449" s="48"/>
      <c r="E1449" s="169"/>
      <c r="F1449" s="170"/>
      <c r="G1449" s="30"/>
      <c r="H1449" s="30"/>
    </row>
    <row r="1450" spans="1:8" x14ac:dyDescent="0.2">
      <c r="A1450" s="30"/>
      <c r="B1450" s="66"/>
      <c r="C1450" s="30"/>
      <c r="D1450" s="48"/>
      <c r="E1450" s="169"/>
      <c r="F1450" s="170"/>
      <c r="G1450" s="30"/>
      <c r="H1450" s="30"/>
    </row>
    <row r="1451" spans="1:8" x14ac:dyDescent="0.2">
      <c r="A1451" s="30"/>
      <c r="B1451" s="66"/>
      <c r="C1451" s="30"/>
      <c r="D1451" s="48"/>
      <c r="E1451" s="169"/>
      <c r="F1451" s="170"/>
      <c r="G1451" s="30"/>
      <c r="H1451" s="30"/>
    </row>
    <row r="1452" spans="1:8" x14ac:dyDescent="0.2">
      <c r="A1452" s="30"/>
      <c r="B1452" s="66"/>
      <c r="C1452" s="30"/>
      <c r="D1452" s="48"/>
      <c r="E1452" s="169"/>
      <c r="F1452" s="170"/>
      <c r="G1452" s="30"/>
      <c r="H1452" s="30"/>
    </row>
    <row r="1453" spans="1:8" x14ac:dyDescent="0.2">
      <c r="A1453" s="30"/>
      <c r="B1453" s="66"/>
      <c r="C1453" s="30"/>
      <c r="D1453" s="48"/>
      <c r="E1453" s="169"/>
      <c r="F1453" s="170"/>
      <c r="G1453" s="30"/>
      <c r="H1453" s="30"/>
    </row>
    <row r="1454" spans="1:8" x14ac:dyDescent="0.2">
      <c r="A1454" s="30"/>
      <c r="B1454" s="66"/>
      <c r="C1454" s="30"/>
      <c r="D1454" s="48"/>
      <c r="E1454" s="169"/>
      <c r="F1454" s="170"/>
      <c r="G1454" s="30"/>
      <c r="H1454" s="30"/>
    </row>
    <row r="1455" spans="1:8" x14ac:dyDescent="0.2">
      <c r="A1455" s="30"/>
      <c r="B1455" s="66"/>
      <c r="C1455" s="30"/>
      <c r="D1455" s="48"/>
      <c r="E1455" s="169"/>
      <c r="F1455" s="170"/>
      <c r="G1455" s="30"/>
      <c r="H1455" s="30"/>
    </row>
    <row r="1456" spans="1:8" x14ac:dyDescent="0.2">
      <c r="A1456" s="30"/>
      <c r="B1456" s="66"/>
      <c r="C1456" s="30"/>
      <c r="D1456" s="48"/>
      <c r="E1456" s="169"/>
      <c r="F1456" s="170"/>
      <c r="G1456" s="30"/>
      <c r="H1456" s="30"/>
    </row>
    <row r="1457" spans="1:8" x14ac:dyDescent="0.2">
      <c r="A1457" s="30"/>
      <c r="B1457" s="66"/>
      <c r="C1457" s="30"/>
      <c r="D1457" s="48"/>
      <c r="E1457" s="169"/>
      <c r="F1457" s="170"/>
      <c r="G1457" s="30"/>
      <c r="H1457" s="30"/>
    </row>
    <row r="1458" spans="1:8" x14ac:dyDescent="0.2">
      <c r="A1458" s="30"/>
      <c r="B1458" s="66"/>
      <c r="C1458" s="30"/>
      <c r="D1458" s="48"/>
      <c r="E1458" s="169"/>
      <c r="F1458" s="170"/>
      <c r="G1458" s="30"/>
      <c r="H1458" s="30"/>
    </row>
    <row r="1459" spans="1:8" x14ac:dyDescent="0.2">
      <c r="A1459" s="30"/>
      <c r="B1459" s="66"/>
      <c r="C1459" s="30"/>
      <c r="D1459" s="48"/>
      <c r="E1459" s="169"/>
      <c r="F1459" s="170"/>
      <c r="G1459" s="30"/>
      <c r="H1459" s="30"/>
    </row>
    <row r="1460" spans="1:8" x14ac:dyDescent="0.2">
      <c r="A1460" s="30"/>
      <c r="B1460" s="66"/>
      <c r="C1460" s="30"/>
      <c r="D1460" s="48"/>
      <c r="E1460" s="169"/>
      <c r="F1460" s="170"/>
      <c r="G1460" s="30"/>
      <c r="H1460" s="30"/>
    </row>
    <row r="1461" spans="1:8" x14ac:dyDescent="0.2">
      <c r="A1461" s="30"/>
      <c r="B1461" s="66"/>
      <c r="C1461" s="30"/>
      <c r="D1461" s="48"/>
      <c r="E1461" s="169"/>
      <c r="F1461" s="170"/>
      <c r="G1461" s="30"/>
      <c r="H1461" s="30"/>
    </row>
    <row r="1462" spans="1:8" x14ac:dyDescent="0.2">
      <c r="A1462" s="30"/>
      <c r="B1462" s="66"/>
      <c r="C1462" s="30"/>
      <c r="D1462" s="48"/>
      <c r="E1462" s="169"/>
      <c r="F1462" s="170"/>
      <c r="G1462" s="30"/>
      <c r="H1462" s="30"/>
    </row>
    <row r="1463" spans="1:8" x14ac:dyDescent="0.2">
      <c r="A1463" s="30"/>
      <c r="B1463" s="66"/>
      <c r="C1463" s="30"/>
      <c r="D1463" s="48"/>
      <c r="E1463" s="169"/>
      <c r="F1463" s="170"/>
      <c r="G1463" s="30"/>
      <c r="H1463" s="30"/>
    </row>
    <row r="1464" spans="1:8" x14ac:dyDescent="0.2">
      <c r="A1464" s="30"/>
      <c r="B1464" s="66"/>
      <c r="C1464" s="30"/>
      <c r="D1464" s="48"/>
      <c r="E1464" s="169"/>
      <c r="F1464" s="170"/>
      <c r="G1464" s="30"/>
      <c r="H1464" s="30"/>
    </row>
    <row r="1465" spans="1:8" x14ac:dyDescent="0.2">
      <c r="A1465" s="30"/>
      <c r="B1465" s="66"/>
      <c r="C1465" s="30"/>
      <c r="D1465" s="48"/>
      <c r="E1465" s="169"/>
      <c r="F1465" s="170"/>
      <c r="G1465" s="30"/>
      <c r="H1465" s="30"/>
    </row>
    <row r="1466" spans="1:8" x14ac:dyDescent="0.2">
      <c r="A1466" s="30"/>
      <c r="B1466" s="66"/>
      <c r="C1466" s="30"/>
      <c r="D1466" s="48"/>
      <c r="E1466" s="169"/>
      <c r="F1466" s="170"/>
      <c r="G1466" s="30"/>
      <c r="H1466" s="30"/>
    </row>
    <row r="1467" spans="1:8" x14ac:dyDescent="0.2">
      <c r="A1467" s="30"/>
      <c r="B1467" s="66"/>
      <c r="C1467" s="30"/>
      <c r="D1467" s="48"/>
      <c r="E1467" s="169"/>
      <c r="F1467" s="170"/>
      <c r="G1467" s="30"/>
      <c r="H1467" s="30"/>
    </row>
    <row r="1468" spans="1:8" x14ac:dyDescent="0.2">
      <c r="A1468" s="30"/>
      <c r="B1468" s="66"/>
      <c r="C1468" s="30"/>
      <c r="D1468" s="48"/>
      <c r="E1468" s="169"/>
      <c r="F1468" s="170"/>
      <c r="G1468" s="30"/>
      <c r="H1468" s="30"/>
    </row>
    <row r="1469" spans="1:8" x14ac:dyDescent="0.2">
      <c r="A1469" s="30"/>
      <c r="B1469" s="66"/>
      <c r="C1469" s="30"/>
      <c r="D1469" s="48"/>
      <c r="E1469" s="169"/>
      <c r="F1469" s="170"/>
      <c r="G1469" s="30"/>
      <c r="H1469" s="30"/>
    </row>
    <row r="1470" spans="1:8" x14ac:dyDescent="0.2">
      <c r="A1470" s="30"/>
      <c r="B1470" s="66"/>
      <c r="C1470" s="30"/>
      <c r="D1470" s="48"/>
      <c r="E1470" s="169"/>
      <c r="F1470" s="170"/>
      <c r="G1470" s="30"/>
      <c r="H1470" s="30"/>
    </row>
    <row r="1471" spans="1:8" x14ac:dyDescent="0.2">
      <c r="A1471" s="30"/>
      <c r="B1471" s="66"/>
      <c r="C1471" s="30"/>
      <c r="D1471" s="48"/>
      <c r="E1471" s="169"/>
      <c r="F1471" s="170"/>
      <c r="G1471" s="30"/>
      <c r="H1471" s="30"/>
    </row>
    <row r="1472" spans="1:8" x14ac:dyDescent="0.2">
      <c r="A1472" s="30"/>
      <c r="B1472" s="66"/>
      <c r="C1472" s="30"/>
      <c r="D1472" s="48"/>
      <c r="E1472" s="169"/>
      <c r="F1472" s="170"/>
      <c r="G1472" s="30"/>
      <c r="H1472" s="30"/>
    </row>
    <row r="1473" spans="1:8" x14ac:dyDescent="0.2">
      <c r="A1473" s="30"/>
      <c r="B1473" s="66"/>
      <c r="C1473" s="30"/>
      <c r="D1473" s="48"/>
      <c r="E1473" s="169"/>
      <c r="F1473" s="170"/>
      <c r="G1473" s="30"/>
      <c r="H1473" s="30"/>
    </row>
    <row r="1474" spans="1:8" x14ac:dyDescent="0.2">
      <c r="A1474" s="30"/>
      <c r="B1474" s="66"/>
      <c r="C1474" s="30"/>
      <c r="D1474" s="48"/>
      <c r="E1474" s="169"/>
      <c r="F1474" s="170"/>
      <c r="G1474" s="30"/>
      <c r="H1474" s="30"/>
    </row>
    <row r="1475" spans="1:8" x14ac:dyDescent="0.2">
      <c r="A1475" s="30"/>
      <c r="B1475" s="66"/>
      <c r="C1475" s="30"/>
      <c r="D1475" s="48"/>
      <c r="E1475" s="169"/>
      <c r="F1475" s="170"/>
      <c r="G1475" s="30"/>
      <c r="H1475" s="30"/>
    </row>
    <row r="1476" spans="1:8" x14ac:dyDescent="0.2">
      <c r="A1476" s="30"/>
      <c r="B1476" s="66"/>
      <c r="C1476" s="30"/>
      <c r="D1476" s="48"/>
      <c r="E1476" s="169"/>
      <c r="F1476" s="170"/>
      <c r="G1476" s="30"/>
      <c r="H1476" s="30"/>
    </row>
    <row r="1477" spans="1:8" x14ac:dyDescent="0.2">
      <c r="A1477" s="30"/>
      <c r="B1477" s="66"/>
      <c r="C1477" s="30"/>
      <c r="D1477" s="48"/>
      <c r="E1477" s="169"/>
      <c r="F1477" s="170"/>
      <c r="G1477" s="30"/>
      <c r="H1477" s="30"/>
    </row>
    <row r="1478" spans="1:8" x14ac:dyDescent="0.2">
      <c r="A1478" s="30"/>
      <c r="B1478" s="66"/>
      <c r="C1478" s="30"/>
      <c r="D1478" s="48"/>
      <c r="E1478" s="169"/>
      <c r="F1478" s="170"/>
      <c r="G1478" s="30"/>
      <c r="H1478" s="30"/>
    </row>
    <row r="1479" spans="1:8" x14ac:dyDescent="0.2">
      <c r="A1479" s="30"/>
      <c r="B1479" s="66"/>
      <c r="C1479" s="30"/>
      <c r="D1479" s="48"/>
      <c r="E1479" s="169"/>
      <c r="F1479" s="170"/>
      <c r="G1479" s="30"/>
      <c r="H1479" s="30"/>
    </row>
    <row r="1480" spans="1:8" x14ac:dyDescent="0.2">
      <c r="A1480" s="30"/>
      <c r="B1480" s="66"/>
      <c r="C1480" s="30"/>
      <c r="D1480" s="48"/>
      <c r="E1480" s="169"/>
      <c r="F1480" s="170"/>
      <c r="G1480" s="30"/>
      <c r="H1480" s="30"/>
    </row>
    <row r="1481" spans="1:8" x14ac:dyDescent="0.2">
      <c r="A1481" s="30"/>
      <c r="B1481" s="66"/>
      <c r="C1481" s="30"/>
      <c r="D1481" s="48"/>
      <c r="E1481" s="169"/>
      <c r="F1481" s="170"/>
      <c r="G1481" s="30"/>
      <c r="H1481" s="30"/>
    </row>
    <row r="1482" spans="1:8" x14ac:dyDescent="0.2">
      <c r="A1482" s="30"/>
      <c r="B1482" s="66"/>
      <c r="C1482" s="30"/>
      <c r="D1482" s="48"/>
      <c r="E1482" s="169"/>
      <c r="F1482" s="170"/>
      <c r="G1482" s="30"/>
      <c r="H1482" s="30"/>
    </row>
    <row r="1483" spans="1:8" x14ac:dyDescent="0.2">
      <c r="A1483" s="30"/>
      <c r="B1483" s="66"/>
      <c r="C1483" s="30"/>
      <c r="D1483" s="48"/>
      <c r="E1483" s="169"/>
      <c r="F1483" s="170"/>
      <c r="G1483" s="30"/>
      <c r="H1483" s="30"/>
    </row>
    <row r="1484" spans="1:8" x14ac:dyDescent="0.2">
      <c r="A1484" s="30"/>
      <c r="B1484" s="66"/>
      <c r="C1484" s="30"/>
      <c r="D1484" s="48"/>
      <c r="E1484" s="169"/>
      <c r="F1484" s="170"/>
      <c r="G1484" s="30"/>
      <c r="H1484" s="30"/>
    </row>
    <row r="1485" spans="1:8" x14ac:dyDescent="0.2">
      <c r="A1485" s="30"/>
      <c r="B1485" s="66"/>
      <c r="C1485" s="30"/>
      <c r="D1485" s="48"/>
      <c r="E1485" s="169"/>
      <c r="F1485" s="170"/>
      <c r="G1485" s="30"/>
      <c r="H1485" s="30"/>
    </row>
    <row r="1486" spans="1:8" x14ac:dyDescent="0.2">
      <c r="A1486" s="30"/>
      <c r="B1486" s="66"/>
      <c r="C1486" s="30"/>
      <c r="D1486" s="48"/>
      <c r="E1486" s="169"/>
      <c r="F1486" s="170"/>
      <c r="G1486" s="30"/>
      <c r="H1486" s="30"/>
    </row>
    <row r="1487" spans="1:8" x14ac:dyDescent="0.2">
      <c r="A1487" s="30"/>
      <c r="B1487" s="66"/>
      <c r="C1487" s="30"/>
      <c r="D1487" s="48"/>
      <c r="E1487" s="169"/>
      <c r="F1487" s="170"/>
      <c r="G1487" s="30"/>
      <c r="H1487" s="30"/>
    </row>
    <row r="1488" spans="1:8" x14ac:dyDescent="0.2">
      <c r="A1488" s="30"/>
      <c r="B1488" s="66"/>
      <c r="C1488" s="30"/>
      <c r="D1488" s="48"/>
      <c r="E1488" s="169"/>
      <c r="F1488" s="170"/>
      <c r="G1488" s="30"/>
      <c r="H1488" s="30"/>
    </row>
    <row r="1489" spans="1:8" x14ac:dyDescent="0.2">
      <c r="A1489" s="30"/>
      <c r="B1489" s="66"/>
      <c r="C1489" s="30"/>
      <c r="D1489" s="48"/>
      <c r="E1489" s="169"/>
      <c r="F1489" s="170"/>
      <c r="G1489" s="30"/>
      <c r="H1489" s="30"/>
    </row>
    <row r="1490" spans="1:8" x14ac:dyDescent="0.2">
      <c r="A1490" s="30"/>
      <c r="B1490" s="66"/>
      <c r="C1490" s="30"/>
      <c r="D1490" s="48"/>
      <c r="E1490" s="169"/>
      <c r="F1490" s="170"/>
      <c r="G1490" s="30"/>
      <c r="H1490" s="30"/>
    </row>
    <row r="1491" spans="1:8" x14ac:dyDescent="0.2">
      <c r="A1491" s="30"/>
      <c r="B1491" s="66"/>
      <c r="C1491" s="30"/>
      <c r="D1491" s="48"/>
      <c r="E1491" s="169"/>
      <c r="F1491" s="170"/>
      <c r="G1491" s="30"/>
      <c r="H1491" s="30"/>
    </row>
    <row r="1492" spans="1:8" x14ac:dyDescent="0.2">
      <c r="A1492" s="30"/>
      <c r="B1492" s="66"/>
      <c r="C1492" s="30"/>
      <c r="D1492" s="48"/>
      <c r="E1492" s="169"/>
      <c r="F1492" s="170"/>
      <c r="G1492" s="30"/>
      <c r="H1492" s="30"/>
    </row>
    <row r="1493" spans="1:8" x14ac:dyDescent="0.2">
      <c r="A1493" s="30"/>
      <c r="B1493" s="66"/>
      <c r="C1493" s="30"/>
      <c r="D1493" s="48"/>
      <c r="E1493" s="169"/>
      <c r="F1493" s="170"/>
      <c r="G1493" s="30"/>
      <c r="H1493" s="30"/>
    </row>
    <row r="1494" spans="1:8" x14ac:dyDescent="0.2">
      <c r="A1494" s="30"/>
      <c r="B1494" s="66"/>
      <c r="C1494" s="30"/>
      <c r="D1494" s="48"/>
      <c r="E1494" s="169"/>
      <c r="F1494" s="170"/>
      <c r="G1494" s="30"/>
      <c r="H1494" s="30"/>
    </row>
    <row r="1495" spans="1:8" x14ac:dyDescent="0.2">
      <c r="A1495" s="30"/>
      <c r="B1495" s="66"/>
      <c r="C1495" s="30"/>
      <c r="D1495" s="48"/>
      <c r="E1495" s="169"/>
      <c r="F1495" s="170"/>
      <c r="G1495" s="30"/>
      <c r="H1495" s="30"/>
    </row>
    <row r="1496" spans="1:8" x14ac:dyDescent="0.2">
      <c r="A1496" s="30"/>
      <c r="B1496" s="66"/>
      <c r="C1496" s="30"/>
      <c r="D1496" s="48"/>
      <c r="E1496" s="169"/>
      <c r="F1496" s="170"/>
      <c r="G1496" s="30"/>
      <c r="H1496" s="30"/>
    </row>
    <row r="1497" spans="1:8" x14ac:dyDescent="0.2">
      <c r="A1497" s="30"/>
      <c r="B1497" s="66"/>
      <c r="C1497" s="30"/>
      <c r="D1497" s="48"/>
      <c r="E1497" s="169"/>
      <c r="F1497" s="170"/>
      <c r="G1497" s="30"/>
      <c r="H1497" s="30"/>
    </row>
    <row r="1498" spans="1:8" x14ac:dyDescent="0.2">
      <c r="A1498" s="30"/>
      <c r="B1498" s="66"/>
      <c r="C1498" s="30"/>
      <c r="D1498" s="48"/>
      <c r="E1498" s="169"/>
      <c r="F1498" s="170"/>
      <c r="G1498" s="30"/>
      <c r="H1498" s="30"/>
    </row>
    <row r="1499" spans="1:8" x14ac:dyDescent="0.2">
      <c r="A1499" s="30"/>
      <c r="B1499" s="66"/>
      <c r="C1499" s="30"/>
      <c r="D1499" s="48"/>
      <c r="E1499" s="169"/>
      <c r="F1499" s="170"/>
      <c r="G1499" s="30"/>
      <c r="H1499" s="30"/>
    </row>
    <row r="1500" spans="1:8" x14ac:dyDescent="0.2">
      <c r="A1500" s="30"/>
      <c r="B1500" s="66"/>
      <c r="C1500" s="30"/>
      <c r="D1500" s="48"/>
      <c r="E1500" s="169"/>
      <c r="F1500" s="170"/>
      <c r="G1500" s="30"/>
      <c r="H1500" s="30"/>
    </row>
    <row r="1501" spans="1:8" x14ac:dyDescent="0.2">
      <c r="A1501" s="30"/>
      <c r="B1501" s="66"/>
      <c r="C1501" s="30"/>
      <c r="D1501" s="48"/>
      <c r="E1501" s="169"/>
      <c r="F1501" s="170"/>
      <c r="G1501" s="30"/>
      <c r="H1501" s="30"/>
    </row>
    <row r="1502" spans="1:8" x14ac:dyDescent="0.2">
      <c r="A1502" s="30"/>
      <c r="B1502" s="66"/>
      <c r="C1502" s="30"/>
      <c r="D1502" s="48"/>
      <c r="E1502" s="169"/>
      <c r="F1502" s="170"/>
      <c r="G1502" s="30"/>
      <c r="H1502" s="30"/>
    </row>
    <row r="1503" spans="1:8" x14ac:dyDescent="0.2">
      <c r="A1503" s="30"/>
      <c r="B1503" s="66"/>
      <c r="C1503" s="30"/>
      <c r="D1503" s="48"/>
      <c r="E1503" s="169"/>
      <c r="F1503" s="170"/>
      <c r="G1503" s="30"/>
      <c r="H1503" s="30"/>
    </row>
    <row r="1504" spans="1:8" x14ac:dyDescent="0.2">
      <c r="A1504" s="30"/>
      <c r="B1504" s="66"/>
      <c r="C1504" s="30"/>
      <c r="D1504" s="48"/>
      <c r="E1504" s="169"/>
      <c r="F1504" s="170"/>
      <c r="G1504" s="30"/>
      <c r="H1504" s="30"/>
    </row>
    <row r="1505" spans="1:8" x14ac:dyDescent="0.2">
      <c r="A1505" s="30"/>
      <c r="B1505" s="66"/>
      <c r="C1505" s="30"/>
      <c r="D1505" s="48"/>
      <c r="E1505" s="169"/>
      <c r="F1505" s="170"/>
      <c r="G1505" s="30"/>
      <c r="H1505" s="30"/>
    </row>
    <row r="1506" spans="1:8" x14ac:dyDescent="0.2">
      <c r="A1506" s="30"/>
      <c r="B1506" s="66"/>
      <c r="C1506" s="30"/>
      <c r="D1506" s="48"/>
      <c r="E1506" s="169"/>
      <c r="F1506" s="170"/>
      <c r="G1506" s="30"/>
      <c r="H1506" s="30"/>
    </row>
    <row r="1507" spans="1:8" x14ac:dyDescent="0.2">
      <c r="A1507" s="30"/>
      <c r="B1507" s="66"/>
      <c r="C1507" s="30"/>
      <c r="D1507" s="48"/>
      <c r="E1507" s="169"/>
      <c r="F1507" s="170"/>
      <c r="G1507" s="30"/>
      <c r="H1507" s="30"/>
    </row>
    <row r="1508" spans="1:8" x14ac:dyDescent="0.2">
      <c r="A1508" s="30"/>
      <c r="B1508" s="66"/>
      <c r="C1508" s="30"/>
      <c r="D1508" s="48"/>
      <c r="E1508" s="169"/>
      <c r="F1508" s="170"/>
      <c r="G1508" s="30"/>
      <c r="H1508" s="30"/>
    </row>
    <row r="1509" spans="1:8" x14ac:dyDescent="0.2">
      <c r="A1509" s="30"/>
      <c r="B1509" s="66"/>
      <c r="C1509" s="30"/>
      <c r="D1509" s="48"/>
      <c r="E1509" s="169"/>
      <c r="F1509" s="170"/>
      <c r="G1509" s="30"/>
      <c r="H1509" s="30"/>
    </row>
    <row r="1510" spans="1:8" x14ac:dyDescent="0.2">
      <c r="A1510" s="30"/>
      <c r="B1510" s="66"/>
      <c r="C1510" s="30"/>
      <c r="D1510" s="48"/>
      <c r="E1510" s="169"/>
      <c r="F1510" s="170"/>
      <c r="G1510" s="30"/>
      <c r="H1510" s="30"/>
    </row>
    <row r="1511" spans="1:8" x14ac:dyDescent="0.2">
      <c r="A1511" s="30"/>
      <c r="B1511" s="66"/>
      <c r="C1511" s="30"/>
      <c r="D1511" s="48"/>
      <c r="E1511" s="169"/>
      <c r="F1511" s="170"/>
      <c r="G1511" s="30"/>
      <c r="H1511" s="30"/>
    </row>
    <row r="1512" spans="1:8" x14ac:dyDescent="0.2">
      <c r="A1512" s="30"/>
      <c r="B1512" s="66"/>
      <c r="C1512" s="30"/>
      <c r="D1512" s="48"/>
      <c r="E1512" s="169"/>
      <c r="F1512" s="170"/>
      <c r="G1512" s="30"/>
      <c r="H1512" s="30"/>
    </row>
    <row r="1513" spans="1:8" x14ac:dyDescent="0.2">
      <c r="A1513" s="30"/>
      <c r="B1513" s="66"/>
      <c r="C1513" s="30"/>
      <c r="D1513" s="48"/>
      <c r="E1513" s="169"/>
      <c r="F1513" s="170"/>
      <c r="G1513" s="30"/>
      <c r="H1513" s="30"/>
    </row>
    <row r="1514" spans="1:8" x14ac:dyDescent="0.2">
      <c r="A1514" s="30"/>
      <c r="B1514" s="66"/>
      <c r="C1514" s="30"/>
      <c r="D1514" s="48"/>
      <c r="E1514" s="169"/>
      <c r="F1514" s="170"/>
      <c r="G1514" s="30"/>
      <c r="H1514" s="30"/>
    </row>
    <row r="1515" spans="1:8" x14ac:dyDescent="0.2">
      <c r="A1515" s="30"/>
      <c r="B1515" s="66"/>
      <c r="C1515" s="30"/>
      <c r="D1515" s="48"/>
      <c r="E1515" s="169"/>
      <c r="F1515" s="170"/>
      <c r="G1515" s="30"/>
      <c r="H1515" s="30"/>
    </row>
    <row r="1516" spans="1:8" x14ac:dyDescent="0.2">
      <c r="A1516" s="30"/>
      <c r="B1516" s="66"/>
      <c r="C1516" s="30"/>
      <c r="D1516" s="48"/>
      <c r="E1516" s="169"/>
      <c r="F1516" s="170"/>
      <c r="G1516" s="30"/>
      <c r="H1516" s="30"/>
    </row>
    <row r="1517" spans="1:8" x14ac:dyDescent="0.2">
      <c r="A1517" s="30"/>
      <c r="B1517" s="66"/>
      <c r="C1517" s="30"/>
      <c r="D1517" s="48"/>
      <c r="E1517" s="169"/>
      <c r="F1517" s="170"/>
      <c r="G1517" s="30"/>
      <c r="H1517" s="30"/>
    </row>
    <row r="1518" spans="1:8" x14ac:dyDescent="0.2">
      <c r="A1518" s="30"/>
      <c r="B1518" s="66"/>
      <c r="C1518" s="30"/>
      <c r="D1518" s="48"/>
      <c r="E1518" s="169"/>
      <c r="F1518" s="170"/>
      <c r="G1518" s="30"/>
      <c r="H1518" s="30"/>
    </row>
    <row r="1519" spans="1:8" x14ac:dyDescent="0.2">
      <c r="A1519" s="30"/>
      <c r="B1519" s="66"/>
      <c r="C1519" s="30"/>
      <c r="D1519" s="48"/>
      <c r="E1519" s="169"/>
      <c r="F1519" s="170"/>
      <c r="G1519" s="30"/>
      <c r="H1519" s="30"/>
    </row>
    <row r="1520" spans="1:8" x14ac:dyDescent="0.2">
      <c r="A1520" s="30"/>
      <c r="B1520" s="66"/>
      <c r="C1520" s="30"/>
      <c r="D1520" s="48"/>
      <c r="E1520" s="169"/>
      <c r="F1520" s="170"/>
      <c r="G1520" s="30"/>
      <c r="H1520" s="30"/>
    </row>
    <row r="1521" spans="1:8" x14ac:dyDescent="0.2">
      <c r="A1521" s="30"/>
      <c r="B1521" s="66"/>
      <c r="C1521" s="30"/>
      <c r="D1521" s="48"/>
      <c r="E1521" s="169"/>
      <c r="F1521" s="170"/>
      <c r="G1521" s="30"/>
      <c r="H1521" s="30"/>
    </row>
    <row r="1522" spans="1:8" x14ac:dyDescent="0.2">
      <c r="A1522" s="30"/>
      <c r="B1522" s="66"/>
      <c r="C1522" s="30"/>
      <c r="D1522" s="48"/>
      <c r="E1522" s="169"/>
      <c r="F1522" s="170"/>
      <c r="G1522" s="30"/>
      <c r="H1522" s="30"/>
    </row>
    <row r="1523" spans="1:8" x14ac:dyDescent="0.2">
      <c r="A1523" s="30"/>
      <c r="B1523" s="66"/>
      <c r="C1523" s="30"/>
      <c r="D1523" s="48"/>
      <c r="E1523" s="169"/>
      <c r="F1523" s="170"/>
      <c r="G1523" s="30"/>
      <c r="H1523" s="30"/>
    </row>
    <row r="1524" spans="1:8" x14ac:dyDescent="0.2">
      <c r="A1524" s="30"/>
      <c r="B1524" s="66"/>
      <c r="C1524" s="30"/>
      <c r="D1524" s="48"/>
      <c r="E1524" s="169"/>
      <c r="F1524" s="170"/>
      <c r="G1524" s="30"/>
      <c r="H1524" s="30"/>
    </row>
    <row r="1525" spans="1:8" x14ac:dyDescent="0.2">
      <c r="A1525" s="30"/>
      <c r="B1525" s="66"/>
      <c r="C1525" s="30"/>
      <c r="D1525" s="48"/>
      <c r="E1525" s="169"/>
      <c r="F1525" s="170"/>
      <c r="G1525" s="30"/>
      <c r="H1525" s="30"/>
    </row>
    <row r="1526" spans="1:8" x14ac:dyDescent="0.2">
      <c r="A1526" s="30"/>
      <c r="B1526" s="66"/>
      <c r="C1526" s="30"/>
      <c r="D1526" s="48"/>
      <c r="E1526" s="169"/>
      <c r="F1526" s="170"/>
      <c r="G1526" s="30"/>
      <c r="H1526" s="30"/>
    </row>
    <row r="1527" spans="1:8" x14ac:dyDescent="0.2">
      <c r="A1527" s="30"/>
      <c r="B1527" s="66"/>
      <c r="C1527" s="30"/>
      <c r="D1527" s="48"/>
      <c r="E1527" s="169"/>
      <c r="F1527" s="170"/>
      <c r="G1527" s="30"/>
      <c r="H1527" s="30"/>
    </row>
    <row r="1528" spans="1:8" x14ac:dyDescent="0.2">
      <c r="A1528" s="30"/>
      <c r="B1528" s="66"/>
      <c r="C1528" s="30"/>
      <c r="D1528" s="48"/>
      <c r="E1528" s="169"/>
      <c r="F1528" s="170"/>
      <c r="G1528" s="30"/>
      <c r="H1528" s="30"/>
    </row>
    <row r="1529" spans="1:8" x14ac:dyDescent="0.2">
      <c r="A1529" s="30"/>
      <c r="B1529" s="66"/>
      <c r="C1529" s="30"/>
      <c r="D1529" s="48"/>
      <c r="E1529" s="169"/>
      <c r="F1529" s="170"/>
      <c r="G1529" s="30"/>
      <c r="H1529" s="30"/>
    </row>
    <row r="1530" spans="1:8" x14ac:dyDescent="0.2">
      <c r="A1530" s="30"/>
      <c r="B1530" s="66"/>
      <c r="C1530" s="30"/>
      <c r="D1530" s="48"/>
      <c r="E1530" s="169"/>
      <c r="F1530" s="170"/>
      <c r="G1530" s="30"/>
      <c r="H1530" s="30"/>
    </row>
    <row r="1531" spans="1:8" x14ac:dyDescent="0.2">
      <c r="A1531" s="30"/>
      <c r="B1531" s="66"/>
      <c r="C1531" s="30"/>
      <c r="D1531" s="48"/>
      <c r="E1531" s="169"/>
      <c r="F1531" s="170"/>
      <c r="G1531" s="30"/>
      <c r="H1531" s="30"/>
    </row>
    <row r="1532" spans="1:8" x14ac:dyDescent="0.2">
      <c r="A1532" s="30"/>
      <c r="B1532" s="66"/>
      <c r="C1532" s="30"/>
      <c r="D1532" s="48"/>
      <c r="E1532" s="169"/>
      <c r="F1532" s="170"/>
      <c r="G1532" s="30"/>
      <c r="H1532" s="30"/>
    </row>
    <row r="1533" spans="1:8" x14ac:dyDescent="0.2">
      <c r="A1533" s="30"/>
      <c r="B1533" s="66"/>
      <c r="C1533" s="30"/>
      <c r="D1533" s="48"/>
      <c r="E1533" s="169"/>
      <c r="F1533" s="170"/>
      <c r="G1533" s="30"/>
      <c r="H1533" s="30"/>
    </row>
    <row r="1534" spans="1:8" x14ac:dyDescent="0.2">
      <c r="A1534" s="30"/>
      <c r="B1534" s="66"/>
      <c r="C1534" s="30"/>
      <c r="D1534" s="48"/>
      <c r="E1534" s="169"/>
      <c r="F1534" s="170"/>
      <c r="G1534" s="30"/>
      <c r="H1534" s="30"/>
    </row>
    <row r="1535" spans="1:8" x14ac:dyDescent="0.2">
      <c r="A1535" s="30"/>
      <c r="B1535" s="66"/>
      <c r="C1535" s="30"/>
      <c r="D1535" s="48"/>
      <c r="E1535" s="169"/>
      <c r="F1535" s="170"/>
      <c r="G1535" s="30"/>
      <c r="H1535" s="30"/>
    </row>
    <row r="1536" spans="1:8" x14ac:dyDescent="0.2">
      <c r="A1536" s="30"/>
      <c r="B1536" s="66"/>
      <c r="C1536" s="30"/>
      <c r="D1536" s="48"/>
      <c r="E1536" s="169"/>
      <c r="F1536" s="170"/>
      <c r="G1536" s="30"/>
      <c r="H1536" s="30"/>
    </row>
    <row r="1537" spans="1:8" x14ac:dyDescent="0.2">
      <c r="A1537" s="30"/>
      <c r="B1537" s="66"/>
      <c r="C1537" s="30"/>
      <c r="D1537" s="48"/>
      <c r="E1537" s="169"/>
      <c r="F1537" s="170"/>
      <c r="G1537" s="30"/>
      <c r="H1537" s="30"/>
    </row>
    <row r="1538" spans="1:8" x14ac:dyDescent="0.2">
      <c r="A1538" s="30"/>
      <c r="B1538" s="66"/>
      <c r="C1538" s="30"/>
      <c r="D1538" s="48"/>
      <c r="E1538" s="169"/>
      <c r="F1538" s="170"/>
      <c r="G1538" s="30"/>
      <c r="H1538" s="30"/>
    </row>
    <row r="1539" spans="1:8" x14ac:dyDescent="0.2">
      <c r="A1539" s="30"/>
      <c r="B1539" s="66"/>
      <c r="C1539" s="30"/>
      <c r="D1539" s="48"/>
      <c r="E1539" s="169"/>
      <c r="F1539" s="170"/>
      <c r="G1539" s="30"/>
      <c r="H1539" s="30"/>
    </row>
    <row r="1540" spans="1:8" x14ac:dyDescent="0.2">
      <c r="A1540" s="30"/>
      <c r="B1540" s="66"/>
      <c r="C1540" s="30"/>
      <c r="D1540" s="48"/>
      <c r="E1540" s="169"/>
      <c r="F1540" s="170"/>
      <c r="G1540" s="30"/>
      <c r="H1540" s="30"/>
    </row>
    <row r="1541" spans="1:8" x14ac:dyDescent="0.2">
      <c r="A1541" s="30"/>
      <c r="B1541" s="66"/>
      <c r="C1541" s="30"/>
      <c r="D1541" s="48"/>
      <c r="E1541" s="169"/>
      <c r="F1541" s="170"/>
      <c r="G1541" s="30"/>
      <c r="H1541" s="30"/>
    </row>
    <row r="1542" spans="1:8" x14ac:dyDescent="0.2">
      <c r="A1542" s="30"/>
      <c r="B1542" s="66"/>
      <c r="C1542" s="30"/>
      <c r="D1542" s="48"/>
      <c r="E1542" s="169"/>
      <c r="F1542" s="170"/>
      <c r="G1542" s="30"/>
      <c r="H1542" s="30"/>
    </row>
    <row r="1543" spans="1:8" x14ac:dyDescent="0.2">
      <c r="A1543" s="30"/>
      <c r="B1543" s="66"/>
      <c r="C1543" s="30"/>
      <c r="D1543" s="48"/>
      <c r="E1543" s="169"/>
      <c r="F1543" s="170"/>
      <c r="G1543" s="30"/>
      <c r="H1543" s="30"/>
    </row>
    <row r="1544" spans="1:8" x14ac:dyDescent="0.2">
      <c r="A1544" s="30"/>
      <c r="B1544" s="66"/>
      <c r="C1544" s="30"/>
      <c r="D1544" s="48"/>
      <c r="E1544" s="169"/>
      <c r="F1544" s="170"/>
      <c r="G1544" s="30"/>
      <c r="H1544" s="30"/>
    </row>
    <row r="1545" spans="1:8" x14ac:dyDescent="0.2">
      <c r="A1545" s="30"/>
      <c r="B1545" s="66"/>
      <c r="C1545" s="30"/>
      <c r="D1545" s="48"/>
      <c r="E1545" s="169"/>
      <c r="F1545" s="170"/>
      <c r="G1545" s="30"/>
      <c r="H1545" s="30"/>
    </row>
    <row r="1546" spans="1:8" x14ac:dyDescent="0.2">
      <c r="A1546" s="30"/>
      <c r="B1546" s="66"/>
      <c r="C1546" s="30"/>
      <c r="D1546" s="48"/>
      <c r="E1546" s="169"/>
      <c r="F1546" s="170"/>
      <c r="G1546" s="30"/>
      <c r="H1546" s="30"/>
    </row>
    <row r="1547" spans="1:8" x14ac:dyDescent="0.2">
      <c r="A1547" s="30"/>
      <c r="B1547" s="66"/>
      <c r="C1547" s="30"/>
      <c r="D1547" s="48"/>
      <c r="E1547" s="169"/>
      <c r="F1547" s="170"/>
      <c r="G1547" s="30"/>
      <c r="H1547" s="30"/>
    </row>
    <row r="1548" spans="1:8" x14ac:dyDescent="0.2">
      <c r="A1548" s="30"/>
      <c r="B1548" s="66"/>
      <c r="C1548" s="30"/>
      <c r="D1548" s="48"/>
      <c r="E1548" s="169"/>
      <c r="F1548" s="170"/>
      <c r="G1548" s="30"/>
      <c r="H1548" s="30"/>
    </row>
    <row r="1549" spans="1:8" x14ac:dyDescent="0.2">
      <c r="A1549" s="30"/>
      <c r="B1549" s="66"/>
      <c r="C1549" s="30"/>
      <c r="D1549" s="48"/>
      <c r="E1549" s="169"/>
      <c r="F1549" s="170"/>
      <c r="G1549" s="30"/>
      <c r="H1549" s="30"/>
    </row>
    <row r="1550" spans="1:8" x14ac:dyDescent="0.2">
      <c r="A1550" s="30"/>
      <c r="B1550" s="66"/>
      <c r="C1550" s="30"/>
      <c r="D1550" s="48"/>
      <c r="E1550" s="169"/>
      <c r="F1550" s="170"/>
      <c r="G1550" s="30"/>
      <c r="H1550" s="30"/>
    </row>
    <row r="1551" spans="1:8" x14ac:dyDescent="0.2">
      <c r="A1551" s="30"/>
      <c r="B1551" s="66"/>
      <c r="C1551" s="30"/>
      <c r="D1551" s="48"/>
      <c r="E1551" s="169"/>
      <c r="F1551" s="170"/>
      <c r="G1551" s="30"/>
      <c r="H1551" s="30"/>
    </row>
    <row r="1552" spans="1:8" x14ac:dyDescent="0.2">
      <c r="A1552" s="30"/>
      <c r="B1552" s="66"/>
      <c r="C1552" s="30"/>
      <c r="D1552" s="48"/>
      <c r="E1552" s="169"/>
      <c r="F1552" s="170"/>
      <c r="G1552" s="30"/>
      <c r="H1552" s="30"/>
    </row>
    <row r="1553" spans="1:8" x14ac:dyDescent="0.2">
      <c r="A1553" s="30"/>
      <c r="B1553" s="66"/>
      <c r="C1553" s="30"/>
      <c r="D1553" s="48"/>
      <c r="E1553" s="169"/>
      <c r="F1553" s="170"/>
      <c r="G1553" s="30"/>
      <c r="H1553" s="30"/>
    </row>
    <row r="1554" spans="1:8" x14ac:dyDescent="0.2">
      <c r="A1554" s="30"/>
      <c r="B1554" s="66"/>
      <c r="C1554" s="30"/>
      <c r="D1554" s="48"/>
      <c r="E1554" s="169"/>
      <c r="F1554" s="170"/>
      <c r="G1554" s="30"/>
      <c r="H1554" s="30"/>
    </row>
    <row r="1555" spans="1:8" x14ac:dyDescent="0.2">
      <c r="A1555" s="30"/>
      <c r="B1555" s="66"/>
      <c r="C1555" s="30"/>
      <c r="D1555" s="48"/>
      <c r="E1555" s="169"/>
      <c r="F1555" s="170"/>
      <c r="G1555" s="30"/>
      <c r="H1555" s="30"/>
    </row>
    <row r="1556" spans="1:8" x14ac:dyDescent="0.2">
      <c r="A1556" s="30"/>
      <c r="B1556" s="66"/>
      <c r="C1556" s="30"/>
      <c r="D1556" s="48"/>
      <c r="E1556" s="169"/>
      <c r="F1556" s="170"/>
      <c r="G1556" s="30"/>
      <c r="H1556" s="30"/>
    </row>
    <row r="1557" spans="1:8" x14ac:dyDescent="0.2">
      <c r="A1557" s="30"/>
      <c r="B1557" s="66"/>
      <c r="C1557" s="30"/>
      <c r="D1557" s="48"/>
      <c r="E1557" s="169"/>
      <c r="F1557" s="170"/>
      <c r="G1557" s="30"/>
      <c r="H1557" s="30"/>
    </row>
    <row r="1558" spans="1:8" x14ac:dyDescent="0.2">
      <c r="A1558" s="30"/>
      <c r="B1558" s="66"/>
      <c r="C1558" s="30"/>
      <c r="D1558" s="48"/>
      <c r="E1558" s="169"/>
      <c r="F1558" s="170"/>
      <c r="G1558" s="30"/>
      <c r="H1558" s="30"/>
    </row>
    <row r="1559" spans="1:8" x14ac:dyDescent="0.2">
      <c r="A1559" s="30"/>
      <c r="B1559" s="66"/>
      <c r="C1559" s="30"/>
      <c r="D1559" s="48"/>
      <c r="E1559" s="169"/>
      <c r="F1559" s="170"/>
      <c r="G1559" s="30"/>
      <c r="H1559" s="30"/>
    </row>
    <row r="1560" spans="1:8" x14ac:dyDescent="0.2">
      <c r="A1560" s="30"/>
      <c r="B1560" s="66"/>
      <c r="C1560" s="30"/>
      <c r="D1560" s="48"/>
      <c r="E1560" s="169"/>
      <c r="F1560" s="170"/>
      <c r="G1560" s="30"/>
      <c r="H1560" s="30"/>
    </row>
    <row r="1561" spans="1:8" x14ac:dyDescent="0.2">
      <c r="A1561" s="30"/>
      <c r="B1561" s="66"/>
      <c r="C1561" s="30"/>
      <c r="D1561" s="48"/>
      <c r="E1561" s="169"/>
      <c r="F1561" s="170"/>
      <c r="G1561" s="30"/>
      <c r="H1561" s="30"/>
    </row>
    <row r="1562" spans="1:8" x14ac:dyDescent="0.2">
      <c r="A1562" s="30"/>
      <c r="B1562" s="66"/>
      <c r="C1562" s="30"/>
      <c r="D1562" s="48"/>
      <c r="E1562" s="169"/>
      <c r="F1562" s="170"/>
      <c r="G1562" s="30"/>
      <c r="H1562" s="30"/>
    </row>
    <row r="1563" spans="1:8" x14ac:dyDescent="0.2">
      <c r="A1563" s="30"/>
      <c r="B1563" s="66"/>
      <c r="C1563" s="30"/>
      <c r="D1563" s="48"/>
      <c r="E1563" s="169"/>
      <c r="F1563" s="170"/>
      <c r="G1563" s="30"/>
      <c r="H1563" s="30"/>
    </row>
    <row r="1564" spans="1:8" x14ac:dyDescent="0.2">
      <c r="A1564" s="30"/>
      <c r="B1564" s="66"/>
      <c r="C1564" s="30"/>
      <c r="D1564" s="48"/>
      <c r="E1564" s="169"/>
      <c r="F1564" s="170"/>
      <c r="G1564" s="30"/>
      <c r="H1564" s="30"/>
    </row>
    <row r="1565" spans="1:8" x14ac:dyDescent="0.2">
      <c r="A1565" s="30"/>
      <c r="B1565" s="66"/>
      <c r="C1565" s="30"/>
      <c r="D1565" s="48"/>
      <c r="E1565" s="169"/>
      <c r="F1565" s="170"/>
      <c r="G1565" s="30"/>
      <c r="H1565" s="30"/>
    </row>
    <row r="1566" spans="1:8" x14ac:dyDescent="0.2">
      <c r="A1566" s="30"/>
      <c r="B1566" s="66"/>
      <c r="C1566" s="30"/>
      <c r="D1566" s="48"/>
      <c r="E1566" s="169"/>
      <c r="F1566" s="170"/>
      <c r="G1566" s="30"/>
      <c r="H1566" s="30"/>
    </row>
    <row r="1567" spans="1:8" x14ac:dyDescent="0.2">
      <c r="A1567" s="30"/>
      <c r="B1567" s="66"/>
      <c r="C1567" s="30"/>
      <c r="D1567" s="48"/>
      <c r="E1567" s="169"/>
      <c r="F1567" s="170"/>
      <c r="G1567" s="30"/>
      <c r="H1567" s="30"/>
    </row>
    <row r="1568" spans="1:8" x14ac:dyDescent="0.2">
      <c r="A1568" s="30"/>
      <c r="B1568" s="66"/>
      <c r="C1568" s="30"/>
      <c r="D1568" s="48"/>
      <c r="E1568" s="169"/>
      <c r="F1568" s="170"/>
      <c r="G1568" s="30"/>
      <c r="H1568" s="30"/>
    </row>
    <row r="1569" spans="1:8" x14ac:dyDescent="0.2">
      <c r="A1569" s="30"/>
      <c r="B1569" s="66"/>
      <c r="C1569" s="30"/>
      <c r="D1569" s="48"/>
      <c r="E1569" s="169"/>
      <c r="F1569" s="170"/>
      <c r="G1569" s="30"/>
      <c r="H1569" s="30"/>
    </row>
    <row r="1570" spans="1:8" x14ac:dyDescent="0.2">
      <c r="A1570" s="30"/>
      <c r="B1570" s="66"/>
      <c r="C1570" s="30"/>
      <c r="D1570" s="48"/>
      <c r="E1570" s="169"/>
      <c r="F1570" s="170"/>
      <c r="G1570" s="30"/>
      <c r="H1570" s="30"/>
    </row>
    <row r="1571" spans="1:8" x14ac:dyDescent="0.2">
      <c r="A1571" s="30"/>
      <c r="B1571" s="66"/>
      <c r="C1571" s="30"/>
      <c r="D1571" s="48"/>
      <c r="E1571" s="169"/>
      <c r="F1571" s="170"/>
      <c r="G1571" s="30"/>
      <c r="H1571" s="30"/>
    </row>
    <row r="1572" spans="1:8" x14ac:dyDescent="0.2">
      <c r="A1572" s="30"/>
      <c r="B1572" s="66"/>
      <c r="C1572" s="30"/>
      <c r="D1572" s="48"/>
      <c r="E1572" s="169"/>
      <c r="F1572" s="170"/>
      <c r="G1572" s="30"/>
      <c r="H1572" s="30"/>
    </row>
    <row r="1573" spans="1:8" x14ac:dyDescent="0.2">
      <c r="A1573" s="30"/>
      <c r="B1573" s="66"/>
      <c r="C1573" s="30"/>
      <c r="D1573" s="48"/>
      <c r="E1573" s="169"/>
      <c r="F1573" s="170"/>
      <c r="G1573" s="30"/>
      <c r="H1573" s="30"/>
    </row>
    <row r="1574" spans="1:8" x14ac:dyDescent="0.2">
      <c r="A1574" s="30"/>
      <c r="B1574" s="66"/>
      <c r="C1574" s="30"/>
      <c r="D1574" s="48"/>
      <c r="E1574" s="169"/>
      <c r="F1574" s="170"/>
      <c r="G1574" s="30"/>
      <c r="H1574" s="30"/>
    </row>
    <row r="1575" spans="1:8" x14ac:dyDescent="0.2">
      <c r="A1575" s="30"/>
      <c r="B1575" s="66"/>
      <c r="C1575" s="30"/>
      <c r="D1575" s="48"/>
      <c r="E1575" s="169"/>
      <c r="F1575" s="170"/>
      <c r="G1575" s="30"/>
      <c r="H1575" s="30"/>
    </row>
    <row r="1576" spans="1:8" x14ac:dyDescent="0.2">
      <c r="A1576" s="30"/>
      <c r="B1576" s="66"/>
      <c r="C1576" s="30"/>
      <c r="D1576" s="48"/>
      <c r="E1576" s="169"/>
      <c r="F1576" s="170"/>
      <c r="G1576" s="30"/>
      <c r="H1576" s="30"/>
    </row>
    <row r="1577" spans="1:8" x14ac:dyDescent="0.2">
      <c r="A1577" s="30"/>
      <c r="B1577" s="66"/>
      <c r="C1577" s="30"/>
      <c r="D1577" s="48"/>
      <c r="E1577" s="169"/>
      <c r="F1577" s="170"/>
      <c r="G1577" s="30"/>
      <c r="H1577" s="30"/>
    </row>
    <row r="1578" spans="1:8" x14ac:dyDescent="0.2">
      <c r="A1578" s="30"/>
      <c r="B1578" s="66"/>
      <c r="C1578" s="30"/>
      <c r="D1578" s="48"/>
      <c r="E1578" s="169"/>
      <c r="F1578" s="170"/>
      <c r="G1578" s="30"/>
      <c r="H1578" s="30"/>
    </row>
    <row r="1579" spans="1:8" x14ac:dyDescent="0.2">
      <c r="A1579" s="30"/>
      <c r="B1579" s="66"/>
      <c r="C1579" s="30"/>
      <c r="D1579" s="48"/>
      <c r="E1579" s="169"/>
      <c r="F1579" s="170"/>
      <c r="G1579" s="30"/>
      <c r="H1579" s="30"/>
    </row>
    <row r="1580" spans="1:8" x14ac:dyDescent="0.2">
      <c r="A1580" s="30"/>
      <c r="B1580" s="66"/>
      <c r="C1580" s="30"/>
      <c r="D1580" s="48"/>
      <c r="E1580" s="169"/>
      <c r="F1580" s="170"/>
      <c r="G1580" s="30"/>
      <c r="H1580" s="30"/>
    </row>
    <row r="1581" spans="1:8" x14ac:dyDescent="0.2">
      <c r="A1581" s="30"/>
      <c r="B1581" s="66"/>
      <c r="C1581" s="30"/>
      <c r="D1581" s="48"/>
      <c r="E1581" s="169"/>
      <c r="F1581" s="170"/>
      <c r="G1581" s="30"/>
      <c r="H1581" s="30"/>
    </row>
    <row r="1582" spans="1:8" x14ac:dyDescent="0.2">
      <c r="A1582" s="30"/>
      <c r="B1582" s="66"/>
      <c r="C1582" s="30"/>
      <c r="D1582" s="48"/>
      <c r="E1582" s="169"/>
      <c r="F1582" s="170"/>
      <c r="G1582" s="30"/>
      <c r="H1582" s="30"/>
    </row>
    <row r="1583" spans="1:8" x14ac:dyDescent="0.2">
      <c r="A1583" s="30"/>
      <c r="B1583" s="66"/>
      <c r="C1583" s="30"/>
      <c r="D1583" s="48"/>
      <c r="E1583" s="169"/>
      <c r="F1583" s="170"/>
      <c r="G1583" s="30"/>
      <c r="H1583" s="30"/>
    </row>
    <row r="1584" spans="1:8" x14ac:dyDescent="0.2">
      <c r="A1584" s="30"/>
      <c r="B1584" s="66"/>
      <c r="C1584" s="30"/>
      <c r="D1584" s="48"/>
      <c r="E1584" s="169"/>
      <c r="F1584" s="170"/>
      <c r="G1584" s="30"/>
      <c r="H1584" s="30"/>
    </row>
    <row r="1585" spans="1:8" x14ac:dyDescent="0.2">
      <c r="A1585" s="30"/>
      <c r="B1585" s="66"/>
      <c r="C1585" s="30"/>
      <c r="D1585" s="48"/>
      <c r="E1585" s="169"/>
      <c r="F1585" s="170"/>
      <c r="G1585" s="30"/>
      <c r="H1585" s="30"/>
    </row>
    <row r="1586" spans="1:8" x14ac:dyDescent="0.2">
      <c r="A1586" s="30"/>
      <c r="B1586" s="66"/>
      <c r="C1586" s="30"/>
      <c r="D1586" s="48"/>
      <c r="E1586" s="169"/>
      <c r="F1586" s="170"/>
      <c r="G1586" s="30"/>
      <c r="H1586" s="30"/>
    </row>
    <row r="1587" spans="1:8" x14ac:dyDescent="0.2">
      <c r="A1587" s="30"/>
      <c r="B1587" s="66"/>
      <c r="C1587" s="30"/>
      <c r="D1587" s="48"/>
      <c r="E1587" s="169"/>
      <c r="F1587" s="170"/>
      <c r="G1587" s="30"/>
      <c r="H1587" s="30"/>
    </row>
    <row r="1588" spans="1:8" x14ac:dyDescent="0.2">
      <c r="A1588" s="30"/>
      <c r="B1588" s="66"/>
      <c r="C1588" s="30"/>
      <c r="D1588" s="48"/>
      <c r="E1588" s="169"/>
      <c r="F1588" s="170"/>
      <c r="G1588" s="30"/>
      <c r="H1588" s="30"/>
    </row>
    <row r="1589" spans="1:8" x14ac:dyDescent="0.2">
      <c r="A1589" s="30"/>
      <c r="B1589" s="66"/>
      <c r="C1589" s="30"/>
      <c r="D1589" s="48"/>
      <c r="E1589" s="169"/>
      <c r="F1589" s="170"/>
      <c r="G1589" s="30"/>
      <c r="H1589" s="30"/>
    </row>
    <row r="1590" spans="1:8" x14ac:dyDescent="0.2">
      <c r="A1590" s="30"/>
      <c r="B1590" s="66"/>
      <c r="C1590" s="30"/>
      <c r="D1590" s="48"/>
      <c r="E1590" s="169"/>
      <c r="F1590" s="170"/>
      <c r="G1590" s="30"/>
      <c r="H1590" s="30"/>
    </row>
    <row r="1591" spans="1:8" x14ac:dyDescent="0.2">
      <c r="A1591" s="30"/>
      <c r="B1591" s="66"/>
      <c r="C1591" s="30"/>
      <c r="D1591" s="48"/>
      <c r="E1591" s="169"/>
      <c r="F1591" s="170"/>
      <c r="G1591" s="30"/>
      <c r="H1591" s="30"/>
    </row>
    <row r="1592" spans="1:8" x14ac:dyDescent="0.2">
      <c r="A1592" s="30"/>
      <c r="B1592" s="66"/>
      <c r="C1592" s="30"/>
      <c r="D1592" s="48"/>
      <c r="E1592" s="169"/>
      <c r="F1592" s="170"/>
      <c r="G1592" s="30"/>
      <c r="H1592" s="30"/>
    </row>
    <row r="1593" spans="1:8" x14ac:dyDescent="0.2">
      <c r="A1593" s="30"/>
      <c r="B1593" s="66"/>
      <c r="C1593" s="30"/>
      <c r="D1593" s="48"/>
      <c r="E1593" s="169"/>
      <c r="F1593" s="170"/>
      <c r="G1593" s="30"/>
      <c r="H1593" s="30"/>
    </row>
    <row r="1594" spans="1:8" x14ac:dyDescent="0.2">
      <c r="A1594" s="30"/>
      <c r="B1594" s="66"/>
      <c r="C1594" s="30"/>
      <c r="D1594" s="48"/>
      <c r="E1594" s="169"/>
      <c r="F1594" s="170"/>
      <c r="G1594" s="30"/>
      <c r="H1594" s="30"/>
    </row>
    <row r="1595" spans="1:8" x14ac:dyDescent="0.2">
      <c r="A1595" s="30"/>
      <c r="B1595" s="66"/>
      <c r="C1595" s="30"/>
      <c r="D1595" s="48"/>
      <c r="E1595" s="169"/>
      <c r="F1595" s="170"/>
      <c r="G1595" s="30"/>
      <c r="H1595" s="30"/>
    </row>
    <row r="1596" spans="1:8" x14ac:dyDescent="0.2">
      <c r="A1596" s="30"/>
      <c r="B1596" s="66"/>
      <c r="C1596" s="30"/>
      <c r="D1596" s="48"/>
      <c r="E1596" s="169"/>
      <c r="F1596" s="170"/>
      <c r="G1596" s="30"/>
      <c r="H1596" s="30"/>
    </row>
    <row r="1597" spans="1:8" x14ac:dyDescent="0.2">
      <c r="A1597" s="30"/>
      <c r="B1597" s="66"/>
      <c r="C1597" s="30"/>
      <c r="D1597" s="48"/>
      <c r="E1597" s="169"/>
      <c r="F1597" s="170"/>
      <c r="G1597" s="30"/>
      <c r="H1597" s="30"/>
    </row>
    <row r="1598" spans="1:8" x14ac:dyDescent="0.2">
      <c r="A1598" s="30"/>
      <c r="B1598" s="66"/>
      <c r="C1598" s="30"/>
      <c r="D1598" s="48"/>
      <c r="E1598" s="169"/>
      <c r="F1598" s="170"/>
      <c r="G1598" s="30"/>
      <c r="H1598" s="30"/>
    </row>
    <row r="1599" spans="1:8" x14ac:dyDescent="0.2">
      <c r="A1599" s="30"/>
      <c r="B1599" s="66"/>
      <c r="C1599" s="30"/>
      <c r="D1599" s="48"/>
      <c r="E1599" s="169"/>
      <c r="F1599" s="170"/>
      <c r="G1599" s="30"/>
      <c r="H1599" s="30"/>
    </row>
    <row r="1600" spans="1:8" x14ac:dyDescent="0.2">
      <c r="A1600" s="30"/>
      <c r="B1600" s="66"/>
      <c r="C1600" s="30"/>
      <c r="D1600" s="48"/>
      <c r="E1600" s="169"/>
      <c r="F1600" s="170"/>
      <c r="G1600" s="30"/>
      <c r="H1600" s="30"/>
    </row>
    <row r="1601" spans="1:8" x14ac:dyDescent="0.2">
      <c r="A1601" s="30"/>
      <c r="B1601" s="66"/>
      <c r="C1601" s="30"/>
      <c r="D1601" s="48"/>
      <c r="E1601" s="169"/>
      <c r="F1601" s="170"/>
      <c r="G1601" s="30"/>
      <c r="H1601" s="30"/>
    </row>
    <row r="1602" spans="1:8" x14ac:dyDescent="0.2">
      <c r="A1602" s="30"/>
      <c r="B1602" s="66"/>
      <c r="C1602" s="30"/>
      <c r="D1602" s="48"/>
      <c r="E1602" s="169"/>
      <c r="F1602" s="170"/>
      <c r="G1602" s="30"/>
      <c r="H1602" s="30"/>
    </row>
    <row r="1603" spans="1:8" x14ac:dyDescent="0.2">
      <c r="A1603" s="30"/>
      <c r="B1603" s="66"/>
      <c r="C1603" s="30"/>
      <c r="D1603" s="48"/>
      <c r="E1603" s="169"/>
      <c r="F1603" s="170"/>
      <c r="G1603" s="30"/>
      <c r="H1603" s="30"/>
    </row>
    <row r="1604" spans="1:8" x14ac:dyDescent="0.2">
      <c r="A1604" s="30"/>
      <c r="B1604" s="66"/>
      <c r="C1604" s="30"/>
      <c r="D1604" s="48"/>
      <c r="E1604" s="169"/>
      <c r="F1604" s="170"/>
      <c r="G1604" s="30"/>
      <c r="H1604" s="30"/>
    </row>
    <row r="1605" spans="1:8" x14ac:dyDescent="0.2">
      <c r="A1605" s="30"/>
      <c r="B1605" s="66"/>
      <c r="C1605" s="30"/>
      <c r="D1605" s="48"/>
      <c r="E1605" s="169"/>
      <c r="F1605" s="170"/>
      <c r="G1605" s="30"/>
      <c r="H1605" s="30"/>
    </row>
    <row r="1606" spans="1:8" x14ac:dyDescent="0.2">
      <c r="A1606" s="30"/>
      <c r="B1606" s="66"/>
      <c r="C1606" s="30"/>
      <c r="D1606" s="48"/>
      <c r="E1606" s="169"/>
      <c r="F1606" s="170"/>
      <c r="G1606" s="30"/>
      <c r="H1606" s="30"/>
    </row>
    <row r="1607" spans="1:8" x14ac:dyDescent="0.2">
      <c r="A1607" s="30"/>
      <c r="B1607" s="66"/>
      <c r="C1607" s="30"/>
      <c r="D1607" s="48"/>
      <c r="E1607" s="169"/>
      <c r="F1607" s="170"/>
      <c r="G1607" s="30"/>
      <c r="H1607" s="30"/>
    </row>
    <row r="1608" spans="1:8" x14ac:dyDescent="0.2">
      <c r="A1608" s="30"/>
      <c r="B1608" s="66"/>
      <c r="C1608" s="30"/>
      <c r="D1608" s="48"/>
      <c r="E1608" s="169"/>
      <c r="F1608" s="170"/>
      <c r="G1608" s="30"/>
      <c r="H1608" s="30"/>
    </row>
    <row r="1609" spans="1:8" x14ac:dyDescent="0.2">
      <c r="A1609" s="30"/>
      <c r="B1609" s="66"/>
      <c r="C1609" s="30"/>
      <c r="D1609" s="48"/>
      <c r="E1609" s="169"/>
      <c r="F1609" s="170"/>
      <c r="G1609" s="30"/>
      <c r="H1609" s="30"/>
    </row>
    <row r="1610" spans="1:8" x14ac:dyDescent="0.2">
      <c r="A1610" s="30"/>
      <c r="B1610" s="66"/>
      <c r="C1610" s="30"/>
      <c r="D1610" s="48"/>
      <c r="E1610" s="169"/>
      <c r="F1610" s="170"/>
      <c r="G1610" s="30"/>
      <c r="H1610" s="30"/>
    </row>
    <row r="1611" spans="1:8" x14ac:dyDescent="0.2">
      <c r="A1611" s="30"/>
      <c r="B1611" s="66"/>
      <c r="C1611" s="30"/>
      <c r="D1611" s="48"/>
      <c r="E1611" s="169"/>
      <c r="F1611" s="170"/>
      <c r="G1611" s="30"/>
      <c r="H1611" s="30"/>
    </row>
    <row r="1612" spans="1:8" x14ac:dyDescent="0.2">
      <c r="A1612" s="30"/>
      <c r="B1612" s="66"/>
      <c r="C1612" s="30"/>
      <c r="D1612" s="48"/>
      <c r="E1612" s="169"/>
      <c r="F1612" s="170"/>
      <c r="G1612" s="30"/>
      <c r="H1612" s="30"/>
    </row>
    <row r="1613" spans="1:8" x14ac:dyDescent="0.2">
      <c r="A1613" s="30"/>
      <c r="B1613" s="66"/>
      <c r="C1613" s="30"/>
      <c r="D1613" s="48"/>
      <c r="E1613" s="169"/>
      <c r="F1613" s="170"/>
      <c r="G1613" s="30"/>
      <c r="H1613" s="30"/>
    </row>
    <row r="1614" spans="1:8" x14ac:dyDescent="0.2">
      <c r="A1614" s="30"/>
      <c r="B1614" s="66"/>
      <c r="C1614" s="30"/>
      <c r="D1614" s="48"/>
      <c r="E1614" s="169"/>
      <c r="F1614" s="170"/>
      <c r="G1614" s="30"/>
      <c r="H1614" s="30"/>
    </row>
    <row r="1615" spans="1:8" x14ac:dyDescent="0.2">
      <c r="A1615" s="30"/>
      <c r="B1615" s="66"/>
      <c r="C1615" s="30"/>
      <c r="D1615" s="48"/>
      <c r="E1615" s="169"/>
      <c r="F1615" s="170"/>
      <c r="G1615" s="30"/>
      <c r="H1615" s="30"/>
    </row>
    <row r="1616" spans="1:8" x14ac:dyDescent="0.2">
      <c r="A1616" s="30"/>
      <c r="B1616" s="66"/>
      <c r="C1616" s="30"/>
      <c r="D1616" s="48"/>
      <c r="E1616" s="169"/>
      <c r="F1616" s="170"/>
      <c r="G1616" s="30"/>
      <c r="H1616" s="30"/>
    </row>
    <row r="1617" spans="1:8" x14ac:dyDescent="0.2">
      <c r="A1617" s="30"/>
      <c r="B1617" s="66"/>
      <c r="C1617" s="30"/>
      <c r="D1617" s="48"/>
      <c r="E1617" s="169"/>
      <c r="F1617" s="170"/>
      <c r="G1617" s="30"/>
      <c r="H1617" s="30"/>
    </row>
    <row r="1618" spans="1:8" x14ac:dyDescent="0.2">
      <c r="A1618" s="30"/>
      <c r="B1618" s="66"/>
      <c r="C1618" s="30"/>
      <c r="D1618" s="48"/>
      <c r="E1618" s="169"/>
      <c r="F1618" s="170"/>
      <c r="G1618" s="30"/>
      <c r="H1618" s="30"/>
    </row>
    <row r="1619" spans="1:8" x14ac:dyDescent="0.2">
      <c r="A1619" s="30"/>
      <c r="B1619" s="66"/>
      <c r="C1619" s="30"/>
      <c r="D1619" s="48"/>
      <c r="E1619" s="169"/>
      <c r="F1619" s="170"/>
      <c r="G1619" s="30"/>
      <c r="H1619" s="30"/>
    </row>
    <row r="1620" spans="1:8" x14ac:dyDescent="0.2">
      <c r="A1620" s="30"/>
      <c r="B1620" s="66"/>
      <c r="C1620" s="30"/>
      <c r="D1620" s="48"/>
      <c r="E1620" s="169"/>
      <c r="F1620" s="170"/>
      <c r="G1620" s="30"/>
      <c r="H1620" s="30"/>
    </row>
    <row r="1621" spans="1:8" x14ac:dyDescent="0.2">
      <c r="A1621" s="30"/>
      <c r="B1621" s="66"/>
      <c r="C1621" s="30"/>
      <c r="D1621" s="48"/>
      <c r="E1621" s="169"/>
      <c r="F1621" s="170"/>
      <c r="G1621" s="30"/>
      <c r="H1621" s="30"/>
    </row>
    <row r="1622" spans="1:8" x14ac:dyDescent="0.2">
      <c r="A1622" s="30"/>
      <c r="B1622" s="66"/>
      <c r="C1622" s="30"/>
      <c r="D1622" s="48"/>
      <c r="E1622" s="169"/>
      <c r="F1622" s="170"/>
      <c r="G1622" s="30"/>
      <c r="H1622" s="30"/>
    </row>
    <row r="1623" spans="1:8" x14ac:dyDescent="0.2">
      <c r="A1623" s="30"/>
      <c r="B1623" s="66"/>
      <c r="C1623" s="30"/>
      <c r="D1623" s="48"/>
      <c r="E1623" s="169"/>
      <c r="F1623" s="170"/>
      <c r="G1623" s="30"/>
      <c r="H1623" s="30"/>
    </row>
    <row r="1624" spans="1:8" x14ac:dyDescent="0.2">
      <c r="A1624" s="30"/>
      <c r="B1624" s="66"/>
      <c r="C1624" s="30"/>
      <c r="D1624" s="48"/>
      <c r="E1624" s="169"/>
      <c r="F1624" s="170"/>
      <c r="G1624" s="30"/>
      <c r="H1624" s="30"/>
    </row>
    <row r="1625" spans="1:8" x14ac:dyDescent="0.2">
      <c r="A1625" s="30"/>
      <c r="B1625" s="66"/>
      <c r="C1625" s="30"/>
      <c r="D1625" s="48"/>
      <c r="E1625" s="169"/>
      <c r="F1625" s="170"/>
      <c r="G1625" s="30"/>
      <c r="H1625" s="30"/>
    </row>
    <row r="1626" spans="1:8" x14ac:dyDescent="0.2">
      <c r="A1626" s="30"/>
      <c r="B1626" s="66"/>
      <c r="C1626" s="30"/>
      <c r="D1626" s="48"/>
      <c r="E1626" s="169"/>
      <c r="F1626" s="170"/>
      <c r="G1626" s="30"/>
      <c r="H1626" s="30"/>
    </row>
    <row r="1627" spans="1:8" x14ac:dyDescent="0.2">
      <c r="A1627" s="30"/>
      <c r="B1627" s="66"/>
      <c r="C1627" s="30"/>
      <c r="D1627" s="48"/>
      <c r="E1627" s="169"/>
      <c r="F1627" s="170"/>
      <c r="G1627" s="30"/>
      <c r="H1627" s="30"/>
    </row>
    <row r="1628" spans="1:8" x14ac:dyDescent="0.2">
      <c r="A1628" s="30"/>
      <c r="B1628" s="66"/>
      <c r="C1628" s="30"/>
      <c r="D1628" s="48"/>
      <c r="E1628" s="169"/>
      <c r="F1628" s="170"/>
      <c r="G1628" s="30"/>
      <c r="H1628" s="30"/>
    </row>
    <row r="1629" spans="1:8" x14ac:dyDescent="0.2">
      <c r="A1629" s="30"/>
      <c r="B1629" s="66"/>
      <c r="C1629" s="30"/>
      <c r="D1629" s="48"/>
      <c r="E1629" s="169"/>
      <c r="F1629" s="170"/>
      <c r="G1629" s="30"/>
      <c r="H1629" s="30"/>
    </row>
    <row r="1630" spans="1:8" x14ac:dyDescent="0.2">
      <c r="A1630" s="30"/>
      <c r="B1630" s="66"/>
      <c r="C1630" s="30"/>
      <c r="D1630" s="48"/>
      <c r="E1630" s="169"/>
      <c r="F1630" s="170"/>
      <c r="G1630" s="30"/>
      <c r="H1630" s="30"/>
    </row>
    <row r="1631" spans="1:8" x14ac:dyDescent="0.2">
      <c r="A1631" s="30"/>
      <c r="B1631" s="66"/>
      <c r="C1631" s="30"/>
      <c r="D1631" s="48"/>
      <c r="E1631" s="169"/>
      <c r="F1631" s="170"/>
      <c r="G1631" s="30"/>
      <c r="H1631" s="30"/>
    </row>
    <row r="1632" spans="1:8" x14ac:dyDescent="0.2">
      <c r="A1632" s="30"/>
      <c r="B1632" s="66"/>
      <c r="C1632" s="30"/>
      <c r="D1632" s="48"/>
      <c r="E1632" s="169"/>
      <c r="F1632" s="170"/>
      <c r="G1632" s="30"/>
      <c r="H1632" s="30"/>
    </row>
    <row r="1633" spans="1:8" x14ac:dyDescent="0.2">
      <c r="A1633" s="30"/>
      <c r="B1633" s="66"/>
      <c r="C1633" s="30"/>
      <c r="D1633" s="48"/>
      <c r="E1633" s="169"/>
      <c r="F1633" s="170"/>
      <c r="G1633" s="30"/>
      <c r="H1633" s="30"/>
    </row>
    <row r="1634" spans="1:8" x14ac:dyDescent="0.2">
      <c r="A1634" s="30"/>
      <c r="B1634" s="66"/>
      <c r="C1634" s="30"/>
      <c r="D1634" s="48"/>
      <c r="E1634" s="169"/>
      <c r="F1634" s="170"/>
      <c r="G1634" s="30"/>
      <c r="H1634" s="30"/>
    </row>
    <row r="1635" spans="1:8" x14ac:dyDescent="0.2">
      <c r="A1635" s="30"/>
      <c r="B1635" s="66"/>
      <c r="C1635" s="30"/>
      <c r="D1635" s="48"/>
      <c r="E1635" s="169"/>
      <c r="F1635" s="170"/>
      <c r="G1635" s="30"/>
      <c r="H1635" s="30"/>
    </row>
    <row r="1636" spans="1:8" x14ac:dyDescent="0.2">
      <c r="A1636" s="30"/>
      <c r="B1636" s="66"/>
      <c r="C1636" s="30"/>
      <c r="D1636" s="48"/>
      <c r="E1636" s="169"/>
      <c r="F1636" s="170"/>
      <c r="G1636" s="30"/>
      <c r="H1636" s="30"/>
    </row>
    <row r="1637" spans="1:8" x14ac:dyDescent="0.2">
      <c r="A1637" s="30"/>
      <c r="B1637" s="66"/>
      <c r="C1637" s="30"/>
      <c r="D1637" s="48"/>
      <c r="E1637" s="169"/>
      <c r="F1637" s="170"/>
      <c r="G1637" s="30"/>
      <c r="H1637" s="30"/>
    </row>
    <row r="1638" spans="1:8" x14ac:dyDescent="0.2">
      <c r="A1638" s="30"/>
      <c r="B1638" s="66"/>
      <c r="C1638" s="30"/>
      <c r="D1638" s="48"/>
      <c r="E1638" s="169"/>
      <c r="F1638" s="170"/>
      <c r="G1638" s="30"/>
      <c r="H1638" s="30"/>
    </row>
    <row r="1639" spans="1:8" x14ac:dyDescent="0.2">
      <c r="A1639" s="30"/>
      <c r="B1639" s="66"/>
      <c r="C1639" s="30"/>
      <c r="D1639" s="48"/>
      <c r="E1639" s="169"/>
      <c r="F1639" s="170"/>
      <c r="G1639" s="30"/>
      <c r="H1639" s="30"/>
    </row>
    <row r="1640" spans="1:8" x14ac:dyDescent="0.2">
      <c r="A1640" s="30"/>
      <c r="B1640" s="66"/>
      <c r="C1640" s="30"/>
      <c r="D1640" s="48"/>
      <c r="E1640" s="169"/>
      <c r="F1640" s="170"/>
      <c r="G1640" s="30"/>
      <c r="H1640" s="30"/>
    </row>
    <row r="1641" spans="1:8" x14ac:dyDescent="0.2">
      <c r="A1641" s="30"/>
      <c r="B1641" s="66"/>
      <c r="C1641" s="30"/>
      <c r="D1641" s="48"/>
      <c r="E1641" s="169"/>
      <c r="F1641" s="170"/>
      <c r="G1641" s="30"/>
      <c r="H1641" s="30"/>
    </row>
    <row r="1642" spans="1:8" x14ac:dyDescent="0.2">
      <c r="A1642" s="30"/>
      <c r="B1642" s="66"/>
      <c r="C1642" s="30"/>
      <c r="D1642" s="48"/>
      <c r="E1642" s="169"/>
      <c r="F1642" s="170"/>
      <c r="G1642" s="30"/>
      <c r="H1642" s="30"/>
    </row>
    <row r="1643" spans="1:8" x14ac:dyDescent="0.2">
      <c r="A1643" s="30"/>
      <c r="B1643" s="66"/>
      <c r="C1643" s="30"/>
      <c r="D1643" s="48"/>
      <c r="E1643" s="169"/>
      <c r="F1643" s="170"/>
      <c r="G1643" s="30"/>
      <c r="H1643" s="30"/>
    </row>
    <row r="1644" spans="1:8" x14ac:dyDescent="0.2">
      <c r="A1644" s="30"/>
      <c r="B1644" s="66"/>
      <c r="C1644" s="30"/>
      <c r="D1644" s="48"/>
      <c r="E1644" s="169"/>
      <c r="F1644" s="170"/>
      <c r="G1644" s="30"/>
      <c r="H1644" s="30"/>
    </row>
    <row r="1645" spans="1:8" x14ac:dyDescent="0.2">
      <c r="A1645" s="30"/>
      <c r="B1645" s="66"/>
      <c r="C1645" s="30"/>
      <c r="D1645" s="48"/>
      <c r="E1645" s="169"/>
      <c r="F1645" s="170"/>
      <c r="G1645" s="30"/>
      <c r="H1645" s="30"/>
    </row>
    <row r="1646" spans="1:8" x14ac:dyDescent="0.2">
      <c r="A1646" s="30"/>
      <c r="B1646" s="66"/>
      <c r="C1646" s="30"/>
      <c r="D1646" s="48"/>
      <c r="E1646" s="169"/>
      <c r="F1646" s="170"/>
      <c r="G1646" s="30"/>
      <c r="H1646" s="30"/>
    </row>
    <row r="1647" spans="1:8" x14ac:dyDescent="0.2">
      <c r="A1647" s="30"/>
      <c r="B1647" s="66"/>
      <c r="C1647" s="30"/>
      <c r="D1647" s="48"/>
      <c r="E1647" s="169"/>
      <c r="F1647" s="170"/>
      <c r="G1647" s="30"/>
      <c r="H1647" s="30"/>
    </row>
    <row r="1648" spans="1:8" x14ac:dyDescent="0.2">
      <c r="A1648" s="30"/>
      <c r="B1648" s="66"/>
      <c r="C1648" s="30"/>
      <c r="D1648" s="48"/>
      <c r="E1648" s="169"/>
      <c r="F1648" s="170"/>
      <c r="G1648" s="30"/>
      <c r="H1648" s="30"/>
    </row>
    <row r="1649" spans="1:8" x14ac:dyDescent="0.2">
      <c r="A1649" s="30"/>
      <c r="B1649" s="66"/>
      <c r="C1649" s="30"/>
      <c r="D1649" s="48"/>
      <c r="E1649" s="169"/>
      <c r="F1649" s="170"/>
      <c r="G1649" s="30"/>
      <c r="H1649" s="30"/>
    </row>
    <row r="1650" spans="1:8" x14ac:dyDescent="0.2">
      <c r="A1650" s="30"/>
      <c r="B1650" s="66"/>
      <c r="C1650" s="30"/>
      <c r="D1650" s="48"/>
      <c r="E1650" s="169"/>
      <c r="F1650" s="170"/>
      <c r="G1650" s="30"/>
      <c r="H1650" s="30"/>
    </row>
    <row r="1651" spans="1:8" x14ac:dyDescent="0.2">
      <c r="A1651" s="30"/>
      <c r="B1651" s="66"/>
      <c r="C1651" s="30"/>
      <c r="D1651" s="48"/>
      <c r="E1651" s="169"/>
      <c r="F1651" s="170"/>
      <c r="G1651" s="30"/>
      <c r="H1651" s="30"/>
    </row>
    <row r="1652" spans="1:8" x14ac:dyDescent="0.2">
      <c r="A1652" s="30"/>
      <c r="B1652" s="66"/>
      <c r="C1652" s="30"/>
      <c r="D1652" s="48"/>
      <c r="E1652" s="169"/>
      <c r="F1652" s="170"/>
      <c r="G1652" s="30"/>
      <c r="H1652" s="30"/>
    </row>
    <row r="1653" spans="1:8" x14ac:dyDescent="0.2">
      <c r="A1653" s="30"/>
      <c r="B1653" s="66"/>
      <c r="C1653" s="30"/>
      <c r="D1653" s="48"/>
      <c r="E1653" s="169"/>
      <c r="F1653" s="170"/>
      <c r="G1653" s="30"/>
      <c r="H1653" s="30"/>
    </row>
    <row r="1654" spans="1:8" x14ac:dyDescent="0.2">
      <c r="A1654" s="30"/>
      <c r="B1654" s="66"/>
      <c r="C1654" s="30"/>
      <c r="D1654" s="48"/>
      <c r="E1654" s="169"/>
      <c r="F1654" s="170"/>
      <c r="G1654" s="30"/>
      <c r="H1654" s="30"/>
    </row>
    <row r="1655" spans="1:8" x14ac:dyDescent="0.2">
      <c r="A1655" s="30"/>
      <c r="B1655" s="66"/>
      <c r="C1655" s="30"/>
      <c r="D1655" s="48"/>
      <c r="E1655" s="169"/>
      <c r="F1655" s="170"/>
      <c r="G1655" s="30"/>
      <c r="H1655" s="30"/>
    </row>
    <row r="1656" spans="1:8" x14ac:dyDescent="0.2">
      <c r="A1656" s="30"/>
      <c r="B1656" s="66"/>
      <c r="C1656" s="30"/>
      <c r="D1656" s="48"/>
      <c r="E1656" s="169"/>
      <c r="F1656" s="170"/>
      <c r="G1656" s="30"/>
      <c r="H1656" s="30"/>
    </row>
    <row r="1657" spans="1:8" x14ac:dyDescent="0.2">
      <c r="A1657" s="30"/>
      <c r="B1657" s="66"/>
      <c r="C1657" s="30"/>
      <c r="D1657" s="48"/>
      <c r="E1657" s="169"/>
      <c r="F1657" s="170"/>
      <c r="G1657" s="30"/>
      <c r="H1657" s="30"/>
    </row>
    <row r="1658" spans="1:8" x14ac:dyDescent="0.2">
      <c r="A1658" s="30"/>
      <c r="B1658" s="66"/>
      <c r="C1658" s="30"/>
      <c r="D1658" s="48"/>
      <c r="E1658" s="169"/>
      <c r="F1658" s="170"/>
      <c r="G1658" s="30"/>
      <c r="H1658" s="30"/>
    </row>
    <row r="1659" spans="1:8" x14ac:dyDescent="0.2">
      <c r="A1659" s="30"/>
      <c r="B1659" s="66"/>
      <c r="C1659" s="30"/>
      <c r="D1659" s="48"/>
      <c r="E1659" s="169"/>
      <c r="F1659" s="170"/>
      <c r="G1659" s="30"/>
      <c r="H1659" s="30"/>
    </row>
    <row r="1660" spans="1:8" x14ac:dyDescent="0.2">
      <c r="A1660" s="30"/>
      <c r="B1660" s="66"/>
      <c r="C1660" s="30"/>
      <c r="D1660" s="48"/>
      <c r="E1660" s="169"/>
      <c r="F1660" s="170"/>
      <c r="G1660" s="30"/>
      <c r="H1660" s="30"/>
    </row>
    <row r="1661" spans="1:8" x14ac:dyDescent="0.2">
      <c r="A1661" s="30"/>
      <c r="B1661" s="66"/>
      <c r="C1661" s="30"/>
      <c r="D1661" s="48"/>
      <c r="E1661" s="169"/>
      <c r="F1661" s="170"/>
      <c r="G1661" s="30"/>
      <c r="H1661" s="30"/>
    </row>
    <row r="1662" spans="1:8" x14ac:dyDescent="0.2">
      <c r="A1662" s="30"/>
      <c r="B1662" s="66"/>
      <c r="C1662" s="30"/>
      <c r="D1662" s="48"/>
      <c r="E1662" s="169"/>
      <c r="F1662" s="170"/>
      <c r="G1662" s="30"/>
      <c r="H1662" s="30"/>
    </row>
    <row r="1663" spans="1:8" x14ac:dyDescent="0.2">
      <c r="A1663" s="30"/>
      <c r="B1663" s="66"/>
      <c r="C1663" s="30"/>
      <c r="D1663" s="48"/>
      <c r="E1663" s="169"/>
      <c r="F1663" s="170"/>
      <c r="G1663" s="30"/>
      <c r="H1663" s="30"/>
    </row>
    <row r="1664" spans="1:8" x14ac:dyDescent="0.2">
      <c r="A1664" s="30"/>
      <c r="B1664" s="66"/>
      <c r="C1664" s="30"/>
      <c r="D1664" s="48"/>
      <c r="E1664" s="169"/>
      <c r="F1664" s="170"/>
      <c r="G1664" s="30"/>
      <c r="H1664" s="30"/>
    </row>
    <row r="1665" spans="1:8" x14ac:dyDescent="0.2">
      <c r="A1665" s="30"/>
      <c r="B1665" s="66"/>
      <c r="C1665" s="30"/>
      <c r="D1665" s="48"/>
      <c r="E1665" s="169"/>
      <c r="F1665" s="170"/>
      <c r="G1665" s="30"/>
      <c r="H1665" s="30"/>
    </row>
    <row r="1666" spans="1:8" x14ac:dyDescent="0.2">
      <c r="A1666" s="30"/>
      <c r="B1666" s="66"/>
      <c r="C1666" s="30"/>
      <c r="D1666" s="48"/>
      <c r="E1666" s="169"/>
      <c r="F1666" s="170"/>
      <c r="G1666" s="30"/>
      <c r="H1666" s="30"/>
    </row>
    <row r="1667" spans="1:8" x14ac:dyDescent="0.2">
      <c r="A1667" s="30"/>
      <c r="B1667" s="66"/>
      <c r="C1667" s="30"/>
      <c r="D1667" s="48"/>
      <c r="E1667" s="169"/>
      <c r="F1667" s="170"/>
      <c r="G1667" s="30"/>
      <c r="H1667" s="30"/>
    </row>
    <row r="1668" spans="1:8" x14ac:dyDescent="0.2">
      <c r="A1668" s="30"/>
      <c r="B1668" s="66"/>
      <c r="C1668" s="30"/>
      <c r="D1668" s="48"/>
      <c r="E1668" s="169"/>
      <c r="F1668" s="170"/>
      <c r="G1668" s="30"/>
      <c r="H1668" s="30"/>
    </row>
    <row r="1669" spans="1:8" x14ac:dyDescent="0.2">
      <c r="A1669" s="30"/>
      <c r="B1669" s="66"/>
      <c r="C1669" s="30"/>
      <c r="D1669" s="48"/>
      <c r="E1669" s="169"/>
      <c r="F1669" s="170"/>
      <c r="G1669" s="30"/>
      <c r="H1669" s="30"/>
    </row>
    <row r="1670" spans="1:8" x14ac:dyDescent="0.2">
      <c r="A1670" s="30"/>
      <c r="B1670" s="66"/>
      <c r="C1670" s="30"/>
      <c r="D1670" s="48"/>
      <c r="E1670" s="169"/>
      <c r="F1670" s="170"/>
      <c r="G1670" s="30"/>
      <c r="H1670" s="30"/>
    </row>
    <row r="1671" spans="1:8" x14ac:dyDescent="0.2">
      <c r="A1671" s="30"/>
      <c r="B1671" s="66"/>
      <c r="C1671" s="30"/>
      <c r="D1671" s="48"/>
      <c r="E1671" s="169"/>
      <c r="F1671" s="170"/>
      <c r="G1671" s="30"/>
      <c r="H1671" s="30"/>
    </row>
    <row r="1672" spans="1:8" x14ac:dyDescent="0.2">
      <c r="A1672" s="30"/>
      <c r="B1672" s="66"/>
      <c r="C1672" s="30"/>
      <c r="D1672" s="48"/>
      <c r="E1672" s="169"/>
      <c r="F1672" s="170"/>
      <c r="G1672" s="30"/>
      <c r="H1672" s="30"/>
    </row>
    <row r="1673" spans="1:8" x14ac:dyDescent="0.2">
      <c r="A1673" s="30"/>
      <c r="B1673" s="66"/>
      <c r="C1673" s="30"/>
      <c r="D1673" s="48"/>
      <c r="E1673" s="169"/>
      <c r="F1673" s="170"/>
      <c r="G1673" s="30"/>
      <c r="H1673" s="30"/>
    </row>
    <row r="1674" spans="1:8" x14ac:dyDescent="0.2">
      <c r="A1674" s="30"/>
      <c r="B1674" s="66"/>
      <c r="C1674" s="30"/>
      <c r="D1674" s="48"/>
      <c r="E1674" s="169"/>
      <c r="F1674" s="170"/>
      <c r="G1674" s="30"/>
      <c r="H1674" s="30"/>
    </row>
    <row r="1675" spans="1:8" x14ac:dyDescent="0.2">
      <c r="A1675" s="30"/>
      <c r="B1675" s="66"/>
      <c r="C1675" s="30"/>
      <c r="D1675" s="48"/>
      <c r="E1675" s="169"/>
      <c r="F1675" s="170"/>
      <c r="G1675" s="30"/>
      <c r="H1675" s="30"/>
    </row>
    <row r="1676" spans="1:8" x14ac:dyDescent="0.2">
      <c r="A1676" s="30"/>
      <c r="B1676" s="66"/>
      <c r="C1676" s="30"/>
      <c r="D1676" s="48"/>
      <c r="E1676" s="169"/>
      <c r="F1676" s="170"/>
      <c r="G1676" s="30"/>
      <c r="H1676" s="30"/>
    </row>
    <row r="1677" spans="1:8" x14ac:dyDescent="0.2">
      <c r="A1677" s="30"/>
      <c r="B1677" s="66"/>
      <c r="C1677" s="30"/>
      <c r="D1677" s="48"/>
      <c r="E1677" s="169"/>
      <c r="F1677" s="170"/>
      <c r="G1677" s="30"/>
      <c r="H1677" s="30"/>
    </row>
    <row r="1678" spans="1:8" x14ac:dyDescent="0.2">
      <c r="A1678" s="30"/>
      <c r="B1678" s="66"/>
      <c r="C1678" s="30"/>
      <c r="D1678" s="48"/>
      <c r="E1678" s="169"/>
      <c r="F1678" s="170"/>
      <c r="G1678" s="30"/>
      <c r="H1678" s="30"/>
    </row>
    <row r="1679" spans="1:8" x14ac:dyDescent="0.2">
      <c r="A1679" s="30"/>
      <c r="B1679" s="66"/>
      <c r="C1679" s="30"/>
      <c r="D1679" s="48"/>
      <c r="E1679" s="169"/>
      <c r="F1679" s="170"/>
      <c r="G1679" s="30"/>
      <c r="H1679" s="30"/>
    </row>
    <row r="1680" spans="1:8" x14ac:dyDescent="0.2">
      <c r="A1680" s="30"/>
      <c r="B1680" s="66"/>
      <c r="C1680" s="30"/>
      <c r="D1680" s="48"/>
      <c r="E1680" s="169"/>
      <c r="F1680" s="170"/>
      <c r="G1680" s="30"/>
      <c r="H1680" s="30"/>
    </row>
    <row r="1681" spans="1:8" x14ac:dyDescent="0.2">
      <c r="A1681" s="30"/>
      <c r="B1681" s="66"/>
      <c r="C1681" s="30"/>
      <c r="D1681" s="48"/>
      <c r="E1681" s="169"/>
      <c r="F1681" s="170"/>
      <c r="G1681" s="30"/>
      <c r="H1681" s="30"/>
    </row>
    <row r="1682" spans="1:8" x14ac:dyDescent="0.2">
      <c r="A1682" s="30"/>
      <c r="B1682" s="66"/>
      <c r="C1682" s="30"/>
      <c r="D1682" s="48"/>
      <c r="E1682" s="169"/>
      <c r="F1682" s="170"/>
      <c r="G1682" s="30"/>
      <c r="H1682" s="30"/>
    </row>
    <row r="1683" spans="1:8" x14ac:dyDescent="0.2">
      <c r="A1683" s="30"/>
      <c r="B1683" s="66"/>
      <c r="C1683" s="30"/>
      <c r="D1683" s="48"/>
      <c r="E1683" s="169"/>
      <c r="F1683" s="170"/>
      <c r="G1683" s="30"/>
      <c r="H1683" s="30"/>
    </row>
    <row r="1684" spans="1:8" x14ac:dyDescent="0.2">
      <c r="A1684" s="30"/>
      <c r="B1684" s="66"/>
      <c r="C1684" s="30"/>
      <c r="D1684" s="48"/>
      <c r="E1684" s="169"/>
      <c r="F1684" s="170"/>
      <c r="G1684" s="30"/>
      <c r="H1684" s="30"/>
    </row>
    <row r="1685" spans="1:8" x14ac:dyDescent="0.2">
      <c r="A1685" s="30"/>
      <c r="B1685" s="66"/>
      <c r="C1685" s="30"/>
      <c r="D1685" s="48"/>
      <c r="E1685" s="169"/>
      <c r="F1685" s="170"/>
      <c r="G1685" s="30"/>
      <c r="H1685" s="30"/>
    </row>
    <row r="1686" spans="1:8" x14ac:dyDescent="0.2">
      <c r="A1686" s="30"/>
      <c r="B1686" s="66"/>
      <c r="C1686" s="30"/>
      <c r="D1686" s="48"/>
      <c r="E1686" s="169"/>
      <c r="F1686" s="170"/>
      <c r="G1686" s="30"/>
      <c r="H1686" s="30"/>
    </row>
    <row r="1687" spans="1:8" x14ac:dyDescent="0.2">
      <c r="A1687" s="30"/>
      <c r="B1687" s="66"/>
      <c r="C1687" s="30"/>
      <c r="D1687" s="48"/>
      <c r="E1687" s="169"/>
      <c r="F1687" s="170"/>
      <c r="G1687" s="30"/>
      <c r="H1687" s="30"/>
    </row>
    <row r="1688" spans="1:8" x14ac:dyDescent="0.2">
      <c r="A1688" s="30"/>
      <c r="B1688" s="66"/>
      <c r="C1688" s="30"/>
      <c r="D1688" s="48"/>
      <c r="E1688" s="169"/>
      <c r="F1688" s="170"/>
      <c r="G1688" s="30"/>
      <c r="H1688" s="30"/>
    </row>
    <row r="1689" spans="1:8" x14ac:dyDescent="0.2">
      <c r="A1689" s="30"/>
      <c r="B1689" s="66"/>
      <c r="C1689" s="30"/>
      <c r="D1689" s="48"/>
      <c r="E1689" s="169"/>
      <c r="F1689" s="170"/>
      <c r="G1689" s="30"/>
      <c r="H1689" s="30"/>
    </row>
    <row r="1690" spans="1:8" x14ac:dyDescent="0.2">
      <c r="A1690" s="30"/>
      <c r="B1690" s="66"/>
      <c r="C1690" s="30"/>
      <c r="D1690" s="48"/>
      <c r="E1690" s="169"/>
      <c r="F1690" s="170"/>
      <c r="G1690" s="30"/>
      <c r="H1690" s="30"/>
    </row>
    <row r="1691" spans="1:8" x14ac:dyDescent="0.2">
      <c r="A1691" s="30"/>
      <c r="B1691" s="66"/>
      <c r="C1691" s="30"/>
      <c r="D1691" s="48"/>
      <c r="E1691" s="169"/>
      <c r="F1691" s="170"/>
      <c r="G1691" s="30"/>
      <c r="H1691" s="30"/>
    </row>
    <row r="1692" spans="1:8" x14ac:dyDescent="0.2">
      <c r="A1692" s="30"/>
      <c r="B1692" s="66"/>
      <c r="C1692" s="30"/>
      <c r="D1692" s="48"/>
      <c r="E1692" s="169"/>
      <c r="F1692" s="170"/>
      <c r="G1692" s="30"/>
      <c r="H1692" s="30"/>
    </row>
    <row r="1693" spans="1:8" x14ac:dyDescent="0.2">
      <c r="A1693" s="30"/>
      <c r="B1693" s="66"/>
      <c r="C1693" s="30"/>
      <c r="D1693" s="48"/>
      <c r="E1693" s="169"/>
      <c r="F1693" s="170"/>
      <c r="G1693" s="30"/>
      <c r="H1693" s="30"/>
    </row>
    <row r="1694" spans="1:8" x14ac:dyDescent="0.2">
      <c r="A1694" s="30"/>
      <c r="B1694" s="66"/>
      <c r="C1694" s="30"/>
      <c r="D1694" s="48"/>
      <c r="E1694" s="169"/>
      <c r="F1694" s="170"/>
      <c r="G1694" s="30"/>
      <c r="H1694" s="30"/>
    </row>
    <row r="1695" spans="1:8" x14ac:dyDescent="0.2">
      <c r="A1695" s="30"/>
      <c r="B1695" s="66"/>
      <c r="C1695" s="30"/>
      <c r="D1695" s="48"/>
      <c r="E1695" s="169"/>
      <c r="F1695" s="170"/>
      <c r="G1695" s="30"/>
      <c r="H1695" s="30"/>
    </row>
    <row r="1696" spans="1:8" x14ac:dyDescent="0.2">
      <c r="A1696" s="30"/>
      <c r="B1696" s="66"/>
      <c r="C1696" s="30"/>
      <c r="D1696" s="48"/>
      <c r="E1696" s="169"/>
      <c r="F1696" s="170"/>
      <c r="G1696" s="30"/>
      <c r="H1696" s="30"/>
    </row>
    <row r="1697" spans="1:8" x14ac:dyDescent="0.2">
      <c r="A1697" s="30"/>
      <c r="B1697" s="66"/>
      <c r="C1697" s="30"/>
      <c r="D1697" s="48"/>
      <c r="E1697" s="169"/>
      <c r="F1697" s="170"/>
      <c r="G1697" s="30"/>
      <c r="H1697" s="30"/>
    </row>
    <row r="1698" spans="1:8" x14ac:dyDescent="0.2">
      <c r="A1698" s="30"/>
      <c r="B1698" s="66"/>
      <c r="C1698" s="30"/>
      <c r="D1698" s="48"/>
      <c r="E1698" s="169"/>
      <c r="F1698" s="170"/>
      <c r="G1698" s="30"/>
      <c r="H1698" s="30"/>
    </row>
    <row r="1699" spans="1:8" x14ac:dyDescent="0.2">
      <c r="A1699" s="30"/>
      <c r="B1699" s="66"/>
      <c r="C1699" s="30"/>
      <c r="D1699" s="48"/>
      <c r="E1699" s="169"/>
      <c r="F1699" s="170"/>
      <c r="G1699" s="30"/>
      <c r="H1699" s="30"/>
    </row>
    <row r="1700" spans="1:8" x14ac:dyDescent="0.2">
      <c r="A1700" s="30"/>
      <c r="B1700" s="66"/>
      <c r="C1700" s="30"/>
      <c r="D1700" s="48"/>
      <c r="E1700" s="169"/>
      <c r="F1700" s="170"/>
      <c r="G1700" s="30"/>
      <c r="H1700" s="30"/>
    </row>
    <row r="1701" spans="1:8" x14ac:dyDescent="0.2">
      <c r="A1701" s="30"/>
      <c r="B1701" s="66"/>
      <c r="C1701" s="30"/>
      <c r="D1701" s="48"/>
      <c r="E1701" s="169"/>
      <c r="F1701" s="170"/>
      <c r="G1701" s="30"/>
      <c r="H1701" s="30"/>
    </row>
    <row r="1702" spans="1:8" x14ac:dyDescent="0.2">
      <c r="A1702" s="30"/>
      <c r="B1702" s="66"/>
      <c r="C1702" s="30"/>
      <c r="D1702" s="48"/>
      <c r="E1702" s="169"/>
      <c r="F1702" s="170"/>
      <c r="G1702" s="30"/>
      <c r="H1702" s="30"/>
    </row>
    <row r="1703" spans="1:8" x14ac:dyDescent="0.2">
      <c r="A1703" s="30"/>
      <c r="B1703" s="66"/>
      <c r="C1703" s="30"/>
      <c r="D1703" s="48"/>
      <c r="E1703" s="169"/>
      <c r="F1703" s="170"/>
      <c r="G1703" s="30"/>
      <c r="H1703" s="30"/>
    </row>
    <row r="1704" spans="1:8" x14ac:dyDescent="0.2">
      <c r="A1704" s="30"/>
      <c r="B1704" s="66"/>
      <c r="C1704" s="30"/>
      <c r="D1704" s="48"/>
      <c r="E1704" s="169"/>
      <c r="F1704" s="170"/>
      <c r="G1704" s="30"/>
      <c r="H1704" s="30"/>
    </row>
    <row r="1705" spans="1:8" x14ac:dyDescent="0.2">
      <c r="A1705" s="30"/>
      <c r="B1705" s="66"/>
      <c r="C1705" s="30"/>
      <c r="D1705" s="48"/>
      <c r="E1705" s="169"/>
      <c r="F1705" s="170"/>
      <c r="G1705" s="30"/>
      <c r="H1705" s="30"/>
    </row>
    <row r="1706" spans="1:8" x14ac:dyDescent="0.2">
      <c r="A1706" s="30"/>
      <c r="B1706" s="66"/>
      <c r="C1706" s="30"/>
      <c r="D1706" s="48"/>
      <c r="E1706" s="169"/>
      <c r="F1706" s="170"/>
      <c r="G1706" s="30"/>
      <c r="H1706" s="30"/>
    </row>
    <row r="1707" spans="1:8" x14ac:dyDescent="0.2">
      <c r="A1707" s="30"/>
      <c r="B1707" s="66"/>
      <c r="C1707" s="30"/>
      <c r="D1707" s="48"/>
      <c r="E1707" s="169"/>
      <c r="F1707" s="170"/>
      <c r="G1707" s="30"/>
      <c r="H1707" s="30"/>
    </row>
    <row r="1708" spans="1:8" x14ac:dyDescent="0.2">
      <c r="A1708" s="30"/>
      <c r="B1708" s="66"/>
      <c r="C1708" s="30"/>
      <c r="D1708" s="48"/>
      <c r="E1708" s="169"/>
      <c r="F1708" s="170"/>
      <c r="G1708" s="30"/>
      <c r="H1708" s="30"/>
    </row>
    <row r="1709" spans="1:8" x14ac:dyDescent="0.2">
      <c r="A1709" s="30"/>
      <c r="B1709" s="66"/>
      <c r="C1709" s="30"/>
      <c r="D1709" s="48"/>
      <c r="E1709" s="169"/>
      <c r="F1709" s="170"/>
      <c r="G1709" s="30"/>
      <c r="H1709" s="30"/>
    </row>
    <row r="1710" spans="1:8" x14ac:dyDescent="0.2">
      <c r="A1710" s="30"/>
      <c r="B1710" s="66"/>
      <c r="C1710" s="30"/>
      <c r="D1710" s="48"/>
      <c r="E1710" s="169"/>
      <c r="F1710" s="170"/>
      <c r="G1710" s="30"/>
      <c r="H1710" s="30"/>
    </row>
    <row r="1711" spans="1:8" x14ac:dyDescent="0.2">
      <c r="A1711" s="30"/>
      <c r="B1711" s="66"/>
      <c r="C1711" s="30"/>
      <c r="D1711" s="48"/>
      <c r="E1711" s="169"/>
      <c r="F1711" s="170"/>
      <c r="G1711" s="30"/>
      <c r="H1711" s="30"/>
    </row>
    <row r="1712" spans="1:8" x14ac:dyDescent="0.2">
      <c r="A1712" s="30"/>
      <c r="B1712" s="66"/>
      <c r="C1712" s="30"/>
      <c r="D1712" s="48"/>
      <c r="E1712" s="169"/>
      <c r="F1712" s="170"/>
      <c r="G1712" s="30"/>
      <c r="H1712" s="30"/>
    </row>
    <row r="1713" spans="1:8" x14ac:dyDescent="0.2">
      <c r="A1713" s="30"/>
      <c r="B1713" s="66"/>
      <c r="C1713" s="30"/>
      <c r="D1713" s="48"/>
      <c r="E1713" s="169"/>
      <c r="F1713" s="170"/>
      <c r="G1713" s="30"/>
      <c r="H1713" s="30"/>
    </row>
    <row r="1714" spans="1:8" x14ac:dyDescent="0.2">
      <c r="A1714" s="30"/>
      <c r="B1714" s="66"/>
      <c r="C1714" s="30"/>
      <c r="D1714" s="48"/>
      <c r="E1714" s="169"/>
      <c r="F1714" s="170"/>
      <c r="G1714" s="30"/>
      <c r="H1714" s="30"/>
    </row>
    <row r="1715" spans="1:8" x14ac:dyDescent="0.2">
      <c r="A1715" s="30"/>
      <c r="B1715" s="66"/>
      <c r="C1715" s="30"/>
      <c r="D1715" s="48"/>
      <c r="E1715" s="169"/>
      <c r="F1715" s="170"/>
      <c r="G1715" s="30"/>
      <c r="H1715" s="30"/>
    </row>
    <row r="1716" spans="1:8" x14ac:dyDescent="0.2">
      <c r="A1716" s="30"/>
      <c r="B1716" s="66"/>
      <c r="C1716" s="30"/>
      <c r="D1716" s="48"/>
      <c r="E1716" s="169"/>
      <c r="F1716" s="170"/>
      <c r="G1716" s="30"/>
      <c r="H1716" s="30"/>
    </row>
    <row r="1717" spans="1:8" x14ac:dyDescent="0.2">
      <c r="A1717" s="30"/>
      <c r="B1717" s="66"/>
      <c r="C1717" s="30"/>
      <c r="D1717" s="48"/>
      <c r="E1717" s="169"/>
      <c r="F1717" s="170"/>
      <c r="G1717" s="30"/>
      <c r="H1717" s="30"/>
    </row>
    <row r="1718" spans="1:8" x14ac:dyDescent="0.2">
      <c r="A1718" s="30"/>
      <c r="B1718" s="66"/>
      <c r="C1718" s="30"/>
      <c r="D1718" s="48"/>
      <c r="E1718" s="169"/>
      <c r="F1718" s="170"/>
      <c r="G1718" s="30"/>
      <c r="H1718" s="30"/>
    </row>
    <row r="1719" spans="1:8" x14ac:dyDescent="0.2">
      <c r="A1719" s="30"/>
      <c r="B1719" s="66"/>
      <c r="C1719" s="30"/>
      <c r="D1719" s="48"/>
      <c r="E1719" s="169"/>
      <c r="F1719" s="170"/>
      <c r="G1719" s="30"/>
      <c r="H1719" s="30"/>
    </row>
    <row r="1720" spans="1:8" x14ac:dyDescent="0.2">
      <c r="A1720" s="30"/>
      <c r="B1720" s="66"/>
      <c r="C1720" s="30"/>
      <c r="D1720" s="48"/>
      <c r="E1720" s="169"/>
      <c r="F1720" s="170"/>
      <c r="G1720" s="30"/>
      <c r="H1720" s="30"/>
    </row>
    <row r="1721" spans="1:8" x14ac:dyDescent="0.2">
      <c r="A1721" s="30"/>
      <c r="B1721" s="66"/>
      <c r="C1721" s="30"/>
      <c r="D1721" s="48"/>
      <c r="E1721" s="169"/>
      <c r="F1721" s="170"/>
      <c r="G1721" s="30"/>
      <c r="H1721" s="30"/>
    </row>
    <row r="1722" spans="1:8" x14ac:dyDescent="0.2">
      <c r="A1722" s="30"/>
      <c r="B1722" s="66"/>
      <c r="C1722" s="30"/>
      <c r="D1722" s="48"/>
      <c r="E1722" s="169"/>
      <c r="F1722" s="170"/>
      <c r="G1722" s="30"/>
      <c r="H1722" s="30"/>
    </row>
    <row r="1723" spans="1:8" x14ac:dyDescent="0.2">
      <c r="A1723" s="30"/>
      <c r="B1723" s="66"/>
      <c r="C1723" s="30"/>
      <c r="D1723" s="48"/>
      <c r="E1723" s="169"/>
      <c r="F1723" s="170"/>
      <c r="G1723" s="30"/>
      <c r="H1723" s="30"/>
    </row>
    <row r="1724" spans="1:8" x14ac:dyDescent="0.2">
      <c r="A1724" s="30"/>
      <c r="B1724" s="66"/>
      <c r="C1724" s="30"/>
      <c r="D1724" s="48"/>
      <c r="E1724" s="169"/>
      <c r="F1724" s="170"/>
      <c r="G1724" s="30"/>
      <c r="H1724" s="30"/>
    </row>
    <row r="1725" spans="1:8" x14ac:dyDescent="0.2">
      <c r="A1725" s="30"/>
      <c r="B1725" s="66"/>
      <c r="C1725" s="30"/>
      <c r="D1725" s="48"/>
      <c r="E1725" s="169"/>
      <c r="F1725" s="170"/>
      <c r="G1725" s="30"/>
      <c r="H1725" s="30"/>
    </row>
    <row r="1726" spans="1:8" x14ac:dyDescent="0.2">
      <c r="A1726" s="30"/>
      <c r="B1726" s="66"/>
      <c r="C1726" s="30"/>
      <c r="D1726" s="48"/>
      <c r="E1726" s="169"/>
      <c r="F1726" s="170"/>
      <c r="G1726" s="30"/>
      <c r="H1726" s="30"/>
    </row>
    <row r="1727" spans="1:8" x14ac:dyDescent="0.2">
      <c r="A1727" s="30"/>
      <c r="B1727" s="66"/>
      <c r="C1727" s="30"/>
      <c r="D1727" s="48"/>
      <c r="E1727" s="169"/>
      <c r="F1727" s="170"/>
      <c r="G1727" s="30"/>
      <c r="H1727" s="30"/>
    </row>
    <row r="1728" spans="1:8" x14ac:dyDescent="0.2">
      <c r="A1728" s="30"/>
      <c r="B1728" s="66"/>
      <c r="C1728" s="30"/>
      <c r="D1728" s="48"/>
      <c r="E1728" s="169"/>
      <c r="F1728" s="170"/>
      <c r="G1728" s="30"/>
      <c r="H1728" s="30"/>
    </row>
    <row r="1729" spans="1:8" x14ac:dyDescent="0.2">
      <c r="A1729" s="30"/>
      <c r="B1729" s="66"/>
      <c r="C1729" s="30"/>
      <c r="D1729" s="48"/>
      <c r="E1729" s="169"/>
      <c r="F1729" s="170"/>
      <c r="G1729" s="30"/>
      <c r="H1729" s="30"/>
    </row>
    <row r="1730" spans="1:8" x14ac:dyDescent="0.2">
      <c r="A1730" s="30"/>
      <c r="B1730" s="66"/>
      <c r="C1730" s="30"/>
      <c r="D1730" s="48"/>
      <c r="E1730" s="169"/>
      <c r="F1730" s="170"/>
      <c r="G1730" s="30"/>
      <c r="H1730" s="30"/>
    </row>
    <row r="1731" spans="1:8" x14ac:dyDescent="0.2">
      <c r="A1731" s="30"/>
      <c r="B1731" s="66"/>
      <c r="C1731" s="30"/>
      <c r="D1731" s="48"/>
      <c r="E1731" s="169"/>
      <c r="F1731" s="170"/>
      <c r="G1731" s="30"/>
      <c r="H1731" s="30"/>
    </row>
    <row r="1732" spans="1:8" x14ac:dyDescent="0.2">
      <c r="A1732" s="30"/>
      <c r="B1732" s="66"/>
      <c r="C1732" s="30"/>
      <c r="D1732" s="48"/>
      <c r="E1732" s="169"/>
      <c r="F1732" s="170"/>
      <c r="G1732" s="30"/>
      <c r="H1732" s="30"/>
    </row>
    <row r="1733" spans="1:8" x14ac:dyDescent="0.2">
      <c r="A1733" s="30"/>
      <c r="B1733" s="66"/>
      <c r="C1733" s="30"/>
      <c r="D1733" s="48"/>
      <c r="E1733" s="169"/>
      <c r="F1733" s="170"/>
      <c r="G1733" s="30"/>
      <c r="H1733" s="30"/>
    </row>
    <row r="1734" spans="1:8" x14ac:dyDescent="0.2">
      <c r="A1734" s="30"/>
      <c r="B1734" s="66"/>
      <c r="C1734" s="30"/>
      <c r="D1734" s="48"/>
      <c r="E1734" s="169"/>
      <c r="F1734" s="170"/>
      <c r="G1734" s="30"/>
      <c r="H1734" s="30"/>
    </row>
    <row r="1735" spans="1:8" x14ac:dyDescent="0.2">
      <c r="A1735" s="30"/>
      <c r="B1735" s="66"/>
      <c r="C1735" s="30"/>
      <c r="D1735" s="48"/>
      <c r="E1735" s="169"/>
      <c r="F1735" s="170"/>
      <c r="G1735" s="30"/>
      <c r="H1735" s="30"/>
    </row>
    <row r="1736" spans="1:8" x14ac:dyDescent="0.2">
      <c r="A1736" s="30"/>
      <c r="B1736" s="66"/>
      <c r="C1736" s="30"/>
      <c r="D1736" s="48"/>
      <c r="E1736" s="169"/>
      <c r="F1736" s="170"/>
      <c r="G1736" s="30"/>
      <c r="H1736" s="30"/>
    </row>
    <row r="1737" spans="1:8" x14ac:dyDescent="0.2">
      <c r="A1737" s="30"/>
      <c r="B1737" s="66"/>
      <c r="C1737" s="30"/>
      <c r="D1737" s="48"/>
      <c r="E1737" s="169"/>
      <c r="F1737" s="170"/>
      <c r="G1737" s="30"/>
      <c r="H1737" s="30"/>
    </row>
    <row r="1738" spans="1:8" x14ac:dyDescent="0.2">
      <c r="A1738" s="30"/>
      <c r="B1738" s="66"/>
      <c r="C1738" s="30"/>
      <c r="D1738" s="48"/>
      <c r="E1738" s="169"/>
      <c r="F1738" s="170"/>
      <c r="G1738" s="30"/>
      <c r="H1738" s="30"/>
    </row>
    <row r="1739" spans="1:8" x14ac:dyDescent="0.2">
      <c r="A1739" s="30"/>
      <c r="B1739" s="66"/>
      <c r="C1739" s="30"/>
      <c r="D1739" s="48"/>
      <c r="E1739" s="169"/>
      <c r="F1739" s="170"/>
      <c r="G1739" s="30"/>
      <c r="H1739" s="30"/>
    </row>
    <row r="1740" spans="1:8" x14ac:dyDescent="0.2">
      <c r="A1740" s="30"/>
      <c r="B1740" s="66"/>
      <c r="C1740" s="30"/>
      <c r="D1740" s="48"/>
      <c r="E1740" s="169"/>
      <c r="F1740" s="170"/>
      <c r="G1740" s="30"/>
      <c r="H1740" s="30"/>
    </row>
    <row r="1741" spans="1:8" x14ac:dyDescent="0.2">
      <c r="A1741" s="30"/>
      <c r="B1741" s="66"/>
      <c r="C1741" s="30"/>
      <c r="D1741" s="48"/>
      <c r="E1741" s="169"/>
      <c r="F1741" s="170"/>
      <c r="G1741" s="30"/>
      <c r="H1741" s="30"/>
    </row>
    <row r="1742" spans="1:8" x14ac:dyDescent="0.2">
      <c r="A1742" s="30"/>
      <c r="B1742" s="66"/>
      <c r="C1742" s="30"/>
      <c r="D1742" s="48"/>
      <c r="E1742" s="169"/>
      <c r="F1742" s="170"/>
      <c r="G1742" s="30"/>
      <c r="H1742" s="30"/>
    </row>
    <row r="1743" spans="1:8" x14ac:dyDescent="0.2">
      <c r="A1743" s="30"/>
      <c r="B1743" s="66"/>
      <c r="C1743" s="30"/>
      <c r="D1743" s="48"/>
      <c r="E1743" s="169"/>
      <c r="F1743" s="170"/>
      <c r="G1743" s="30"/>
      <c r="H1743" s="30"/>
    </row>
    <row r="1744" spans="1:8" x14ac:dyDescent="0.2">
      <c r="A1744" s="30"/>
      <c r="B1744" s="66"/>
      <c r="C1744" s="30"/>
      <c r="D1744" s="48"/>
      <c r="E1744" s="169"/>
      <c r="F1744" s="170"/>
      <c r="G1744" s="30"/>
      <c r="H1744" s="30"/>
    </row>
    <row r="1745" spans="1:8" x14ac:dyDescent="0.2">
      <c r="A1745" s="30"/>
      <c r="B1745" s="66"/>
      <c r="C1745" s="30"/>
      <c r="D1745" s="48"/>
      <c r="E1745" s="169"/>
      <c r="F1745" s="170"/>
      <c r="G1745" s="30"/>
      <c r="H1745" s="30"/>
    </row>
    <row r="1746" spans="1:8" x14ac:dyDescent="0.2">
      <c r="A1746" s="30"/>
      <c r="B1746" s="66"/>
      <c r="C1746" s="30"/>
      <c r="D1746" s="48"/>
      <c r="E1746" s="169"/>
      <c r="F1746" s="170"/>
      <c r="G1746" s="30"/>
      <c r="H1746" s="30"/>
    </row>
    <row r="1747" spans="1:8" x14ac:dyDescent="0.2">
      <c r="A1747" s="30"/>
      <c r="B1747" s="66"/>
      <c r="C1747" s="30"/>
      <c r="D1747" s="48"/>
      <c r="E1747" s="169"/>
      <c r="F1747" s="170"/>
      <c r="G1747" s="30"/>
      <c r="H1747" s="30"/>
    </row>
    <row r="1748" spans="1:8" x14ac:dyDescent="0.2">
      <c r="A1748" s="30"/>
      <c r="B1748" s="66"/>
      <c r="C1748" s="30"/>
      <c r="D1748" s="48"/>
      <c r="E1748" s="169"/>
      <c r="F1748" s="170"/>
      <c r="G1748" s="30"/>
      <c r="H1748" s="30"/>
    </row>
    <row r="1749" spans="1:8" x14ac:dyDescent="0.2">
      <c r="A1749" s="30"/>
      <c r="B1749" s="66"/>
      <c r="C1749" s="30"/>
      <c r="D1749" s="48"/>
      <c r="E1749" s="169"/>
      <c r="F1749" s="170"/>
      <c r="G1749" s="30"/>
      <c r="H1749" s="30"/>
    </row>
    <row r="1750" spans="1:8" x14ac:dyDescent="0.2">
      <c r="A1750" s="30"/>
      <c r="B1750" s="66"/>
      <c r="C1750" s="30"/>
      <c r="D1750" s="48"/>
      <c r="E1750" s="169"/>
      <c r="F1750" s="170"/>
      <c r="G1750" s="30"/>
      <c r="H1750" s="30"/>
    </row>
    <row r="1751" spans="1:8" x14ac:dyDescent="0.2">
      <c r="A1751" s="30"/>
      <c r="B1751" s="66"/>
      <c r="C1751" s="30"/>
      <c r="D1751" s="48"/>
      <c r="E1751" s="169"/>
      <c r="F1751" s="170"/>
      <c r="G1751" s="30"/>
      <c r="H1751" s="30"/>
    </row>
    <row r="1752" spans="1:8" x14ac:dyDescent="0.2">
      <c r="A1752" s="30"/>
      <c r="B1752" s="66"/>
      <c r="C1752" s="30"/>
      <c r="D1752" s="48"/>
      <c r="E1752" s="169"/>
      <c r="F1752" s="170"/>
      <c r="G1752" s="30"/>
      <c r="H1752" s="30"/>
    </row>
    <row r="1753" spans="1:8" x14ac:dyDescent="0.2">
      <c r="A1753" s="30"/>
      <c r="B1753" s="66"/>
      <c r="C1753" s="30"/>
      <c r="D1753" s="48"/>
      <c r="E1753" s="169"/>
      <c r="F1753" s="170"/>
      <c r="G1753" s="30"/>
      <c r="H1753" s="30"/>
    </row>
    <row r="1754" spans="1:8" x14ac:dyDescent="0.2">
      <c r="A1754" s="30"/>
      <c r="B1754" s="66"/>
      <c r="C1754" s="30"/>
      <c r="D1754" s="48"/>
      <c r="E1754" s="169"/>
      <c r="F1754" s="170"/>
      <c r="G1754" s="30"/>
      <c r="H1754" s="30"/>
    </row>
    <row r="1755" spans="1:8" x14ac:dyDescent="0.2">
      <c r="A1755" s="30"/>
      <c r="B1755" s="66"/>
      <c r="C1755" s="30"/>
      <c r="D1755" s="48"/>
      <c r="E1755" s="169"/>
      <c r="F1755" s="170"/>
      <c r="G1755" s="30"/>
      <c r="H1755" s="30"/>
    </row>
    <row r="1756" spans="1:8" x14ac:dyDescent="0.2">
      <c r="A1756" s="30"/>
      <c r="B1756" s="66"/>
      <c r="C1756" s="30"/>
      <c r="D1756" s="48"/>
      <c r="E1756" s="169"/>
      <c r="F1756" s="170"/>
      <c r="G1756" s="30"/>
      <c r="H1756" s="30"/>
    </row>
    <row r="1757" spans="1:8" x14ac:dyDescent="0.2">
      <c r="A1757" s="30"/>
      <c r="B1757" s="66"/>
      <c r="C1757" s="30"/>
      <c r="D1757" s="48"/>
      <c r="E1757" s="169"/>
      <c r="F1757" s="170"/>
      <c r="G1757" s="30"/>
      <c r="H1757" s="30"/>
    </row>
    <row r="1758" spans="1:8" x14ac:dyDescent="0.2">
      <c r="A1758" s="30"/>
      <c r="B1758" s="66"/>
      <c r="C1758" s="30"/>
      <c r="D1758" s="48"/>
      <c r="E1758" s="169"/>
      <c r="F1758" s="170"/>
      <c r="G1758" s="30"/>
      <c r="H1758" s="30"/>
    </row>
    <row r="1759" spans="1:8" x14ac:dyDescent="0.2">
      <c r="A1759" s="30"/>
      <c r="B1759" s="66"/>
      <c r="C1759" s="30"/>
      <c r="D1759" s="48"/>
      <c r="E1759" s="169"/>
      <c r="F1759" s="170"/>
      <c r="G1759" s="30"/>
      <c r="H1759" s="30"/>
    </row>
    <row r="1760" spans="1:8" x14ac:dyDescent="0.2">
      <c r="A1760" s="30"/>
      <c r="B1760" s="66"/>
      <c r="C1760" s="30"/>
      <c r="D1760" s="48"/>
      <c r="E1760" s="169"/>
      <c r="F1760" s="170"/>
      <c r="G1760" s="30"/>
      <c r="H1760" s="30"/>
    </row>
    <row r="1761" spans="1:8" x14ac:dyDescent="0.2">
      <c r="A1761" s="30"/>
      <c r="B1761" s="66"/>
      <c r="C1761" s="30"/>
      <c r="D1761" s="48"/>
      <c r="E1761" s="169"/>
      <c r="F1761" s="170"/>
      <c r="G1761" s="30"/>
      <c r="H1761" s="30"/>
    </row>
    <row r="1762" spans="1:8" x14ac:dyDescent="0.2">
      <c r="A1762" s="30"/>
      <c r="B1762" s="66"/>
      <c r="C1762" s="30"/>
      <c r="D1762" s="48"/>
      <c r="E1762" s="169"/>
      <c r="F1762" s="170"/>
      <c r="G1762" s="30"/>
      <c r="H1762" s="30"/>
    </row>
    <row r="1763" spans="1:8" x14ac:dyDescent="0.2">
      <c r="A1763" s="30"/>
      <c r="B1763" s="66"/>
      <c r="C1763" s="30"/>
      <c r="D1763" s="48"/>
      <c r="E1763" s="169"/>
      <c r="F1763" s="170"/>
      <c r="G1763" s="30"/>
      <c r="H1763" s="30"/>
    </row>
    <row r="1764" spans="1:8" x14ac:dyDescent="0.2">
      <c r="A1764" s="30"/>
      <c r="B1764" s="66"/>
      <c r="C1764" s="30"/>
      <c r="D1764" s="48"/>
      <c r="E1764" s="169"/>
      <c r="F1764" s="170"/>
      <c r="G1764" s="30"/>
      <c r="H1764" s="30"/>
    </row>
    <row r="1765" spans="1:8" x14ac:dyDescent="0.2">
      <c r="A1765" s="30"/>
      <c r="B1765" s="66"/>
      <c r="C1765" s="30"/>
      <c r="D1765" s="48"/>
      <c r="E1765" s="169"/>
      <c r="F1765" s="170"/>
      <c r="G1765" s="30"/>
      <c r="H1765" s="30"/>
    </row>
    <row r="1766" spans="1:8" x14ac:dyDescent="0.2">
      <c r="A1766" s="30"/>
      <c r="B1766" s="66"/>
      <c r="C1766" s="30"/>
      <c r="D1766" s="48"/>
      <c r="E1766" s="169"/>
      <c r="F1766" s="170"/>
      <c r="G1766" s="30"/>
      <c r="H1766" s="30"/>
    </row>
    <row r="1767" spans="1:8" x14ac:dyDescent="0.2">
      <c r="A1767" s="30"/>
      <c r="B1767" s="66"/>
      <c r="C1767" s="30"/>
      <c r="D1767" s="48"/>
      <c r="E1767" s="169"/>
      <c r="F1767" s="170"/>
      <c r="G1767" s="30"/>
      <c r="H1767" s="30"/>
    </row>
    <row r="1768" spans="1:8" x14ac:dyDescent="0.2">
      <c r="A1768" s="30"/>
      <c r="B1768" s="66"/>
      <c r="C1768" s="30"/>
      <c r="D1768" s="48"/>
      <c r="E1768" s="169"/>
      <c r="F1768" s="170"/>
      <c r="G1768" s="30"/>
      <c r="H1768" s="30"/>
    </row>
    <row r="1769" spans="1:8" x14ac:dyDescent="0.2">
      <c r="A1769" s="30"/>
      <c r="B1769" s="66"/>
      <c r="C1769" s="30"/>
      <c r="D1769" s="48"/>
      <c r="E1769" s="169"/>
      <c r="F1769" s="170"/>
      <c r="G1769" s="30"/>
      <c r="H1769" s="30"/>
    </row>
    <row r="1770" spans="1:8" x14ac:dyDescent="0.2">
      <c r="A1770" s="30"/>
      <c r="B1770" s="66"/>
      <c r="C1770" s="30"/>
      <c r="D1770" s="48"/>
      <c r="E1770" s="169"/>
      <c r="F1770" s="170"/>
      <c r="G1770" s="30"/>
      <c r="H1770" s="30"/>
    </row>
    <row r="1771" spans="1:8" x14ac:dyDescent="0.2">
      <c r="A1771" s="30"/>
      <c r="B1771" s="66"/>
      <c r="C1771" s="30"/>
      <c r="D1771" s="48"/>
      <c r="E1771" s="169"/>
      <c r="F1771" s="170"/>
      <c r="G1771" s="30"/>
      <c r="H1771" s="30"/>
    </row>
    <row r="1772" spans="1:8" x14ac:dyDescent="0.2">
      <c r="A1772" s="30"/>
      <c r="B1772" s="66"/>
      <c r="C1772" s="30"/>
      <c r="D1772" s="48"/>
      <c r="E1772" s="169"/>
      <c r="F1772" s="170"/>
      <c r="G1772" s="30"/>
      <c r="H1772" s="30"/>
    </row>
    <row r="1773" spans="1:8" x14ac:dyDescent="0.2">
      <c r="A1773" s="30"/>
      <c r="B1773" s="66"/>
      <c r="C1773" s="30"/>
      <c r="D1773" s="48"/>
      <c r="E1773" s="169"/>
      <c r="F1773" s="170"/>
      <c r="G1773" s="30"/>
      <c r="H1773" s="30"/>
    </row>
    <row r="1774" spans="1:8" x14ac:dyDescent="0.2">
      <c r="A1774" s="30"/>
      <c r="B1774" s="66"/>
      <c r="C1774" s="30"/>
      <c r="D1774" s="48"/>
      <c r="E1774" s="169"/>
      <c r="F1774" s="170"/>
      <c r="G1774" s="30"/>
      <c r="H1774" s="30"/>
    </row>
    <row r="1775" spans="1:8" x14ac:dyDescent="0.2">
      <c r="A1775" s="30"/>
      <c r="B1775" s="66"/>
      <c r="C1775" s="30"/>
      <c r="D1775" s="48"/>
      <c r="E1775" s="169"/>
      <c r="F1775" s="170"/>
      <c r="G1775" s="30"/>
      <c r="H1775" s="30"/>
    </row>
    <row r="1776" spans="1:8" x14ac:dyDescent="0.2">
      <c r="A1776" s="30"/>
      <c r="B1776" s="66"/>
      <c r="C1776" s="30"/>
      <c r="D1776" s="48"/>
      <c r="E1776" s="169"/>
      <c r="F1776" s="170"/>
      <c r="G1776" s="30"/>
      <c r="H1776" s="30"/>
    </row>
    <row r="1777" spans="1:8" x14ac:dyDescent="0.2">
      <c r="A1777" s="30"/>
      <c r="B1777" s="66"/>
      <c r="C1777" s="30"/>
      <c r="D1777" s="48"/>
      <c r="E1777" s="169"/>
      <c r="F1777" s="170"/>
      <c r="G1777" s="30"/>
      <c r="H1777" s="30"/>
    </row>
    <row r="1778" spans="1:8" x14ac:dyDescent="0.2">
      <c r="A1778" s="30"/>
      <c r="B1778" s="66"/>
      <c r="C1778" s="30"/>
      <c r="D1778" s="48"/>
      <c r="E1778" s="169"/>
      <c r="F1778" s="170"/>
      <c r="G1778" s="30"/>
      <c r="H1778" s="30"/>
    </row>
    <row r="1779" spans="1:8" x14ac:dyDescent="0.2">
      <c r="A1779" s="30"/>
      <c r="B1779" s="66"/>
      <c r="C1779" s="30"/>
      <c r="D1779" s="48"/>
      <c r="E1779" s="169"/>
      <c r="F1779" s="170"/>
      <c r="G1779" s="30"/>
      <c r="H1779" s="30"/>
    </row>
    <row r="1780" spans="1:8" x14ac:dyDescent="0.2">
      <c r="A1780" s="30"/>
      <c r="B1780" s="66"/>
      <c r="C1780" s="30"/>
      <c r="D1780" s="48"/>
      <c r="E1780" s="169"/>
      <c r="F1780" s="170"/>
      <c r="G1780" s="30"/>
      <c r="H1780" s="30"/>
    </row>
    <row r="1781" spans="1:8" x14ac:dyDescent="0.2">
      <c r="A1781" s="30"/>
      <c r="B1781" s="66"/>
      <c r="C1781" s="30"/>
      <c r="D1781" s="48"/>
      <c r="E1781" s="169"/>
      <c r="F1781" s="170"/>
      <c r="G1781" s="30"/>
      <c r="H1781" s="30"/>
    </row>
    <row r="1782" spans="1:8" x14ac:dyDescent="0.2">
      <c r="A1782" s="30"/>
      <c r="B1782" s="66"/>
      <c r="C1782" s="30"/>
      <c r="D1782" s="48"/>
      <c r="E1782" s="169"/>
      <c r="F1782" s="170"/>
      <c r="G1782" s="30"/>
      <c r="H1782" s="30"/>
    </row>
    <row r="1783" spans="1:8" x14ac:dyDescent="0.2">
      <c r="A1783" s="30"/>
      <c r="B1783" s="66"/>
      <c r="C1783" s="30"/>
      <c r="D1783" s="48"/>
      <c r="E1783" s="169"/>
      <c r="F1783" s="170"/>
      <c r="G1783" s="30"/>
      <c r="H1783" s="30"/>
    </row>
    <row r="1784" spans="1:8" x14ac:dyDescent="0.2">
      <c r="A1784" s="30"/>
      <c r="B1784" s="66"/>
      <c r="C1784" s="30"/>
      <c r="D1784" s="48"/>
      <c r="E1784" s="169"/>
      <c r="F1784" s="170"/>
      <c r="G1784" s="30"/>
      <c r="H1784" s="30"/>
    </row>
    <row r="1785" spans="1:8" x14ac:dyDescent="0.2">
      <c r="A1785" s="30"/>
      <c r="B1785" s="66"/>
      <c r="C1785" s="30"/>
      <c r="D1785" s="48"/>
      <c r="E1785" s="169"/>
      <c r="F1785" s="170"/>
      <c r="G1785" s="30"/>
      <c r="H1785" s="30"/>
    </row>
    <row r="1786" spans="1:8" x14ac:dyDescent="0.2">
      <c r="A1786" s="30"/>
      <c r="B1786" s="66"/>
      <c r="C1786" s="30"/>
      <c r="D1786" s="48"/>
      <c r="E1786" s="169"/>
      <c r="F1786" s="170"/>
      <c r="G1786" s="30"/>
      <c r="H1786" s="30"/>
    </row>
    <row r="1787" spans="1:8" x14ac:dyDescent="0.2">
      <c r="A1787" s="30"/>
      <c r="B1787" s="66"/>
      <c r="C1787" s="30"/>
      <c r="D1787" s="48"/>
      <c r="E1787" s="169"/>
      <c r="F1787" s="170"/>
      <c r="G1787" s="30"/>
      <c r="H1787" s="30"/>
    </row>
    <row r="1788" spans="1:8" x14ac:dyDescent="0.2">
      <c r="A1788" s="30"/>
      <c r="B1788" s="66"/>
      <c r="C1788" s="30"/>
      <c r="D1788" s="48"/>
      <c r="E1788" s="169"/>
      <c r="F1788" s="170"/>
      <c r="G1788" s="30"/>
      <c r="H1788" s="30"/>
    </row>
    <row r="1789" spans="1:8" x14ac:dyDescent="0.2">
      <c r="A1789" s="30"/>
      <c r="B1789" s="66"/>
      <c r="C1789" s="30"/>
      <c r="D1789" s="48"/>
      <c r="E1789" s="169"/>
      <c r="F1789" s="170"/>
      <c r="G1789" s="30"/>
      <c r="H1789" s="30"/>
    </row>
    <row r="1790" spans="1:8" x14ac:dyDescent="0.2">
      <c r="A1790" s="30"/>
      <c r="B1790" s="66"/>
      <c r="C1790" s="30"/>
      <c r="D1790" s="48"/>
      <c r="E1790" s="169"/>
      <c r="F1790" s="170"/>
      <c r="G1790" s="30"/>
      <c r="H1790" s="30"/>
    </row>
    <row r="1791" spans="1:8" x14ac:dyDescent="0.2">
      <c r="A1791" s="30"/>
      <c r="B1791" s="66"/>
      <c r="C1791" s="30"/>
      <c r="D1791" s="48"/>
      <c r="E1791" s="169"/>
      <c r="F1791" s="170"/>
      <c r="G1791" s="30"/>
      <c r="H1791" s="30"/>
    </row>
    <row r="1792" spans="1:8" x14ac:dyDescent="0.2">
      <c r="A1792" s="30"/>
      <c r="B1792" s="66"/>
      <c r="C1792" s="30"/>
      <c r="D1792" s="48"/>
      <c r="E1792" s="169"/>
      <c r="F1792" s="170"/>
      <c r="G1792" s="30"/>
      <c r="H1792" s="30"/>
    </row>
    <row r="1793" spans="1:8" x14ac:dyDescent="0.2">
      <c r="A1793" s="30"/>
      <c r="B1793" s="66"/>
      <c r="C1793" s="30"/>
      <c r="D1793" s="48"/>
      <c r="E1793" s="169"/>
      <c r="F1793" s="170"/>
      <c r="G1793" s="30"/>
      <c r="H1793" s="30"/>
    </row>
    <row r="1794" spans="1:8" x14ac:dyDescent="0.2">
      <c r="A1794" s="30"/>
      <c r="B1794" s="66"/>
      <c r="C1794" s="30"/>
      <c r="D1794" s="48"/>
      <c r="E1794" s="169"/>
      <c r="F1794" s="170"/>
      <c r="G1794" s="30"/>
      <c r="H1794" s="30"/>
    </row>
    <row r="1795" spans="1:8" x14ac:dyDescent="0.2">
      <c r="A1795" s="30"/>
      <c r="B1795" s="66"/>
      <c r="C1795" s="30"/>
      <c r="D1795" s="48"/>
      <c r="E1795" s="169"/>
      <c r="F1795" s="170"/>
      <c r="G1795" s="30"/>
      <c r="H1795" s="30"/>
    </row>
    <row r="1796" spans="1:8" x14ac:dyDescent="0.2">
      <c r="A1796" s="30"/>
      <c r="B1796" s="66"/>
      <c r="C1796" s="30"/>
      <c r="D1796" s="48"/>
      <c r="E1796" s="169"/>
      <c r="F1796" s="170"/>
      <c r="G1796" s="30"/>
      <c r="H1796" s="30"/>
    </row>
    <row r="1797" spans="1:8" x14ac:dyDescent="0.2">
      <c r="A1797" s="30"/>
      <c r="B1797" s="66"/>
      <c r="C1797" s="30"/>
      <c r="D1797" s="48"/>
      <c r="E1797" s="169"/>
      <c r="F1797" s="170"/>
      <c r="G1797" s="30"/>
      <c r="H1797" s="30"/>
    </row>
    <row r="1798" spans="1:8" x14ac:dyDescent="0.2">
      <c r="A1798" s="30"/>
      <c r="B1798" s="66"/>
      <c r="C1798" s="30"/>
      <c r="D1798" s="48"/>
      <c r="E1798" s="169"/>
      <c r="F1798" s="170"/>
      <c r="G1798" s="30"/>
      <c r="H1798" s="30"/>
    </row>
    <row r="1799" spans="1:8" x14ac:dyDescent="0.2">
      <c r="A1799" s="30"/>
      <c r="B1799" s="66"/>
      <c r="C1799" s="30"/>
      <c r="D1799" s="48"/>
      <c r="E1799" s="169"/>
      <c r="F1799" s="170"/>
      <c r="G1799" s="30"/>
      <c r="H1799" s="30"/>
    </row>
    <row r="1800" spans="1:8" x14ac:dyDescent="0.2">
      <c r="A1800" s="30"/>
      <c r="B1800" s="66"/>
      <c r="C1800" s="30"/>
      <c r="D1800" s="48"/>
      <c r="E1800" s="169"/>
      <c r="F1800" s="170"/>
      <c r="G1800" s="30"/>
      <c r="H1800" s="30"/>
    </row>
    <row r="1801" spans="1:8" x14ac:dyDescent="0.2">
      <c r="A1801" s="30"/>
      <c r="B1801" s="66"/>
      <c r="C1801" s="30"/>
      <c r="D1801" s="48"/>
      <c r="E1801" s="169"/>
      <c r="F1801" s="170"/>
      <c r="G1801" s="30"/>
      <c r="H1801" s="30"/>
    </row>
    <row r="1802" spans="1:8" x14ac:dyDescent="0.2">
      <c r="A1802" s="30"/>
      <c r="B1802" s="66"/>
      <c r="C1802" s="30"/>
      <c r="D1802" s="48"/>
      <c r="E1802" s="169"/>
      <c r="F1802" s="170"/>
      <c r="G1802" s="30"/>
      <c r="H1802" s="30"/>
    </row>
    <row r="1803" spans="1:8" x14ac:dyDescent="0.2">
      <c r="A1803" s="30"/>
      <c r="B1803" s="66"/>
      <c r="C1803" s="30"/>
      <c r="D1803" s="48"/>
      <c r="E1803" s="169"/>
      <c r="F1803" s="170"/>
      <c r="G1803" s="30"/>
      <c r="H1803" s="30"/>
    </row>
    <row r="1804" spans="1:8" x14ac:dyDescent="0.2">
      <c r="A1804" s="30"/>
      <c r="B1804" s="66"/>
      <c r="C1804" s="30"/>
      <c r="D1804" s="48"/>
      <c r="E1804" s="169"/>
      <c r="F1804" s="170"/>
      <c r="G1804" s="30"/>
      <c r="H1804" s="30"/>
    </row>
    <row r="1805" spans="1:8" x14ac:dyDescent="0.2">
      <c r="A1805" s="30"/>
      <c r="B1805" s="66"/>
      <c r="C1805" s="30"/>
      <c r="D1805" s="48"/>
      <c r="E1805" s="169"/>
      <c r="F1805" s="170"/>
      <c r="G1805" s="30"/>
      <c r="H1805" s="30"/>
    </row>
    <row r="1806" spans="1:8" x14ac:dyDescent="0.2">
      <c r="A1806" s="30"/>
      <c r="B1806" s="66"/>
      <c r="C1806" s="30"/>
      <c r="D1806" s="48"/>
      <c r="E1806" s="169"/>
      <c r="F1806" s="170"/>
      <c r="G1806" s="30"/>
      <c r="H1806" s="30"/>
    </row>
    <row r="1807" spans="1:8" x14ac:dyDescent="0.2">
      <c r="A1807" s="30"/>
      <c r="B1807" s="66"/>
      <c r="C1807" s="30"/>
      <c r="D1807" s="48"/>
      <c r="E1807" s="169"/>
      <c r="F1807" s="170"/>
      <c r="G1807" s="30"/>
      <c r="H1807" s="30"/>
    </row>
    <row r="1808" spans="1:8" x14ac:dyDescent="0.2">
      <c r="A1808" s="30"/>
      <c r="B1808" s="66"/>
      <c r="C1808" s="30"/>
      <c r="D1808" s="48"/>
      <c r="E1808" s="169"/>
      <c r="F1808" s="170"/>
      <c r="G1808" s="30"/>
      <c r="H1808" s="30"/>
    </row>
    <row r="1809" spans="1:8" x14ac:dyDescent="0.2">
      <c r="A1809" s="30"/>
      <c r="B1809" s="66"/>
      <c r="C1809" s="30"/>
      <c r="D1809" s="48"/>
      <c r="E1809" s="169"/>
      <c r="F1809" s="170"/>
      <c r="G1809" s="30"/>
      <c r="H1809" s="30"/>
    </row>
    <row r="1810" spans="1:8" x14ac:dyDescent="0.2">
      <c r="A1810" s="30"/>
      <c r="B1810" s="66"/>
      <c r="C1810" s="30"/>
      <c r="D1810" s="48"/>
      <c r="E1810" s="169"/>
      <c r="F1810" s="170"/>
      <c r="G1810" s="30"/>
      <c r="H1810" s="30"/>
    </row>
    <row r="1811" spans="1:8" x14ac:dyDescent="0.2">
      <c r="A1811" s="30"/>
      <c r="B1811" s="66"/>
      <c r="C1811" s="30"/>
      <c r="D1811" s="48"/>
      <c r="E1811" s="169"/>
      <c r="F1811" s="170"/>
      <c r="G1811" s="30"/>
      <c r="H1811" s="30"/>
    </row>
    <row r="1812" spans="1:8" x14ac:dyDescent="0.2">
      <c r="A1812" s="30"/>
      <c r="B1812" s="66"/>
      <c r="C1812" s="30"/>
      <c r="D1812" s="48"/>
      <c r="E1812" s="169"/>
      <c r="F1812" s="170"/>
      <c r="G1812" s="30"/>
      <c r="H1812" s="30"/>
    </row>
    <row r="1813" spans="1:8" x14ac:dyDescent="0.2">
      <c r="A1813" s="30"/>
      <c r="B1813" s="66"/>
      <c r="C1813" s="30"/>
      <c r="D1813" s="48"/>
      <c r="E1813" s="169"/>
      <c r="F1813" s="170"/>
      <c r="G1813" s="30"/>
      <c r="H1813" s="30"/>
    </row>
    <row r="1814" spans="1:8" x14ac:dyDescent="0.2">
      <c r="A1814" s="30"/>
      <c r="B1814" s="66"/>
      <c r="C1814" s="30"/>
      <c r="D1814" s="48"/>
      <c r="E1814" s="169"/>
      <c r="F1814" s="170"/>
      <c r="G1814" s="30"/>
      <c r="H1814" s="30"/>
    </row>
    <row r="1815" spans="1:8" x14ac:dyDescent="0.2">
      <c r="A1815" s="30"/>
      <c r="B1815" s="66"/>
      <c r="C1815" s="30"/>
      <c r="D1815" s="48"/>
      <c r="E1815" s="169"/>
      <c r="F1815" s="170"/>
      <c r="G1815" s="30"/>
      <c r="H1815" s="30"/>
    </row>
    <row r="1816" spans="1:8" x14ac:dyDescent="0.2">
      <c r="A1816" s="30"/>
      <c r="B1816" s="66"/>
      <c r="C1816" s="30"/>
      <c r="D1816" s="48"/>
      <c r="E1816" s="169"/>
      <c r="F1816" s="170"/>
      <c r="G1816" s="30"/>
      <c r="H1816" s="30"/>
    </row>
    <row r="1817" spans="1:8" x14ac:dyDescent="0.2">
      <c r="A1817" s="30"/>
      <c r="B1817" s="66"/>
      <c r="C1817" s="30"/>
      <c r="D1817" s="48"/>
      <c r="E1817" s="169"/>
      <c r="F1817" s="170"/>
      <c r="G1817" s="30"/>
      <c r="H1817" s="30"/>
    </row>
    <row r="1818" spans="1:8" x14ac:dyDescent="0.2">
      <c r="A1818" s="30"/>
      <c r="B1818" s="66"/>
      <c r="C1818" s="30"/>
      <c r="D1818" s="48"/>
      <c r="E1818" s="169"/>
      <c r="F1818" s="170"/>
      <c r="G1818" s="30"/>
      <c r="H1818" s="30"/>
    </row>
    <row r="1819" spans="1:8" x14ac:dyDescent="0.2">
      <c r="A1819" s="30"/>
      <c r="B1819" s="66"/>
      <c r="C1819" s="30"/>
      <c r="D1819" s="48"/>
      <c r="E1819" s="169"/>
      <c r="F1819" s="170"/>
      <c r="G1819" s="30"/>
      <c r="H1819" s="30"/>
    </row>
    <row r="1820" spans="1:8" x14ac:dyDescent="0.2">
      <c r="A1820" s="30"/>
      <c r="B1820" s="66"/>
      <c r="C1820" s="30"/>
      <c r="D1820" s="48"/>
      <c r="E1820" s="169"/>
      <c r="F1820" s="170"/>
      <c r="G1820" s="30"/>
      <c r="H1820" s="30"/>
    </row>
    <row r="1821" spans="1:8" x14ac:dyDescent="0.2">
      <c r="A1821" s="30"/>
      <c r="B1821" s="66"/>
      <c r="C1821" s="30"/>
      <c r="D1821" s="48"/>
      <c r="E1821" s="169"/>
      <c r="F1821" s="170"/>
      <c r="G1821" s="30"/>
      <c r="H1821" s="30"/>
    </row>
    <row r="1822" spans="1:8" x14ac:dyDescent="0.2">
      <c r="A1822" s="30"/>
      <c r="B1822" s="66"/>
      <c r="C1822" s="30"/>
      <c r="D1822" s="48"/>
      <c r="E1822" s="169"/>
      <c r="F1822" s="170"/>
      <c r="G1822" s="30"/>
      <c r="H1822" s="30"/>
    </row>
    <row r="1823" spans="1:8" x14ac:dyDescent="0.2">
      <c r="A1823" s="30"/>
      <c r="B1823" s="66"/>
      <c r="C1823" s="30"/>
      <c r="D1823" s="48"/>
      <c r="E1823" s="169"/>
      <c r="F1823" s="170"/>
      <c r="G1823" s="30"/>
      <c r="H1823" s="30"/>
    </row>
    <row r="1824" spans="1:8" x14ac:dyDescent="0.2">
      <c r="A1824" s="30"/>
      <c r="B1824" s="66"/>
      <c r="C1824" s="30"/>
      <c r="D1824" s="48"/>
      <c r="E1824" s="169"/>
      <c r="F1824" s="170"/>
      <c r="G1824" s="30"/>
      <c r="H1824" s="30"/>
    </row>
    <row r="1825" spans="1:8" x14ac:dyDescent="0.2">
      <c r="A1825" s="30"/>
      <c r="B1825" s="66"/>
      <c r="C1825" s="30"/>
      <c r="D1825" s="48"/>
      <c r="E1825" s="169"/>
      <c r="F1825" s="170"/>
      <c r="G1825" s="30"/>
      <c r="H1825" s="30"/>
    </row>
    <row r="1826" spans="1:8" x14ac:dyDescent="0.2">
      <c r="A1826" s="30"/>
      <c r="B1826" s="66"/>
      <c r="C1826" s="30"/>
      <c r="D1826" s="48"/>
      <c r="E1826" s="169"/>
      <c r="F1826" s="170"/>
      <c r="G1826" s="30"/>
      <c r="H1826" s="30"/>
    </row>
    <row r="1827" spans="1:8" x14ac:dyDescent="0.2">
      <c r="A1827" s="30"/>
      <c r="B1827" s="66"/>
      <c r="C1827" s="30"/>
      <c r="D1827" s="48"/>
      <c r="E1827" s="169"/>
      <c r="F1827" s="170"/>
      <c r="G1827" s="30"/>
      <c r="H1827" s="30"/>
    </row>
    <row r="1828" spans="1:8" x14ac:dyDescent="0.2">
      <c r="A1828" s="30"/>
      <c r="B1828" s="66"/>
      <c r="C1828" s="30"/>
      <c r="D1828" s="48"/>
      <c r="E1828" s="169"/>
      <c r="F1828" s="170"/>
      <c r="G1828" s="30"/>
      <c r="H1828" s="30"/>
    </row>
    <row r="1829" spans="1:8" x14ac:dyDescent="0.2">
      <c r="A1829" s="30"/>
      <c r="B1829" s="66"/>
      <c r="C1829" s="30"/>
      <c r="D1829" s="48"/>
      <c r="E1829" s="169"/>
      <c r="F1829" s="170"/>
      <c r="G1829" s="30"/>
      <c r="H1829" s="30"/>
    </row>
    <row r="1830" spans="1:8" x14ac:dyDescent="0.2">
      <c r="A1830" s="30"/>
      <c r="B1830" s="66"/>
      <c r="C1830" s="30"/>
      <c r="D1830" s="48"/>
      <c r="E1830" s="169"/>
      <c r="F1830" s="170"/>
      <c r="G1830" s="30"/>
      <c r="H1830" s="30"/>
    </row>
    <row r="1831" spans="1:8" x14ac:dyDescent="0.2">
      <c r="A1831" s="30"/>
      <c r="B1831" s="66"/>
      <c r="C1831" s="30"/>
      <c r="D1831" s="48"/>
      <c r="E1831" s="169"/>
      <c r="F1831" s="170"/>
      <c r="G1831" s="30"/>
      <c r="H1831" s="30"/>
    </row>
    <row r="1832" spans="1:8" x14ac:dyDescent="0.2">
      <c r="A1832" s="30"/>
      <c r="B1832" s="66"/>
      <c r="C1832" s="30"/>
      <c r="D1832" s="48"/>
      <c r="E1832" s="169"/>
      <c r="F1832" s="170"/>
      <c r="G1832" s="30"/>
      <c r="H1832" s="30"/>
    </row>
    <row r="1833" spans="1:8" x14ac:dyDescent="0.2">
      <c r="A1833" s="30"/>
      <c r="B1833" s="66"/>
      <c r="C1833" s="30"/>
      <c r="D1833" s="48"/>
      <c r="E1833" s="169"/>
      <c r="F1833" s="170"/>
      <c r="G1833" s="30"/>
      <c r="H1833" s="30"/>
    </row>
    <row r="1834" spans="1:8" x14ac:dyDescent="0.2">
      <c r="A1834" s="30"/>
      <c r="B1834" s="66"/>
      <c r="C1834" s="30"/>
      <c r="D1834" s="48"/>
      <c r="E1834" s="169"/>
      <c r="F1834" s="170"/>
      <c r="G1834" s="30"/>
      <c r="H1834" s="30"/>
    </row>
    <row r="1835" spans="1:8" x14ac:dyDescent="0.2">
      <c r="A1835" s="30"/>
      <c r="B1835" s="66"/>
      <c r="C1835" s="30"/>
      <c r="D1835" s="48"/>
      <c r="E1835" s="169"/>
      <c r="F1835" s="170"/>
      <c r="G1835" s="30"/>
      <c r="H1835" s="30"/>
    </row>
    <row r="1836" spans="1:8" x14ac:dyDescent="0.2">
      <c r="A1836" s="30"/>
      <c r="B1836" s="66"/>
      <c r="C1836" s="30"/>
      <c r="D1836" s="48"/>
      <c r="E1836" s="169"/>
      <c r="F1836" s="170"/>
      <c r="G1836" s="30"/>
      <c r="H1836" s="30"/>
    </row>
    <row r="1837" spans="1:8" x14ac:dyDescent="0.2">
      <c r="A1837" s="30"/>
      <c r="B1837" s="66"/>
      <c r="C1837" s="30"/>
      <c r="D1837" s="48"/>
      <c r="E1837" s="169"/>
      <c r="F1837" s="170"/>
      <c r="G1837" s="30"/>
      <c r="H1837" s="30"/>
    </row>
    <row r="1838" spans="1:8" x14ac:dyDescent="0.2">
      <c r="A1838" s="30"/>
      <c r="B1838" s="66"/>
      <c r="C1838" s="30"/>
      <c r="D1838" s="48"/>
      <c r="E1838" s="169"/>
      <c r="F1838" s="170"/>
      <c r="G1838" s="30"/>
      <c r="H1838" s="30"/>
    </row>
    <row r="1839" spans="1:8" x14ac:dyDescent="0.2">
      <c r="A1839" s="30"/>
      <c r="B1839" s="66"/>
      <c r="C1839" s="30"/>
      <c r="D1839" s="48"/>
      <c r="E1839" s="169"/>
      <c r="F1839" s="170"/>
      <c r="G1839" s="30"/>
      <c r="H1839" s="30"/>
    </row>
    <row r="1840" spans="1:8" x14ac:dyDescent="0.2">
      <c r="A1840" s="30"/>
      <c r="B1840" s="66"/>
      <c r="C1840" s="30"/>
      <c r="D1840" s="48"/>
      <c r="E1840" s="169"/>
      <c r="F1840" s="170"/>
      <c r="G1840" s="30"/>
      <c r="H1840" s="30"/>
    </row>
    <row r="1841" spans="1:8" x14ac:dyDescent="0.2">
      <c r="A1841" s="30"/>
      <c r="B1841" s="66"/>
      <c r="C1841" s="30"/>
      <c r="D1841" s="48"/>
      <c r="E1841" s="169"/>
      <c r="F1841" s="170"/>
      <c r="G1841" s="30"/>
      <c r="H1841" s="30"/>
    </row>
    <row r="1842" spans="1:8" x14ac:dyDescent="0.2">
      <c r="A1842" s="30"/>
      <c r="B1842" s="66"/>
      <c r="C1842" s="30"/>
      <c r="D1842" s="48"/>
      <c r="E1842" s="169"/>
      <c r="F1842" s="170"/>
      <c r="G1842" s="30"/>
      <c r="H1842" s="30"/>
    </row>
    <row r="1843" spans="1:8" x14ac:dyDescent="0.2">
      <c r="A1843" s="30"/>
      <c r="B1843" s="66"/>
      <c r="C1843" s="30"/>
      <c r="D1843" s="48"/>
      <c r="E1843" s="169"/>
      <c r="F1843" s="170"/>
      <c r="G1843" s="30"/>
      <c r="H1843" s="30"/>
    </row>
    <row r="1844" spans="1:8" x14ac:dyDescent="0.2">
      <c r="A1844" s="30"/>
      <c r="B1844" s="66"/>
      <c r="C1844" s="30"/>
      <c r="D1844" s="48"/>
      <c r="E1844" s="169"/>
      <c r="F1844" s="170"/>
      <c r="G1844" s="30"/>
      <c r="H1844" s="30"/>
    </row>
    <row r="1845" spans="1:8" x14ac:dyDescent="0.2">
      <c r="A1845" s="30"/>
      <c r="B1845" s="66"/>
      <c r="C1845" s="30"/>
      <c r="D1845" s="48"/>
      <c r="E1845" s="169"/>
      <c r="F1845" s="170"/>
      <c r="G1845" s="30"/>
      <c r="H1845" s="30"/>
    </row>
    <row r="1846" spans="1:8" x14ac:dyDescent="0.2">
      <c r="A1846" s="30"/>
      <c r="B1846" s="66"/>
      <c r="C1846" s="30"/>
      <c r="D1846" s="48"/>
      <c r="E1846" s="169"/>
      <c r="F1846" s="170"/>
      <c r="G1846" s="30"/>
      <c r="H1846" s="30"/>
    </row>
    <row r="1847" spans="1:8" x14ac:dyDescent="0.2">
      <c r="A1847" s="30"/>
      <c r="B1847" s="66"/>
      <c r="C1847" s="30"/>
      <c r="D1847" s="48"/>
      <c r="E1847" s="169"/>
      <c r="F1847" s="170"/>
      <c r="G1847" s="30"/>
      <c r="H1847" s="30"/>
    </row>
    <row r="1848" spans="1:8" x14ac:dyDescent="0.2">
      <c r="A1848" s="30"/>
      <c r="B1848" s="66"/>
      <c r="C1848" s="30"/>
      <c r="D1848" s="48"/>
      <c r="E1848" s="169"/>
      <c r="F1848" s="170"/>
      <c r="G1848" s="30"/>
      <c r="H1848" s="30"/>
    </row>
    <row r="1849" spans="1:8" x14ac:dyDescent="0.2">
      <c r="A1849" s="30"/>
      <c r="B1849" s="66"/>
      <c r="C1849" s="30"/>
      <c r="D1849" s="48"/>
      <c r="E1849" s="169"/>
      <c r="F1849" s="170"/>
      <c r="G1849" s="30"/>
      <c r="H1849" s="30"/>
    </row>
    <row r="1850" spans="1:8" x14ac:dyDescent="0.2">
      <c r="A1850" s="30"/>
      <c r="B1850" s="66"/>
      <c r="C1850" s="30"/>
      <c r="D1850" s="48"/>
      <c r="E1850" s="169"/>
      <c r="F1850" s="170"/>
      <c r="G1850" s="30"/>
      <c r="H1850" s="30"/>
    </row>
    <row r="1851" spans="1:8" x14ac:dyDescent="0.2">
      <c r="A1851" s="30"/>
      <c r="B1851" s="66"/>
      <c r="C1851" s="30"/>
      <c r="D1851" s="48"/>
      <c r="E1851" s="169"/>
      <c r="F1851" s="170"/>
      <c r="G1851" s="30"/>
      <c r="H1851" s="30"/>
    </row>
    <row r="1852" spans="1:8" x14ac:dyDescent="0.2">
      <c r="A1852" s="30"/>
      <c r="B1852" s="66"/>
      <c r="C1852" s="30"/>
      <c r="D1852" s="48"/>
      <c r="E1852" s="169"/>
      <c r="F1852" s="170"/>
      <c r="G1852" s="30"/>
      <c r="H1852" s="30"/>
    </row>
    <row r="1853" spans="1:8" x14ac:dyDescent="0.2">
      <c r="A1853" s="30"/>
      <c r="B1853" s="66"/>
      <c r="C1853" s="30"/>
      <c r="D1853" s="48"/>
      <c r="E1853" s="169"/>
      <c r="F1853" s="170"/>
      <c r="G1853" s="30"/>
      <c r="H1853" s="30"/>
    </row>
    <row r="1854" spans="1:8" x14ac:dyDescent="0.2">
      <c r="A1854" s="30"/>
      <c r="B1854" s="66"/>
      <c r="C1854" s="30"/>
      <c r="D1854" s="48"/>
      <c r="E1854" s="169"/>
      <c r="F1854" s="170"/>
      <c r="G1854" s="30"/>
      <c r="H1854" s="30"/>
    </row>
    <row r="1855" spans="1:8" x14ac:dyDescent="0.2">
      <c r="A1855" s="30"/>
      <c r="B1855" s="66"/>
      <c r="C1855" s="30"/>
      <c r="D1855" s="48"/>
      <c r="E1855" s="169"/>
      <c r="F1855" s="170"/>
      <c r="G1855" s="30"/>
      <c r="H1855" s="30"/>
    </row>
    <row r="1856" spans="1:8" x14ac:dyDescent="0.2">
      <c r="A1856" s="30"/>
      <c r="B1856" s="66"/>
      <c r="C1856" s="30"/>
      <c r="D1856" s="48"/>
      <c r="E1856" s="169"/>
      <c r="F1856" s="170"/>
      <c r="G1856" s="30"/>
      <c r="H1856" s="30"/>
    </row>
    <row r="1857" spans="1:8" x14ac:dyDescent="0.2">
      <c r="A1857" s="30"/>
      <c r="B1857" s="66"/>
      <c r="C1857" s="30"/>
      <c r="D1857" s="48"/>
      <c r="E1857" s="169"/>
      <c r="F1857" s="170"/>
      <c r="G1857" s="30"/>
      <c r="H1857" s="30"/>
    </row>
    <row r="1858" spans="1:8" x14ac:dyDescent="0.2">
      <c r="A1858" s="30"/>
      <c r="B1858" s="66"/>
      <c r="C1858" s="30"/>
      <c r="D1858" s="48"/>
      <c r="E1858" s="169"/>
      <c r="F1858" s="170"/>
      <c r="G1858" s="30"/>
      <c r="H1858" s="30"/>
    </row>
    <row r="1859" spans="1:8" x14ac:dyDescent="0.2">
      <c r="A1859" s="30"/>
      <c r="B1859" s="66"/>
      <c r="C1859" s="30"/>
      <c r="D1859" s="48"/>
      <c r="E1859" s="169"/>
      <c r="F1859" s="170"/>
      <c r="G1859" s="30"/>
      <c r="H1859" s="30"/>
    </row>
    <row r="1860" spans="1:8" x14ac:dyDescent="0.2">
      <c r="A1860" s="30"/>
      <c r="B1860" s="66"/>
      <c r="C1860" s="30"/>
      <c r="D1860" s="48"/>
      <c r="E1860" s="169"/>
      <c r="F1860" s="170"/>
      <c r="G1860" s="30"/>
      <c r="H1860" s="30"/>
    </row>
    <row r="1861" spans="1:8" x14ac:dyDescent="0.2">
      <c r="A1861" s="30"/>
      <c r="B1861" s="66"/>
      <c r="C1861" s="30"/>
      <c r="D1861" s="48"/>
      <c r="E1861" s="169"/>
      <c r="F1861" s="170"/>
      <c r="G1861" s="30"/>
      <c r="H1861" s="30"/>
    </row>
    <row r="1862" spans="1:8" x14ac:dyDescent="0.2">
      <c r="A1862" s="30"/>
      <c r="B1862" s="66"/>
      <c r="C1862" s="30"/>
      <c r="D1862" s="48"/>
      <c r="E1862" s="169"/>
      <c r="F1862" s="170"/>
      <c r="G1862" s="30"/>
      <c r="H1862" s="30"/>
    </row>
    <row r="1863" spans="1:8" x14ac:dyDescent="0.2">
      <c r="A1863" s="30"/>
      <c r="B1863" s="66"/>
      <c r="C1863" s="30"/>
      <c r="D1863" s="48"/>
      <c r="E1863" s="169"/>
      <c r="F1863" s="170"/>
      <c r="G1863" s="30"/>
      <c r="H1863" s="30"/>
    </row>
    <row r="1864" spans="1:8" x14ac:dyDescent="0.2">
      <c r="A1864" s="30"/>
      <c r="B1864" s="66"/>
      <c r="C1864" s="30"/>
      <c r="D1864" s="48"/>
      <c r="E1864" s="169"/>
      <c r="F1864" s="170"/>
      <c r="G1864" s="30"/>
      <c r="H1864" s="30"/>
    </row>
    <row r="1865" spans="1:8" x14ac:dyDescent="0.2">
      <c r="A1865" s="30"/>
      <c r="B1865" s="66"/>
      <c r="C1865" s="30"/>
      <c r="D1865" s="48"/>
      <c r="E1865" s="169"/>
      <c r="F1865" s="170"/>
      <c r="G1865" s="30"/>
      <c r="H1865" s="30"/>
    </row>
    <row r="1866" spans="1:8" x14ac:dyDescent="0.2">
      <c r="A1866" s="30"/>
      <c r="B1866" s="66"/>
      <c r="C1866" s="30"/>
      <c r="D1866" s="48"/>
      <c r="E1866" s="169"/>
      <c r="F1866" s="170"/>
      <c r="G1866" s="30"/>
      <c r="H1866" s="30"/>
    </row>
    <row r="1867" spans="1:8" x14ac:dyDescent="0.2">
      <c r="A1867" s="30"/>
      <c r="B1867" s="66"/>
      <c r="C1867" s="30"/>
      <c r="D1867" s="48"/>
      <c r="E1867" s="169"/>
      <c r="F1867" s="170"/>
      <c r="G1867" s="30"/>
      <c r="H1867" s="30"/>
    </row>
    <row r="1868" spans="1:8" x14ac:dyDescent="0.2">
      <c r="A1868" s="30"/>
      <c r="B1868" s="66"/>
      <c r="C1868" s="30"/>
      <c r="D1868" s="48"/>
      <c r="E1868" s="169"/>
      <c r="F1868" s="170"/>
      <c r="G1868" s="30"/>
      <c r="H1868" s="30"/>
    </row>
    <row r="1869" spans="1:8" x14ac:dyDescent="0.2">
      <c r="A1869" s="30"/>
      <c r="B1869" s="66"/>
      <c r="C1869" s="30"/>
      <c r="D1869" s="48"/>
      <c r="E1869" s="169"/>
      <c r="F1869" s="170"/>
      <c r="G1869" s="30"/>
      <c r="H1869" s="30"/>
    </row>
    <row r="1870" spans="1:8" x14ac:dyDescent="0.2">
      <c r="A1870" s="30"/>
      <c r="B1870" s="66"/>
      <c r="C1870" s="30"/>
      <c r="D1870" s="48"/>
      <c r="E1870" s="169"/>
      <c r="F1870" s="170"/>
      <c r="G1870" s="30"/>
      <c r="H1870" s="30"/>
    </row>
    <row r="1871" spans="1:8" x14ac:dyDescent="0.2">
      <c r="A1871" s="30"/>
      <c r="B1871" s="66"/>
      <c r="C1871" s="30"/>
      <c r="D1871" s="48"/>
      <c r="E1871" s="169"/>
      <c r="F1871" s="170"/>
      <c r="G1871" s="30"/>
      <c r="H1871" s="30"/>
    </row>
    <row r="1872" spans="1:8" x14ac:dyDescent="0.2">
      <c r="A1872" s="30"/>
      <c r="B1872" s="66"/>
      <c r="C1872" s="30"/>
      <c r="D1872" s="48"/>
      <c r="E1872" s="169"/>
      <c r="F1872" s="170"/>
      <c r="G1872" s="30"/>
      <c r="H1872" s="30"/>
    </row>
    <row r="1873" spans="1:8" x14ac:dyDescent="0.2">
      <c r="A1873" s="30"/>
      <c r="B1873" s="66"/>
      <c r="C1873" s="30"/>
      <c r="D1873" s="48"/>
      <c r="E1873" s="169"/>
      <c r="F1873" s="170"/>
      <c r="G1873" s="30"/>
      <c r="H1873" s="30"/>
    </row>
    <row r="1874" spans="1:8" x14ac:dyDescent="0.2">
      <c r="A1874" s="30"/>
      <c r="B1874" s="66"/>
      <c r="C1874" s="30"/>
      <c r="D1874" s="48"/>
      <c r="E1874" s="169"/>
      <c r="F1874" s="170"/>
      <c r="G1874" s="30"/>
      <c r="H1874" s="30"/>
    </row>
    <row r="1875" spans="1:8" x14ac:dyDescent="0.2">
      <c r="A1875" s="30"/>
      <c r="B1875" s="66"/>
      <c r="C1875" s="30"/>
      <c r="D1875" s="48"/>
      <c r="E1875" s="169"/>
      <c r="F1875" s="170"/>
      <c r="G1875" s="30"/>
      <c r="H1875" s="30"/>
    </row>
    <row r="1876" spans="1:8" x14ac:dyDescent="0.2">
      <c r="A1876" s="30"/>
      <c r="B1876" s="66"/>
      <c r="C1876" s="30"/>
      <c r="D1876" s="48"/>
      <c r="E1876" s="169"/>
      <c r="F1876" s="170"/>
      <c r="G1876" s="30"/>
      <c r="H1876" s="30"/>
    </row>
    <row r="1877" spans="1:8" x14ac:dyDescent="0.2">
      <c r="A1877" s="30"/>
      <c r="B1877" s="66"/>
      <c r="C1877" s="30"/>
      <c r="D1877" s="48"/>
      <c r="E1877" s="169"/>
      <c r="F1877" s="170"/>
      <c r="G1877" s="30"/>
      <c r="H1877" s="30"/>
    </row>
    <row r="1878" spans="1:8" x14ac:dyDescent="0.2">
      <c r="A1878" s="30"/>
      <c r="B1878" s="66"/>
      <c r="C1878" s="30"/>
      <c r="D1878" s="48"/>
      <c r="E1878" s="169"/>
      <c r="F1878" s="170"/>
      <c r="G1878" s="30"/>
      <c r="H1878" s="30"/>
    </row>
    <row r="1879" spans="1:8" x14ac:dyDescent="0.2">
      <c r="A1879" s="30"/>
      <c r="B1879" s="66"/>
      <c r="C1879" s="30"/>
      <c r="D1879" s="48"/>
      <c r="E1879" s="169"/>
      <c r="F1879" s="170"/>
      <c r="G1879" s="30"/>
      <c r="H1879" s="30"/>
    </row>
    <row r="1880" spans="1:8" x14ac:dyDescent="0.2">
      <c r="A1880" s="30"/>
      <c r="B1880" s="66"/>
      <c r="C1880" s="30"/>
      <c r="D1880" s="48"/>
      <c r="E1880" s="169"/>
      <c r="F1880" s="170"/>
      <c r="G1880" s="30"/>
      <c r="H1880" s="30"/>
    </row>
    <row r="1881" spans="1:8" x14ac:dyDescent="0.2">
      <c r="A1881" s="30"/>
      <c r="B1881" s="66"/>
      <c r="C1881" s="30"/>
      <c r="D1881" s="48"/>
      <c r="E1881" s="169"/>
      <c r="F1881" s="170"/>
      <c r="G1881" s="30"/>
      <c r="H1881" s="30"/>
    </row>
    <row r="1882" spans="1:8" x14ac:dyDescent="0.2">
      <c r="A1882" s="30"/>
      <c r="B1882" s="66"/>
      <c r="C1882" s="30"/>
      <c r="D1882" s="48"/>
      <c r="E1882" s="169"/>
      <c r="F1882" s="170"/>
      <c r="G1882" s="30"/>
      <c r="H1882" s="30"/>
    </row>
    <row r="1883" spans="1:8" x14ac:dyDescent="0.2">
      <c r="A1883" s="30"/>
      <c r="B1883" s="66"/>
      <c r="C1883" s="30"/>
      <c r="D1883" s="48"/>
      <c r="E1883" s="169"/>
      <c r="F1883" s="170"/>
      <c r="G1883" s="30"/>
      <c r="H1883" s="30"/>
    </row>
    <row r="1884" spans="1:8" x14ac:dyDescent="0.2">
      <c r="A1884" s="30"/>
      <c r="B1884" s="66"/>
      <c r="C1884" s="30"/>
      <c r="D1884" s="48"/>
      <c r="E1884" s="169"/>
      <c r="F1884" s="170"/>
      <c r="G1884" s="30"/>
      <c r="H1884" s="30"/>
    </row>
    <row r="1885" spans="1:8" x14ac:dyDescent="0.2">
      <c r="A1885" s="30"/>
      <c r="B1885" s="66"/>
      <c r="C1885" s="30"/>
      <c r="D1885" s="48"/>
      <c r="E1885" s="169"/>
      <c r="F1885" s="170"/>
      <c r="G1885" s="30"/>
      <c r="H1885" s="30"/>
    </row>
    <row r="1886" spans="1:8" x14ac:dyDescent="0.2">
      <c r="A1886" s="30"/>
      <c r="B1886" s="66"/>
      <c r="C1886" s="30"/>
      <c r="D1886" s="48"/>
      <c r="E1886" s="169"/>
      <c r="F1886" s="170"/>
      <c r="G1886" s="30"/>
      <c r="H1886" s="30"/>
    </row>
    <row r="1887" spans="1:8" x14ac:dyDescent="0.2">
      <c r="A1887" s="30"/>
      <c r="B1887" s="66"/>
      <c r="C1887" s="30"/>
      <c r="D1887" s="48"/>
      <c r="E1887" s="169"/>
      <c r="F1887" s="170"/>
      <c r="G1887" s="30"/>
      <c r="H1887" s="30"/>
    </row>
    <row r="1888" spans="1:8" x14ac:dyDescent="0.2">
      <c r="A1888" s="30"/>
      <c r="B1888" s="66"/>
      <c r="C1888" s="30"/>
      <c r="D1888" s="48"/>
      <c r="E1888" s="169"/>
      <c r="F1888" s="170"/>
      <c r="G1888" s="30"/>
      <c r="H1888" s="30"/>
    </row>
    <row r="1889" spans="1:8" x14ac:dyDescent="0.2">
      <c r="A1889" s="30"/>
      <c r="B1889" s="66"/>
      <c r="C1889" s="30"/>
      <c r="D1889" s="48"/>
      <c r="E1889" s="169"/>
      <c r="F1889" s="170"/>
      <c r="G1889" s="30"/>
      <c r="H1889" s="30"/>
    </row>
    <row r="1890" spans="1:8" x14ac:dyDescent="0.2">
      <c r="A1890" s="30"/>
      <c r="B1890" s="66"/>
      <c r="C1890" s="30"/>
      <c r="D1890" s="48"/>
      <c r="E1890" s="169"/>
      <c r="F1890" s="170"/>
      <c r="G1890" s="30"/>
      <c r="H1890" s="30"/>
    </row>
    <row r="1891" spans="1:8" x14ac:dyDescent="0.2">
      <c r="A1891" s="30"/>
      <c r="B1891" s="66"/>
      <c r="C1891" s="30"/>
      <c r="D1891" s="48"/>
      <c r="E1891" s="169"/>
      <c r="F1891" s="170"/>
      <c r="G1891" s="30"/>
      <c r="H1891" s="30"/>
    </row>
    <row r="1892" spans="1:8" x14ac:dyDescent="0.2">
      <c r="A1892" s="30"/>
      <c r="B1892" s="66"/>
      <c r="C1892" s="30"/>
      <c r="D1892" s="48"/>
      <c r="E1892" s="169"/>
      <c r="F1892" s="170"/>
      <c r="G1892" s="30"/>
      <c r="H1892" s="30"/>
    </row>
    <row r="1893" spans="1:8" x14ac:dyDescent="0.2">
      <c r="A1893" s="30"/>
      <c r="B1893" s="66"/>
      <c r="C1893" s="30"/>
      <c r="D1893" s="48"/>
      <c r="E1893" s="169"/>
      <c r="F1893" s="170"/>
      <c r="G1893" s="30"/>
      <c r="H1893" s="30"/>
    </row>
    <row r="1894" spans="1:8" x14ac:dyDescent="0.2">
      <c r="A1894" s="30"/>
      <c r="B1894" s="66"/>
      <c r="C1894" s="30"/>
      <c r="D1894" s="48"/>
      <c r="E1894" s="169"/>
      <c r="F1894" s="170"/>
      <c r="G1894" s="30"/>
      <c r="H1894" s="30"/>
    </row>
    <row r="1895" spans="1:8" x14ac:dyDescent="0.2">
      <c r="A1895" s="30"/>
      <c r="B1895" s="66"/>
      <c r="C1895" s="30"/>
      <c r="D1895" s="48"/>
      <c r="E1895" s="169"/>
      <c r="F1895" s="170"/>
      <c r="G1895" s="30"/>
      <c r="H1895" s="30"/>
    </row>
    <row r="1896" spans="1:8" x14ac:dyDescent="0.2">
      <c r="A1896" s="30"/>
      <c r="B1896" s="66"/>
      <c r="C1896" s="30"/>
      <c r="D1896" s="48"/>
      <c r="E1896" s="169"/>
      <c r="F1896" s="170"/>
      <c r="G1896" s="30"/>
      <c r="H1896" s="30"/>
    </row>
    <row r="1897" spans="1:8" x14ac:dyDescent="0.2">
      <c r="A1897" s="30"/>
      <c r="B1897" s="66"/>
      <c r="C1897" s="30"/>
      <c r="D1897" s="48"/>
      <c r="E1897" s="169"/>
      <c r="F1897" s="170"/>
      <c r="G1897" s="30"/>
      <c r="H1897" s="30"/>
    </row>
    <row r="1898" spans="1:8" x14ac:dyDescent="0.2">
      <c r="A1898" s="30"/>
      <c r="B1898" s="66"/>
      <c r="C1898" s="30"/>
      <c r="D1898" s="48"/>
      <c r="E1898" s="169"/>
      <c r="F1898" s="170"/>
      <c r="G1898" s="30"/>
      <c r="H1898" s="30"/>
    </row>
    <row r="1899" spans="1:8" x14ac:dyDescent="0.2">
      <c r="A1899" s="30"/>
      <c r="B1899" s="66"/>
      <c r="C1899" s="30"/>
      <c r="D1899" s="48"/>
      <c r="E1899" s="169"/>
      <c r="F1899" s="170"/>
      <c r="G1899" s="30"/>
      <c r="H1899" s="30"/>
    </row>
    <row r="1900" spans="1:8" x14ac:dyDescent="0.2">
      <c r="A1900" s="30"/>
      <c r="B1900" s="66"/>
      <c r="C1900" s="30"/>
      <c r="D1900" s="48"/>
      <c r="E1900" s="169"/>
      <c r="F1900" s="170"/>
      <c r="G1900" s="30"/>
      <c r="H1900" s="30"/>
    </row>
    <row r="1901" spans="1:8" x14ac:dyDescent="0.2">
      <c r="A1901" s="30"/>
      <c r="B1901" s="66"/>
      <c r="C1901" s="30"/>
      <c r="D1901" s="48"/>
      <c r="E1901" s="169"/>
      <c r="F1901" s="170"/>
      <c r="G1901" s="30"/>
      <c r="H1901" s="30"/>
    </row>
    <row r="1902" spans="1:8" x14ac:dyDescent="0.2">
      <c r="A1902" s="30"/>
      <c r="B1902" s="66"/>
      <c r="C1902" s="30"/>
      <c r="D1902" s="48"/>
      <c r="E1902" s="169"/>
      <c r="F1902" s="170"/>
      <c r="G1902" s="30"/>
      <c r="H1902" s="30"/>
    </row>
    <row r="1903" spans="1:8" x14ac:dyDescent="0.2">
      <c r="A1903" s="30"/>
      <c r="B1903" s="66"/>
      <c r="C1903" s="30"/>
      <c r="D1903" s="48"/>
      <c r="E1903" s="169"/>
      <c r="F1903" s="170"/>
      <c r="G1903" s="30"/>
      <c r="H1903" s="30"/>
    </row>
    <row r="1904" spans="1:8" x14ac:dyDescent="0.2">
      <c r="A1904" s="30"/>
      <c r="B1904" s="66"/>
      <c r="C1904" s="30"/>
      <c r="D1904" s="48"/>
      <c r="E1904" s="169"/>
      <c r="F1904" s="170"/>
      <c r="G1904" s="30"/>
      <c r="H1904" s="30"/>
    </row>
    <row r="1905" spans="1:8" x14ac:dyDescent="0.2">
      <c r="A1905" s="30"/>
      <c r="B1905" s="66"/>
      <c r="C1905" s="30"/>
      <c r="D1905" s="48"/>
      <c r="E1905" s="169"/>
      <c r="F1905" s="170"/>
      <c r="G1905" s="30"/>
      <c r="H1905" s="30"/>
    </row>
    <row r="1906" spans="1:8" x14ac:dyDescent="0.2">
      <c r="A1906" s="30"/>
      <c r="B1906" s="66"/>
      <c r="C1906" s="30"/>
      <c r="D1906" s="48"/>
      <c r="E1906" s="169"/>
      <c r="F1906" s="170"/>
      <c r="G1906" s="30"/>
      <c r="H1906" s="30"/>
    </row>
    <row r="1907" spans="1:8" x14ac:dyDescent="0.2">
      <c r="A1907" s="30"/>
      <c r="B1907" s="66"/>
      <c r="C1907" s="30"/>
      <c r="D1907" s="48"/>
      <c r="E1907" s="169"/>
      <c r="F1907" s="170"/>
      <c r="G1907" s="30"/>
      <c r="H1907" s="30"/>
    </row>
    <row r="1908" spans="1:8" x14ac:dyDescent="0.2">
      <c r="A1908" s="30"/>
      <c r="B1908" s="66"/>
      <c r="C1908" s="30"/>
      <c r="D1908" s="48"/>
      <c r="E1908" s="169"/>
      <c r="F1908" s="170"/>
      <c r="G1908" s="30"/>
      <c r="H1908" s="30"/>
    </row>
    <row r="1909" spans="1:8" x14ac:dyDescent="0.2">
      <c r="A1909" s="30"/>
      <c r="B1909" s="66"/>
      <c r="C1909" s="30"/>
      <c r="D1909" s="48"/>
      <c r="E1909" s="169"/>
      <c r="F1909" s="170"/>
      <c r="G1909" s="30"/>
      <c r="H1909" s="30"/>
    </row>
    <row r="1910" spans="1:8" x14ac:dyDescent="0.2">
      <c r="A1910" s="30"/>
      <c r="B1910" s="66"/>
      <c r="C1910" s="30"/>
      <c r="D1910" s="48"/>
      <c r="E1910" s="169"/>
      <c r="F1910" s="170"/>
      <c r="G1910" s="30"/>
      <c r="H1910" s="30"/>
    </row>
    <row r="1911" spans="1:8" x14ac:dyDescent="0.2">
      <c r="A1911" s="30"/>
      <c r="B1911" s="66"/>
      <c r="C1911" s="30"/>
      <c r="D1911" s="48"/>
      <c r="E1911" s="169"/>
      <c r="F1911" s="170"/>
      <c r="G1911" s="30"/>
      <c r="H1911" s="30"/>
    </row>
    <row r="1912" spans="1:8" x14ac:dyDescent="0.2">
      <c r="A1912" s="30"/>
      <c r="B1912" s="66"/>
      <c r="C1912" s="30"/>
      <c r="D1912" s="48"/>
      <c r="E1912" s="169"/>
      <c r="F1912" s="170"/>
      <c r="G1912" s="30"/>
      <c r="H1912" s="30"/>
    </row>
    <row r="1913" spans="1:8" x14ac:dyDescent="0.2">
      <c r="A1913" s="30"/>
      <c r="B1913" s="66"/>
      <c r="C1913" s="30"/>
      <c r="D1913" s="48"/>
      <c r="E1913" s="169"/>
      <c r="F1913" s="170"/>
      <c r="G1913" s="30"/>
      <c r="H1913" s="30"/>
    </row>
    <row r="1914" spans="1:8" x14ac:dyDescent="0.2">
      <c r="A1914" s="30"/>
      <c r="B1914" s="66"/>
      <c r="C1914" s="30"/>
      <c r="D1914" s="48"/>
      <c r="E1914" s="169"/>
      <c r="F1914" s="170"/>
      <c r="G1914" s="30"/>
      <c r="H1914" s="30"/>
    </row>
    <row r="1915" spans="1:8" x14ac:dyDescent="0.2">
      <c r="A1915" s="30"/>
      <c r="B1915" s="66"/>
      <c r="C1915" s="30"/>
      <c r="D1915" s="48"/>
      <c r="E1915" s="169"/>
      <c r="F1915" s="170"/>
      <c r="G1915" s="30"/>
      <c r="H1915" s="30"/>
    </row>
    <row r="1916" spans="1:8" x14ac:dyDescent="0.2">
      <c r="A1916" s="30"/>
      <c r="B1916" s="66"/>
      <c r="C1916" s="30"/>
      <c r="D1916" s="48"/>
      <c r="E1916" s="169"/>
      <c r="F1916" s="170"/>
      <c r="G1916" s="30"/>
      <c r="H1916" s="30"/>
    </row>
    <row r="1917" spans="1:8" x14ac:dyDescent="0.2">
      <c r="A1917" s="30"/>
      <c r="B1917" s="66"/>
      <c r="C1917" s="30"/>
      <c r="D1917" s="48"/>
      <c r="E1917" s="169"/>
      <c r="F1917" s="170"/>
      <c r="G1917" s="30"/>
      <c r="H1917" s="30"/>
    </row>
    <row r="1918" spans="1:8" x14ac:dyDescent="0.2">
      <c r="A1918" s="30"/>
      <c r="B1918" s="66"/>
      <c r="C1918" s="30"/>
      <c r="D1918" s="48"/>
      <c r="E1918" s="169"/>
      <c r="F1918" s="170"/>
      <c r="G1918" s="30"/>
      <c r="H1918" s="30"/>
    </row>
    <row r="1919" spans="1:8" x14ac:dyDescent="0.2">
      <c r="A1919" s="30"/>
      <c r="B1919" s="66"/>
      <c r="C1919" s="30"/>
      <c r="D1919" s="48"/>
      <c r="E1919" s="169"/>
      <c r="F1919" s="170"/>
      <c r="G1919" s="30"/>
      <c r="H1919" s="30"/>
    </row>
    <row r="1920" spans="1:8" x14ac:dyDescent="0.2">
      <c r="A1920" s="30"/>
      <c r="B1920" s="66"/>
      <c r="C1920" s="30"/>
      <c r="D1920" s="48"/>
      <c r="E1920" s="169"/>
      <c r="F1920" s="170"/>
      <c r="G1920" s="30"/>
      <c r="H1920" s="30"/>
    </row>
    <row r="1921" spans="1:8" x14ac:dyDescent="0.2">
      <c r="A1921" s="30"/>
      <c r="B1921" s="66"/>
      <c r="C1921" s="30"/>
      <c r="D1921" s="48"/>
      <c r="E1921" s="169"/>
      <c r="F1921" s="170"/>
      <c r="G1921" s="30"/>
      <c r="H1921" s="30"/>
    </row>
    <row r="1922" spans="1:8" x14ac:dyDescent="0.2">
      <c r="A1922" s="30"/>
      <c r="B1922" s="66"/>
      <c r="C1922" s="30"/>
      <c r="D1922" s="48"/>
      <c r="E1922" s="169"/>
      <c r="F1922" s="170"/>
      <c r="G1922" s="30"/>
      <c r="H1922" s="30"/>
    </row>
    <row r="1923" spans="1:8" x14ac:dyDescent="0.2">
      <c r="A1923" s="30"/>
      <c r="B1923" s="66"/>
      <c r="C1923" s="30"/>
      <c r="D1923" s="48"/>
      <c r="E1923" s="169"/>
      <c r="F1923" s="170"/>
      <c r="G1923" s="30"/>
      <c r="H1923" s="30"/>
    </row>
    <row r="1924" spans="1:8" x14ac:dyDescent="0.2">
      <c r="A1924" s="30"/>
      <c r="B1924" s="66"/>
      <c r="C1924" s="30"/>
      <c r="D1924" s="48"/>
      <c r="E1924" s="169"/>
      <c r="F1924" s="170"/>
      <c r="G1924" s="30"/>
      <c r="H1924" s="30"/>
    </row>
    <row r="1925" spans="1:8" x14ac:dyDescent="0.2">
      <c r="A1925" s="30"/>
      <c r="B1925" s="66"/>
      <c r="C1925" s="30"/>
      <c r="D1925" s="48"/>
      <c r="E1925" s="169"/>
      <c r="F1925" s="170"/>
      <c r="G1925" s="30"/>
      <c r="H1925" s="30"/>
    </row>
    <row r="1926" spans="1:8" x14ac:dyDescent="0.2">
      <c r="A1926" s="30"/>
      <c r="B1926" s="66"/>
      <c r="C1926" s="30"/>
      <c r="D1926" s="48"/>
      <c r="E1926" s="169"/>
      <c r="F1926" s="170"/>
      <c r="G1926" s="30"/>
      <c r="H1926" s="30"/>
    </row>
    <row r="1927" spans="1:8" x14ac:dyDescent="0.2">
      <c r="A1927" s="30"/>
      <c r="B1927" s="66"/>
      <c r="C1927" s="30"/>
      <c r="D1927" s="48"/>
      <c r="E1927" s="169"/>
      <c r="F1927" s="170"/>
      <c r="G1927" s="30"/>
      <c r="H1927" s="30"/>
    </row>
    <row r="1928" spans="1:8" x14ac:dyDescent="0.2">
      <c r="A1928" s="30"/>
      <c r="B1928" s="66"/>
      <c r="C1928" s="30"/>
      <c r="D1928" s="48"/>
      <c r="E1928" s="169"/>
      <c r="F1928" s="170"/>
      <c r="G1928" s="30"/>
      <c r="H1928" s="30"/>
    </row>
    <row r="1929" spans="1:8" x14ac:dyDescent="0.2">
      <c r="A1929" s="30"/>
      <c r="B1929" s="66"/>
      <c r="C1929" s="30"/>
      <c r="D1929" s="48"/>
      <c r="E1929" s="169"/>
      <c r="F1929" s="170"/>
      <c r="G1929" s="30"/>
      <c r="H1929" s="30"/>
    </row>
    <row r="1930" spans="1:8" x14ac:dyDescent="0.2">
      <c r="A1930" s="30"/>
      <c r="B1930" s="66"/>
      <c r="C1930" s="30"/>
      <c r="D1930" s="48"/>
      <c r="E1930" s="169"/>
      <c r="F1930" s="170"/>
      <c r="G1930" s="30"/>
      <c r="H1930" s="30"/>
    </row>
    <row r="1931" spans="1:8" x14ac:dyDescent="0.2">
      <c r="A1931" s="30"/>
      <c r="B1931" s="66"/>
      <c r="C1931" s="30"/>
      <c r="D1931" s="48"/>
      <c r="E1931" s="169"/>
      <c r="F1931" s="170"/>
      <c r="G1931" s="30"/>
      <c r="H1931" s="30"/>
    </row>
    <row r="1932" spans="1:8" x14ac:dyDescent="0.2">
      <c r="A1932" s="30"/>
      <c r="B1932" s="66"/>
      <c r="C1932" s="30"/>
      <c r="D1932" s="48"/>
      <c r="E1932" s="169"/>
      <c r="F1932" s="170"/>
      <c r="G1932" s="30"/>
      <c r="H1932" s="30"/>
    </row>
    <row r="1933" spans="1:8" x14ac:dyDescent="0.2">
      <c r="A1933" s="30"/>
      <c r="B1933" s="66"/>
      <c r="C1933" s="30"/>
      <c r="D1933" s="48"/>
      <c r="E1933" s="169"/>
      <c r="F1933" s="170"/>
      <c r="G1933" s="30"/>
      <c r="H1933" s="30"/>
    </row>
    <row r="1934" spans="1:8" x14ac:dyDescent="0.2">
      <c r="A1934" s="30"/>
      <c r="B1934" s="66"/>
      <c r="C1934" s="30"/>
      <c r="D1934" s="48"/>
      <c r="E1934" s="169"/>
      <c r="F1934" s="170"/>
      <c r="G1934" s="30"/>
      <c r="H1934" s="30"/>
    </row>
    <row r="1935" spans="1:8" x14ac:dyDescent="0.2">
      <c r="A1935" s="30"/>
      <c r="B1935" s="66"/>
      <c r="C1935" s="30"/>
      <c r="D1935" s="48"/>
      <c r="E1935" s="169"/>
      <c r="F1935" s="170"/>
      <c r="G1935" s="30"/>
      <c r="H1935" s="30"/>
    </row>
    <row r="1936" spans="1:8" x14ac:dyDescent="0.2">
      <c r="A1936" s="30"/>
      <c r="B1936" s="66"/>
      <c r="C1936" s="30"/>
      <c r="D1936" s="48"/>
      <c r="E1936" s="169"/>
      <c r="F1936" s="170"/>
      <c r="G1936" s="30"/>
      <c r="H1936" s="30"/>
    </row>
    <row r="1937" spans="1:8" x14ac:dyDescent="0.2">
      <c r="A1937" s="30"/>
      <c r="B1937" s="66"/>
      <c r="C1937" s="30"/>
      <c r="D1937" s="48"/>
      <c r="E1937" s="169"/>
      <c r="F1937" s="170"/>
      <c r="G1937" s="30"/>
      <c r="H1937" s="30"/>
    </row>
    <row r="1938" spans="1:8" x14ac:dyDescent="0.2">
      <c r="A1938" s="30"/>
      <c r="B1938" s="66"/>
      <c r="C1938" s="30"/>
      <c r="D1938" s="48"/>
      <c r="E1938" s="169"/>
      <c r="F1938" s="170"/>
      <c r="G1938" s="30"/>
      <c r="H1938" s="30"/>
    </row>
    <row r="1939" spans="1:8" x14ac:dyDescent="0.2">
      <c r="A1939" s="30"/>
      <c r="B1939" s="66"/>
      <c r="C1939" s="30"/>
      <c r="D1939" s="48"/>
      <c r="E1939" s="169"/>
      <c r="F1939" s="170"/>
      <c r="G1939" s="30"/>
      <c r="H1939" s="30"/>
    </row>
    <row r="1940" spans="1:8" x14ac:dyDescent="0.2">
      <c r="A1940" s="30"/>
      <c r="B1940" s="66"/>
      <c r="C1940" s="30"/>
      <c r="D1940" s="48"/>
      <c r="E1940" s="169"/>
      <c r="F1940" s="170"/>
      <c r="G1940" s="30"/>
      <c r="H1940" s="30"/>
    </row>
    <row r="1941" spans="1:8" x14ac:dyDescent="0.2">
      <c r="A1941" s="30"/>
      <c r="B1941" s="66"/>
      <c r="C1941" s="30"/>
      <c r="D1941" s="48"/>
      <c r="E1941" s="169"/>
      <c r="F1941" s="170"/>
      <c r="G1941" s="30"/>
      <c r="H1941" s="30"/>
    </row>
    <row r="1942" spans="1:8" x14ac:dyDescent="0.2">
      <c r="A1942" s="30"/>
      <c r="B1942" s="66"/>
      <c r="C1942" s="30"/>
      <c r="D1942" s="48"/>
      <c r="E1942" s="169"/>
      <c r="F1942" s="170"/>
      <c r="G1942" s="30"/>
      <c r="H1942" s="30"/>
    </row>
    <row r="1943" spans="1:8" x14ac:dyDescent="0.2">
      <c r="A1943" s="30"/>
      <c r="B1943" s="66"/>
      <c r="C1943" s="30"/>
      <c r="D1943" s="48"/>
      <c r="E1943" s="169"/>
      <c r="F1943" s="170"/>
      <c r="G1943" s="30"/>
      <c r="H1943" s="30"/>
    </row>
    <row r="1944" spans="1:8" x14ac:dyDescent="0.2">
      <c r="A1944" s="30"/>
      <c r="B1944" s="66"/>
      <c r="C1944" s="30"/>
      <c r="D1944" s="48"/>
      <c r="E1944" s="169"/>
      <c r="F1944" s="170"/>
      <c r="G1944" s="30"/>
      <c r="H1944" s="30"/>
    </row>
    <row r="1945" spans="1:8" x14ac:dyDescent="0.2">
      <c r="A1945" s="30"/>
      <c r="B1945" s="66"/>
      <c r="C1945" s="30"/>
      <c r="D1945" s="48"/>
      <c r="E1945" s="169"/>
      <c r="F1945" s="170"/>
      <c r="G1945" s="30"/>
      <c r="H1945" s="30"/>
    </row>
    <row r="1946" spans="1:8" x14ac:dyDescent="0.2">
      <c r="A1946" s="30"/>
      <c r="B1946" s="66"/>
      <c r="C1946" s="30"/>
      <c r="D1946" s="48"/>
      <c r="E1946" s="169"/>
      <c r="F1946" s="170"/>
      <c r="G1946" s="30"/>
      <c r="H1946" s="30"/>
    </row>
    <row r="1947" spans="1:8" x14ac:dyDescent="0.2">
      <c r="A1947" s="30"/>
      <c r="B1947" s="66"/>
      <c r="C1947" s="30"/>
      <c r="D1947" s="48"/>
      <c r="E1947" s="169"/>
      <c r="F1947" s="170"/>
      <c r="G1947" s="30"/>
      <c r="H1947" s="30"/>
    </row>
    <row r="1948" spans="1:8" x14ac:dyDescent="0.2">
      <c r="A1948" s="30"/>
      <c r="B1948" s="66"/>
      <c r="C1948" s="30"/>
      <c r="D1948" s="48"/>
      <c r="E1948" s="169"/>
      <c r="F1948" s="170"/>
      <c r="G1948" s="30"/>
      <c r="H1948" s="30"/>
    </row>
    <row r="1949" spans="1:8" x14ac:dyDescent="0.2">
      <c r="A1949" s="30"/>
      <c r="B1949" s="66"/>
      <c r="C1949" s="30"/>
      <c r="D1949" s="48"/>
      <c r="E1949" s="169"/>
      <c r="F1949" s="170"/>
      <c r="G1949" s="30"/>
      <c r="H1949" s="30"/>
    </row>
    <row r="1950" spans="1:8" x14ac:dyDescent="0.2">
      <c r="A1950" s="30"/>
      <c r="B1950" s="66"/>
      <c r="C1950" s="30"/>
      <c r="D1950" s="48"/>
      <c r="E1950" s="169"/>
      <c r="F1950" s="170"/>
      <c r="G1950" s="30"/>
      <c r="H1950" s="30"/>
    </row>
    <row r="1951" spans="1:8" x14ac:dyDescent="0.2">
      <c r="A1951" s="30"/>
      <c r="B1951" s="66"/>
      <c r="C1951" s="30"/>
      <c r="D1951" s="48"/>
      <c r="E1951" s="169"/>
      <c r="F1951" s="170"/>
      <c r="G1951" s="30"/>
      <c r="H1951" s="30"/>
    </row>
    <row r="1952" spans="1:8" x14ac:dyDescent="0.2">
      <c r="A1952" s="30"/>
      <c r="B1952" s="66"/>
      <c r="C1952" s="30"/>
      <c r="D1952" s="48"/>
      <c r="E1952" s="169"/>
      <c r="F1952" s="170"/>
      <c r="G1952" s="30"/>
      <c r="H1952" s="30"/>
    </row>
    <row r="1953" spans="1:8" x14ac:dyDescent="0.2">
      <c r="A1953" s="30"/>
      <c r="B1953" s="66"/>
      <c r="C1953" s="30"/>
      <c r="D1953" s="48"/>
      <c r="E1953" s="169"/>
      <c r="F1953" s="170"/>
      <c r="G1953" s="30"/>
      <c r="H1953" s="30"/>
    </row>
    <row r="1954" spans="1:8" x14ac:dyDescent="0.2">
      <c r="A1954" s="30"/>
      <c r="B1954" s="66"/>
      <c r="C1954" s="30"/>
      <c r="D1954" s="48"/>
      <c r="E1954" s="169"/>
      <c r="F1954" s="170"/>
      <c r="G1954" s="30"/>
      <c r="H1954" s="30"/>
    </row>
    <row r="1955" spans="1:8" x14ac:dyDescent="0.2">
      <c r="A1955" s="30"/>
      <c r="B1955" s="66"/>
      <c r="C1955" s="30"/>
      <c r="D1955" s="48"/>
      <c r="E1955" s="169"/>
      <c r="F1955" s="170"/>
      <c r="G1955" s="30"/>
      <c r="H1955" s="30"/>
    </row>
    <row r="1956" spans="1:8" x14ac:dyDescent="0.2">
      <c r="A1956" s="30"/>
      <c r="B1956" s="66"/>
      <c r="C1956" s="30"/>
      <c r="D1956" s="48"/>
      <c r="E1956" s="169"/>
      <c r="F1956" s="170"/>
      <c r="G1956" s="30"/>
      <c r="H1956" s="30"/>
    </row>
    <row r="1957" spans="1:8" x14ac:dyDescent="0.2">
      <c r="A1957" s="30"/>
      <c r="B1957" s="66"/>
      <c r="C1957" s="30"/>
      <c r="D1957" s="48"/>
      <c r="E1957" s="169"/>
      <c r="F1957" s="170"/>
      <c r="G1957" s="30"/>
      <c r="H1957" s="30"/>
    </row>
    <row r="1958" spans="1:8" x14ac:dyDescent="0.2">
      <c r="A1958" s="30"/>
      <c r="B1958" s="66"/>
      <c r="C1958" s="30"/>
      <c r="D1958" s="48"/>
      <c r="E1958" s="169"/>
      <c r="F1958" s="170"/>
      <c r="G1958" s="30"/>
      <c r="H1958" s="30"/>
    </row>
    <row r="1959" spans="1:8" x14ac:dyDescent="0.2">
      <c r="A1959" s="30"/>
      <c r="B1959" s="66"/>
      <c r="C1959" s="30"/>
      <c r="D1959" s="48"/>
      <c r="E1959" s="169"/>
      <c r="F1959" s="170"/>
      <c r="G1959" s="30"/>
      <c r="H1959" s="30"/>
    </row>
    <row r="1960" spans="1:8" x14ac:dyDescent="0.2">
      <c r="A1960" s="30"/>
      <c r="B1960" s="66"/>
      <c r="C1960" s="30"/>
      <c r="D1960" s="48"/>
      <c r="E1960" s="169"/>
      <c r="F1960" s="170"/>
      <c r="G1960" s="30"/>
      <c r="H1960" s="30"/>
    </row>
    <row r="1961" spans="1:8" x14ac:dyDescent="0.2">
      <c r="A1961" s="30"/>
      <c r="B1961" s="66"/>
      <c r="C1961" s="30"/>
      <c r="D1961" s="48"/>
      <c r="E1961" s="169"/>
      <c r="F1961" s="170"/>
      <c r="G1961" s="30"/>
      <c r="H1961" s="30"/>
    </row>
    <row r="1962" spans="1:8" x14ac:dyDescent="0.2">
      <c r="A1962" s="30"/>
      <c r="B1962" s="66"/>
      <c r="C1962" s="30"/>
      <c r="D1962" s="48"/>
      <c r="E1962" s="169"/>
      <c r="F1962" s="170"/>
      <c r="G1962" s="30"/>
      <c r="H1962" s="30"/>
    </row>
    <row r="1963" spans="1:8" x14ac:dyDescent="0.2">
      <c r="A1963" s="30"/>
      <c r="B1963" s="66"/>
      <c r="C1963" s="30"/>
      <c r="D1963" s="48"/>
      <c r="E1963" s="169"/>
      <c r="F1963" s="170"/>
      <c r="G1963" s="30"/>
      <c r="H1963" s="30"/>
    </row>
    <row r="1964" spans="1:8" x14ac:dyDescent="0.2">
      <c r="A1964" s="30"/>
      <c r="B1964" s="66"/>
      <c r="C1964" s="30"/>
      <c r="D1964" s="48"/>
      <c r="E1964" s="169"/>
      <c r="F1964" s="170"/>
      <c r="G1964" s="30"/>
      <c r="H1964" s="30"/>
    </row>
    <row r="1965" spans="1:8" x14ac:dyDescent="0.2">
      <c r="A1965" s="30"/>
      <c r="B1965" s="66"/>
      <c r="C1965" s="30"/>
      <c r="D1965" s="48"/>
      <c r="E1965" s="169"/>
      <c r="F1965" s="170"/>
      <c r="G1965" s="30"/>
      <c r="H1965" s="30"/>
    </row>
    <row r="1966" spans="1:8" x14ac:dyDescent="0.2">
      <c r="A1966" s="30"/>
      <c r="B1966" s="66"/>
      <c r="C1966" s="30"/>
      <c r="D1966" s="48"/>
      <c r="E1966" s="169"/>
      <c r="F1966" s="170"/>
      <c r="G1966" s="30"/>
      <c r="H1966" s="30"/>
    </row>
    <row r="1967" spans="1:8" x14ac:dyDescent="0.2">
      <c r="A1967" s="30"/>
      <c r="B1967" s="66"/>
      <c r="C1967" s="30"/>
      <c r="D1967" s="48"/>
      <c r="E1967" s="169"/>
      <c r="F1967" s="170"/>
      <c r="G1967" s="30"/>
      <c r="H1967" s="30"/>
    </row>
    <row r="1968" spans="1:8" x14ac:dyDescent="0.2">
      <c r="A1968" s="30"/>
      <c r="B1968" s="66"/>
      <c r="C1968" s="30"/>
      <c r="D1968" s="48"/>
      <c r="E1968" s="169"/>
      <c r="F1968" s="170"/>
      <c r="G1968" s="30"/>
      <c r="H1968" s="30"/>
    </row>
    <row r="1969" spans="1:8" x14ac:dyDescent="0.2">
      <c r="A1969" s="30"/>
      <c r="B1969" s="66"/>
      <c r="C1969" s="30"/>
      <c r="D1969" s="48"/>
      <c r="E1969" s="169"/>
      <c r="F1969" s="170"/>
      <c r="G1969" s="30"/>
      <c r="H1969" s="30"/>
    </row>
    <row r="1970" spans="1:8" x14ac:dyDescent="0.2">
      <c r="A1970" s="30"/>
      <c r="B1970" s="66"/>
      <c r="C1970" s="30"/>
      <c r="D1970" s="48"/>
      <c r="E1970" s="169"/>
      <c r="F1970" s="170"/>
      <c r="G1970" s="30"/>
      <c r="H1970" s="30"/>
    </row>
    <row r="1971" spans="1:8" x14ac:dyDescent="0.2">
      <c r="A1971" s="30"/>
      <c r="B1971" s="66"/>
      <c r="C1971" s="30"/>
      <c r="D1971" s="48"/>
      <c r="E1971" s="169"/>
      <c r="F1971" s="170"/>
      <c r="G1971" s="30"/>
      <c r="H1971" s="30"/>
    </row>
    <row r="1972" spans="1:8" x14ac:dyDescent="0.2">
      <c r="A1972" s="30"/>
      <c r="B1972" s="66"/>
      <c r="C1972" s="30"/>
      <c r="D1972" s="48"/>
      <c r="E1972" s="169"/>
      <c r="F1972" s="170"/>
      <c r="G1972" s="30"/>
      <c r="H1972" s="30"/>
    </row>
    <row r="1973" spans="1:8" x14ac:dyDescent="0.2">
      <c r="A1973" s="30"/>
      <c r="B1973" s="66"/>
      <c r="C1973" s="30"/>
      <c r="D1973" s="48"/>
      <c r="E1973" s="169"/>
      <c r="F1973" s="170"/>
      <c r="G1973" s="30"/>
      <c r="H1973" s="30"/>
    </row>
    <row r="1974" spans="1:8" x14ac:dyDescent="0.2">
      <c r="A1974" s="30"/>
      <c r="B1974" s="66"/>
      <c r="C1974" s="30"/>
      <c r="D1974" s="48"/>
      <c r="E1974" s="169"/>
      <c r="F1974" s="170"/>
      <c r="G1974" s="30"/>
      <c r="H1974" s="30"/>
    </row>
    <row r="1975" spans="1:8" x14ac:dyDescent="0.2">
      <c r="A1975" s="30"/>
      <c r="B1975" s="66"/>
      <c r="C1975" s="30"/>
      <c r="D1975" s="48"/>
      <c r="E1975" s="169"/>
      <c r="F1975" s="170"/>
      <c r="G1975" s="30"/>
      <c r="H1975" s="30"/>
    </row>
    <row r="1976" spans="1:8" x14ac:dyDescent="0.2">
      <c r="A1976" s="30"/>
      <c r="B1976" s="66"/>
      <c r="C1976" s="30"/>
      <c r="D1976" s="48"/>
      <c r="E1976" s="169"/>
      <c r="F1976" s="170"/>
      <c r="G1976" s="30"/>
      <c r="H1976" s="30"/>
    </row>
    <row r="1977" spans="1:8" x14ac:dyDescent="0.2">
      <c r="A1977" s="30"/>
      <c r="B1977" s="66"/>
      <c r="C1977" s="30"/>
      <c r="D1977" s="48"/>
      <c r="E1977" s="169"/>
      <c r="F1977" s="170"/>
      <c r="G1977" s="30"/>
      <c r="H1977" s="30"/>
    </row>
    <row r="1978" spans="1:8" x14ac:dyDescent="0.2">
      <c r="A1978" s="30"/>
      <c r="B1978" s="66"/>
      <c r="C1978" s="30"/>
      <c r="D1978" s="48"/>
      <c r="E1978" s="169"/>
      <c r="F1978" s="170"/>
      <c r="G1978" s="30"/>
      <c r="H1978" s="30"/>
    </row>
    <row r="1979" spans="1:8" x14ac:dyDescent="0.2">
      <c r="A1979" s="30"/>
      <c r="B1979" s="66"/>
      <c r="C1979" s="30"/>
      <c r="D1979" s="48"/>
      <c r="E1979" s="169"/>
      <c r="F1979" s="170"/>
      <c r="G1979" s="30"/>
      <c r="H1979" s="30"/>
    </row>
    <row r="1980" spans="1:8" x14ac:dyDescent="0.2">
      <c r="A1980" s="30"/>
      <c r="B1980" s="66"/>
      <c r="C1980" s="30"/>
      <c r="D1980" s="48"/>
      <c r="E1980" s="169"/>
      <c r="F1980" s="170"/>
      <c r="G1980" s="30"/>
      <c r="H1980" s="30"/>
    </row>
    <row r="1981" spans="1:8" x14ac:dyDescent="0.2">
      <c r="A1981" s="30"/>
      <c r="B1981" s="66"/>
      <c r="C1981" s="30"/>
      <c r="D1981" s="48"/>
      <c r="E1981" s="169"/>
      <c r="F1981" s="170"/>
      <c r="G1981" s="30"/>
      <c r="H1981" s="30"/>
    </row>
    <row r="1982" spans="1:8" x14ac:dyDescent="0.2">
      <c r="A1982" s="30"/>
      <c r="B1982" s="66"/>
      <c r="C1982" s="30"/>
      <c r="D1982" s="48"/>
      <c r="E1982" s="169"/>
      <c r="F1982" s="170"/>
      <c r="G1982" s="30"/>
      <c r="H1982" s="30"/>
    </row>
    <row r="1983" spans="1:8" x14ac:dyDescent="0.2">
      <c r="A1983" s="30"/>
      <c r="B1983" s="66"/>
      <c r="C1983" s="30"/>
      <c r="D1983" s="48"/>
      <c r="E1983" s="169"/>
      <c r="F1983" s="170"/>
      <c r="G1983" s="30"/>
      <c r="H1983" s="30"/>
    </row>
    <row r="1984" spans="1:8" x14ac:dyDescent="0.2">
      <c r="A1984" s="30"/>
      <c r="B1984" s="66"/>
      <c r="C1984" s="30"/>
      <c r="D1984" s="48"/>
      <c r="E1984" s="169"/>
      <c r="F1984" s="170"/>
      <c r="G1984" s="30"/>
      <c r="H1984" s="30"/>
    </row>
    <row r="1985" spans="1:8" x14ac:dyDescent="0.2">
      <c r="A1985" s="30"/>
      <c r="B1985" s="66"/>
      <c r="C1985" s="30"/>
      <c r="D1985" s="48"/>
      <c r="E1985" s="169"/>
      <c r="F1985" s="170"/>
      <c r="G1985" s="30"/>
      <c r="H1985" s="30"/>
    </row>
    <row r="1986" spans="1:8" x14ac:dyDescent="0.2">
      <c r="A1986" s="30"/>
      <c r="B1986" s="66"/>
      <c r="C1986" s="30"/>
      <c r="D1986" s="48"/>
      <c r="E1986" s="169"/>
      <c r="F1986" s="170"/>
      <c r="G1986" s="30"/>
      <c r="H1986" s="30"/>
    </row>
    <row r="1987" spans="1:8" x14ac:dyDescent="0.2">
      <c r="A1987" s="30"/>
      <c r="B1987" s="66"/>
      <c r="C1987" s="30"/>
      <c r="D1987" s="48"/>
      <c r="E1987" s="169"/>
      <c r="F1987" s="170"/>
      <c r="G1987" s="30"/>
      <c r="H1987" s="30"/>
    </row>
    <row r="1988" spans="1:8" x14ac:dyDescent="0.2">
      <c r="A1988" s="30"/>
      <c r="B1988" s="66"/>
      <c r="C1988" s="30"/>
      <c r="D1988" s="48"/>
      <c r="E1988" s="169"/>
      <c r="F1988" s="170"/>
      <c r="G1988" s="30"/>
      <c r="H1988" s="30"/>
    </row>
    <row r="1989" spans="1:8" x14ac:dyDescent="0.2">
      <c r="A1989" s="30"/>
      <c r="B1989" s="66"/>
      <c r="C1989" s="30"/>
      <c r="D1989" s="48"/>
      <c r="E1989" s="169"/>
      <c r="F1989" s="170"/>
      <c r="G1989" s="30"/>
      <c r="H1989" s="30"/>
    </row>
    <row r="1990" spans="1:8" x14ac:dyDescent="0.2">
      <c r="A1990" s="30"/>
      <c r="B1990" s="66"/>
      <c r="C1990" s="30"/>
      <c r="D1990" s="48"/>
      <c r="E1990" s="169"/>
      <c r="F1990" s="170"/>
      <c r="G1990" s="30"/>
      <c r="H1990" s="30"/>
    </row>
    <row r="1991" spans="1:8" x14ac:dyDescent="0.2">
      <c r="A1991" s="30"/>
      <c r="B1991" s="66"/>
      <c r="C1991" s="30"/>
      <c r="D1991" s="48"/>
      <c r="E1991" s="169"/>
      <c r="F1991" s="170"/>
      <c r="G1991" s="30"/>
      <c r="H1991" s="30"/>
    </row>
    <row r="1992" spans="1:8" x14ac:dyDescent="0.2">
      <c r="A1992" s="30"/>
      <c r="B1992" s="66"/>
      <c r="C1992" s="30"/>
      <c r="D1992" s="48"/>
      <c r="E1992" s="169"/>
      <c r="F1992" s="170"/>
      <c r="G1992" s="30"/>
      <c r="H1992" s="30"/>
    </row>
    <row r="1993" spans="1:8" x14ac:dyDescent="0.2">
      <c r="A1993" s="30"/>
      <c r="B1993" s="66"/>
      <c r="C1993" s="30"/>
      <c r="D1993" s="48"/>
      <c r="E1993" s="169"/>
      <c r="F1993" s="170"/>
      <c r="G1993" s="30"/>
      <c r="H1993" s="30"/>
    </row>
    <row r="1994" spans="1:8" x14ac:dyDescent="0.2">
      <c r="A1994" s="30"/>
      <c r="B1994" s="66"/>
      <c r="C1994" s="30"/>
      <c r="D1994" s="48"/>
      <c r="E1994" s="169"/>
      <c r="F1994" s="170"/>
      <c r="G1994" s="30"/>
      <c r="H1994" s="30"/>
    </row>
    <row r="1995" spans="1:8" x14ac:dyDescent="0.2">
      <c r="A1995" s="30"/>
      <c r="B1995" s="66"/>
      <c r="C1995" s="30"/>
      <c r="D1995" s="48"/>
      <c r="E1995" s="169"/>
      <c r="F1995" s="170"/>
      <c r="G1995" s="30"/>
      <c r="H1995" s="30"/>
    </row>
    <row r="1996" spans="1:8" x14ac:dyDescent="0.2">
      <c r="A1996" s="30"/>
      <c r="B1996" s="66"/>
      <c r="C1996" s="30"/>
      <c r="D1996" s="48"/>
      <c r="E1996" s="169"/>
      <c r="F1996" s="170"/>
      <c r="G1996" s="30"/>
      <c r="H1996" s="30"/>
    </row>
    <row r="1997" spans="1:8" x14ac:dyDescent="0.2">
      <c r="A1997" s="30"/>
      <c r="B1997" s="66"/>
      <c r="C1997" s="30"/>
      <c r="D1997" s="48"/>
      <c r="E1997" s="169"/>
      <c r="F1997" s="170"/>
      <c r="G1997" s="30"/>
      <c r="H1997" s="30"/>
    </row>
    <row r="1998" spans="1:8" x14ac:dyDescent="0.2">
      <c r="A1998" s="30"/>
      <c r="B1998" s="66"/>
      <c r="C1998" s="30"/>
      <c r="D1998" s="48"/>
      <c r="E1998" s="169"/>
      <c r="F1998" s="170"/>
      <c r="G1998" s="30"/>
      <c r="H1998" s="30"/>
    </row>
    <row r="1999" spans="1:8" x14ac:dyDescent="0.2">
      <c r="A1999" s="30"/>
      <c r="B1999" s="66"/>
      <c r="C1999" s="30"/>
      <c r="D1999" s="48"/>
      <c r="E1999" s="169"/>
      <c r="F1999" s="170"/>
      <c r="G1999" s="30"/>
      <c r="H1999" s="30"/>
    </row>
    <row r="2000" spans="1:8" x14ac:dyDescent="0.2">
      <c r="A2000" s="30"/>
      <c r="B2000" s="66"/>
      <c r="C2000" s="30"/>
      <c r="D2000" s="48"/>
      <c r="E2000" s="169"/>
      <c r="F2000" s="170"/>
      <c r="G2000" s="30"/>
      <c r="H2000" s="30"/>
    </row>
    <row r="2001" spans="1:8" x14ac:dyDescent="0.2">
      <c r="A2001" s="30"/>
      <c r="B2001" s="66"/>
      <c r="C2001" s="30"/>
      <c r="D2001" s="48"/>
      <c r="E2001" s="169"/>
      <c r="F2001" s="170"/>
      <c r="G2001" s="30"/>
      <c r="H2001" s="30"/>
    </row>
    <row r="2002" spans="1:8" x14ac:dyDescent="0.2">
      <c r="A2002" s="30"/>
      <c r="B2002" s="66"/>
      <c r="C2002" s="30"/>
      <c r="D2002" s="48"/>
      <c r="E2002" s="169"/>
      <c r="F2002" s="170"/>
      <c r="G2002" s="30"/>
      <c r="H2002" s="30"/>
    </row>
    <row r="2003" spans="1:8" x14ac:dyDescent="0.2">
      <c r="A2003" s="30"/>
      <c r="B2003" s="66"/>
      <c r="C2003" s="30"/>
      <c r="D2003" s="48"/>
      <c r="E2003" s="169"/>
      <c r="F2003" s="170"/>
      <c r="G2003" s="30"/>
      <c r="H2003" s="30"/>
    </row>
    <row r="2004" spans="1:8" x14ac:dyDescent="0.2">
      <c r="A2004" s="30"/>
      <c r="B2004" s="66"/>
      <c r="C2004" s="30"/>
      <c r="D2004" s="48"/>
      <c r="E2004" s="169"/>
      <c r="F2004" s="170"/>
      <c r="G2004" s="30"/>
      <c r="H2004" s="30"/>
    </row>
    <row r="2005" spans="1:8" x14ac:dyDescent="0.2">
      <c r="A2005" s="30"/>
      <c r="B2005" s="66"/>
      <c r="C2005" s="30"/>
      <c r="D2005" s="48"/>
      <c r="E2005" s="169"/>
      <c r="F2005" s="170"/>
      <c r="G2005" s="30"/>
      <c r="H2005" s="30"/>
    </row>
    <row r="2006" spans="1:8" x14ac:dyDescent="0.2">
      <c r="A2006" s="30"/>
      <c r="B2006" s="66"/>
      <c r="C2006" s="30"/>
      <c r="D2006" s="48"/>
      <c r="E2006" s="169"/>
      <c r="F2006" s="170"/>
      <c r="G2006" s="30"/>
      <c r="H2006" s="30"/>
    </row>
    <row r="2007" spans="1:8" x14ac:dyDescent="0.2">
      <c r="A2007" s="30"/>
      <c r="B2007" s="66"/>
      <c r="C2007" s="30"/>
      <c r="D2007" s="48"/>
      <c r="E2007" s="169"/>
      <c r="F2007" s="170"/>
      <c r="G2007" s="30"/>
      <c r="H2007" s="30"/>
    </row>
    <row r="2008" spans="1:8" x14ac:dyDescent="0.2">
      <c r="A2008" s="30"/>
      <c r="B2008" s="66"/>
      <c r="C2008" s="30"/>
      <c r="D2008" s="48"/>
      <c r="E2008" s="169"/>
      <c r="F2008" s="170"/>
      <c r="G2008" s="30"/>
      <c r="H2008" s="30"/>
    </row>
    <row r="2009" spans="1:8" x14ac:dyDescent="0.2">
      <c r="A2009" s="30"/>
      <c r="B2009" s="66"/>
      <c r="C2009" s="30"/>
      <c r="D2009" s="48"/>
      <c r="E2009" s="169"/>
      <c r="F2009" s="170"/>
      <c r="G2009" s="30"/>
      <c r="H2009" s="30"/>
    </row>
    <row r="2010" spans="1:8" x14ac:dyDescent="0.2">
      <c r="A2010" s="30"/>
      <c r="B2010" s="66"/>
      <c r="C2010" s="30"/>
      <c r="D2010" s="48"/>
      <c r="E2010" s="169"/>
      <c r="F2010" s="170"/>
      <c r="G2010" s="30"/>
      <c r="H2010" s="30"/>
    </row>
    <row r="2011" spans="1:8" x14ac:dyDescent="0.2">
      <c r="A2011" s="30"/>
      <c r="B2011" s="66"/>
      <c r="C2011" s="30"/>
      <c r="D2011" s="48"/>
      <c r="E2011" s="169"/>
      <c r="F2011" s="170"/>
      <c r="G2011" s="30"/>
      <c r="H2011" s="30"/>
    </row>
    <row r="2012" spans="1:8" x14ac:dyDescent="0.2">
      <c r="A2012" s="30"/>
      <c r="B2012" s="66"/>
      <c r="C2012" s="30"/>
      <c r="D2012" s="48"/>
      <c r="E2012" s="169"/>
      <c r="F2012" s="170"/>
      <c r="G2012" s="30"/>
      <c r="H2012" s="30"/>
    </row>
    <row r="2013" spans="1:8" x14ac:dyDescent="0.2">
      <c r="A2013" s="30"/>
      <c r="B2013" s="66"/>
      <c r="C2013" s="30"/>
      <c r="D2013" s="48"/>
      <c r="E2013" s="169"/>
      <c r="F2013" s="170"/>
      <c r="G2013" s="30"/>
      <c r="H2013" s="30"/>
    </row>
    <row r="2014" spans="1:8" x14ac:dyDescent="0.2">
      <c r="A2014" s="30"/>
      <c r="B2014" s="66"/>
      <c r="C2014" s="30"/>
      <c r="D2014" s="48"/>
      <c r="E2014" s="169"/>
      <c r="F2014" s="170"/>
      <c r="G2014" s="30"/>
      <c r="H2014" s="30"/>
    </row>
    <row r="2015" spans="1:8" x14ac:dyDescent="0.2">
      <c r="A2015" s="30"/>
      <c r="B2015" s="66"/>
      <c r="C2015" s="30"/>
      <c r="D2015" s="48"/>
      <c r="E2015" s="169"/>
      <c r="F2015" s="170"/>
      <c r="G2015" s="30"/>
      <c r="H2015" s="30"/>
    </row>
    <row r="2016" spans="1:8" x14ac:dyDescent="0.2">
      <c r="A2016" s="30"/>
      <c r="B2016" s="66"/>
      <c r="C2016" s="30"/>
      <c r="D2016" s="48"/>
      <c r="E2016" s="169"/>
      <c r="F2016" s="170"/>
      <c r="G2016" s="30"/>
      <c r="H2016" s="30"/>
    </row>
    <row r="2017" spans="1:8" x14ac:dyDescent="0.2">
      <c r="A2017" s="30"/>
      <c r="B2017" s="66"/>
      <c r="C2017" s="30"/>
      <c r="D2017" s="48"/>
      <c r="E2017" s="169"/>
      <c r="F2017" s="170"/>
      <c r="G2017" s="30"/>
      <c r="H2017" s="30"/>
    </row>
    <row r="2018" spans="1:8" x14ac:dyDescent="0.2">
      <c r="A2018" s="30"/>
      <c r="B2018" s="66"/>
      <c r="C2018" s="30"/>
      <c r="D2018" s="48"/>
      <c r="E2018" s="169"/>
      <c r="F2018" s="170"/>
      <c r="G2018" s="30"/>
      <c r="H2018" s="30"/>
    </row>
    <row r="2019" spans="1:8" x14ac:dyDescent="0.2">
      <c r="A2019" s="30"/>
      <c r="B2019" s="66"/>
      <c r="C2019" s="30"/>
      <c r="D2019" s="48"/>
      <c r="E2019" s="169"/>
      <c r="F2019" s="170"/>
      <c r="G2019" s="30"/>
      <c r="H2019" s="30"/>
    </row>
    <row r="2020" spans="1:8" x14ac:dyDescent="0.2">
      <c r="A2020" s="30"/>
      <c r="B2020" s="66"/>
      <c r="C2020" s="30"/>
      <c r="D2020" s="48"/>
      <c r="E2020" s="169"/>
      <c r="F2020" s="170"/>
      <c r="G2020" s="30"/>
      <c r="H2020" s="30"/>
    </row>
    <row r="2021" spans="1:8" x14ac:dyDescent="0.2">
      <c r="A2021" s="30"/>
      <c r="B2021" s="66"/>
      <c r="C2021" s="30"/>
      <c r="D2021" s="48"/>
      <c r="E2021" s="169"/>
      <c r="F2021" s="170"/>
      <c r="G2021" s="30"/>
      <c r="H2021" s="30"/>
    </row>
    <row r="2022" spans="1:8" x14ac:dyDescent="0.2">
      <c r="A2022" s="30"/>
      <c r="B2022" s="66"/>
      <c r="C2022" s="30"/>
      <c r="D2022" s="48"/>
      <c r="E2022" s="169"/>
      <c r="F2022" s="170"/>
      <c r="G2022" s="30"/>
      <c r="H2022" s="30"/>
    </row>
    <row r="2023" spans="1:8" x14ac:dyDescent="0.2">
      <c r="A2023" s="30"/>
      <c r="B2023" s="66"/>
      <c r="C2023" s="30"/>
      <c r="D2023" s="48"/>
      <c r="E2023" s="169"/>
      <c r="F2023" s="170"/>
      <c r="G2023" s="30"/>
      <c r="H2023" s="30"/>
    </row>
    <row r="2024" spans="1:8" x14ac:dyDescent="0.2">
      <c r="A2024" s="30"/>
      <c r="B2024" s="66"/>
      <c r="C2024" s="30"/>
      <c r="D2024" s="48"/>
      <c r="E2024" s="169"/>
      <c r="F2024" s="170"/>
      <c r="G2024" s="30"/>
      <c r="H2024" s="30"/>
    </row>
    <row r="2025" spans="1:8" x14ac:dyDescent="0.2">
      <c r="A2025" s="30"/>
      <c r="B2025" s="66"/>
      <c r="C2025" s="30"/>
      <c r="D2025" s="48"/>
      <c r="E2025" s="169"/>
      <c r="F2025" s="170"/>
      <c r="G2025" s="30"/>
      <c r="H2025" s="30"/>
    </row>
    <row r="2026" spans="1:8" x14ac:dyDescent="0.2">
      <c r="A2026" s="30"/>
      <c r="B2026" s="66"/>
      <c r="C2026" s="30"/>
      <c r="D2026" s="48"/>
      <c r="E2026" s="169"/>
      <c r="F2026" s="170"/>
      <c r="G2026" s="30"/>
      <c r="H2026" s="30"/>
    </row>
    <row r="2027" spans="1:8" x14ac:dyDescent="0.2">
      <c r="A2027" s="30"/>
      <c r="B2027" s="66"/>
      <c r="C2027" s="30"/>
      <c r="D2027" s="48"/>
      <c r="E2027" s="169"/>
      <c r="F2027" s="170"/>
      <c r="G2027" s="30"/>
      <c r="H2027" s="30"/>
    </row>
    <row r="2028" spans="1:8" x14ac:dyDescent="0.2">
      <c r="A2028" s="30"/>
      <c r="B2028" s="66"/>
      <c r="C2028" s="30"/>
      <c r="D2028" s="48"/>
      <c r="E2028" s="169"/>
      <c r="F2028" s="170"/>
      <c r="G2028" s="30"/>
      <c r="H2028" s="30"/>
    </row>
    <row r="2029" spans="1:8" x14ac:dyDescent="0.2">
      <c r="A2029" s="30"/>
      <c r="B2029" s="66"/>
      <c r="C2029" s="30"/>
      <c r="D2029" s="48"/>
      <c r="E2029" s="169"/>
      <c r="F2029" s="170"/>
      <c r="G2029" s="30"/>
      <c r="H2029" s="30"/>
    </row>
    <row r="2030" spans="1:8" x14ac:dyDescent="0.2">
      <c r="A2030" s="30"/>
      <c r="B2030" s="66"/>
      <c r="C2030" s="30"/>
      <c r="D2030" s="48"/>
      <c r="E2030" s="169"/>
      <c r="F2030" s="170"/>
      <c r="G2030" s="30"/>
      <c r="H2030" s="30"/>
    </row>
    <row r="2031" spans="1:8" x14ac:dyDescent="0.2">
      <c r="A2031" s="30"/>
      <c r="B2031" s="66"/>
      <c r="C2031" s="30"/>
      <c r="D2031" s="48"/>
      <c r="E2031" s="169"/>
      <c r="F2031" s="170"/>
      <c r="G2031" s="30"/>
      <c r="H2031" s="30"/>
    </row>
    <row r="2032" spans="1:8" x14ac:dyDescent="0.2">
      <c r="A2032" s="30"/>
      <c r="B2032" s="66"/>
      <c r="C2032" s="30"/>
      <c r="D2032" s="48"/>
      <c r="E2032" s="169"/>
      <c r="F2032" s="170"/>
      <c r="G2032" s="30"/>
      <c r="H2032" s="30"/>
    </row>
    <row r="2033" spans="1:8" x14ac:dyDescent="0.2">
      <c r="A2033" s="30"/>
      <c r="B2033" s="66"/>
      <c r="C2033" s="30"/>
      <c r="D2033" s="48"/>
      <c r="E2033" s="169"/>
      <c r="F2033" s="170"/>
      <c r="G2033" s="30"/>
      <c r="H2033" s="30"/>
    </row>
    <row r="2034" spans="1:8" x14ac:dyDescent="0.2">
      <c r="A2034" s="30"/>
      <c r="B2034" s="66"/>
      <c r="C2034" s="30"/>
      <c r="D2034" s="48"/>
      <c r="E2034" s="169"/>
      <c r="F2034" s="170"/>
      <c r="G2034" s="30"/>
      <c r="H2034" s="30"/>
    </row>
    <row r="2035" spans="1:8" x14ac:dyDescent="0.2">
      <c r="A2035" s="30"/>
      <c r="B2035" s="66"/>
      <c r="C2035" s="30"/>
      <c r="D2035" s="48"/>
      <c r="E2035" s="169"/>
      <c r="F2035" s="170"/>
      <c r="G2035" s="30"/>
      <c r="H2035" s="30"/>
    </row>
    <row r="2036" spans="1:8" x14ac:dyDescent="0.2">
      <c r="A2036" s="30"/>
      <c r="B2036" s="66"/>
      <c r="C2036" s="30"/>
      <c r="D2036" s="48"/>
      <c r="E2036" s="169"/>
      <c r="F2036" s="170"/>
      <c r="G2036" s="30"/>
      <c r="H2036" s="30"/>
    </row>
    <row r="2037" spans="1:8" x14ac:dyDescent="0.2">
      <c r="A2037" s="30"/>
      <c r="B2037" s="66"/>
      <c r="C2037" s="30"/>
      <c r="D2037" s="48"/>
      <c r="E2037" s="169"/>
      <c r="F2037" s="170"/>
      <c r="G2037" s="30"/>
      <c r="H2037" s="30"/>
    </row>
    <row r="2038" spans="1:8" x14ac:dyDescent="0.2">
      <c r="A2038" s="30"/>
      <c r="B2038" s="66"/>
      <c r="C2038" s="30"/>
      <c r="D2038" s="48"/>
      <c r="E2038" s="169"/>
      <c r="F2038" s="170"/>
      <c r="G2038" s="30"/>
      <c r="H2038" s="30"/>
    </row>
    <row r="2039" spans="1:8" x14ac:dyDescent="0.2">
      <c r="A2039" s="30"/>
      <c r="B2039" s="66"/>
      <c r="C2039" s="30"/>
      <c r="D2039" s="48"/>
      <c r="E2039" s="169"/>
      <c r="F2039" s="170"/>
      <c r="G2039" s="30"/>
      <c r="H2039" s="30"/>
    </row>
    <row r="2040" spans="1:8" x14ac:dyDescent="0.2">
      <c r="A2040" s="30"/>
      <c r="B2040" s="66"/>
      <c r="C2040" s="30"/>
      <c r="D2040" s="48"/>
      <c r="E2040" s="169"/>
      <c r="F2040" s="170"/>
      <c r="G2040" s="30"/>
      <c r="H2040" s="30"/>
    </row>
    <row r="2041" spans="1:8" x14ac:dyDescent="0.2">
      <c r="A2041" s="30"/>
      <c r="B2041" s="66"/>
      <c r="C2041" s="30"/>
      <c r="D2041" s="48"/>
      <c r="E2041" s="169"/>
      <c r="F2041" s="170"/>
      <c r="G2041" s="30"/>
      <c r="H2041" s="30"/>
    </row>
    <row r="2042" spans="1:8" x14ac:dyDescent="0.2">
      <c r="A2042" s="30"/>
      <c r="B2042" s="66"/>
      <c r="C2042" s="30"/>
      <c r="D2042" s="48"/>
      <c r="E2042" s="169"/>
      <c r="F2042" s="170"/>
      <c r="G2042" s="30"/>
      <c r="H2042" s="30"/>
    </row>
    <row r="2043" spans="1:8" x14ac:dyDescent="0.2">
      <c r="A2043" s="30"/>
      <c r="B2043" s="66"/>
      <c r="C2043" s="30"/>
      <c r="D2043" s="48"/>
      <c r="E2043" s="169"/>
      <c r="F2043" s="170"/>
      <c r="G2043" s="30"/>
      <c r="H2043" s="30"/>
    </row>
    <row r="2044" spans="1:8" x14ac:dyDescent="0.2">
      <c r="A2044" s="30"/>
      <c r="B2044" s="66"/>
      <c r="C2044" s="30"/>
      <c r="D2044" s="48"/>
      <c r="E2044" s="169"/>
      <c r="F2044" s="170"/>
      <c r="G2044" s="30"/>
      <c r="H2044" s="30"/>
    </row>
    <row r="2045" spans="1:8" x14ac:dyDescent="0.2">
      <c r="A2045" s="30"/>
      <c r="B2045" s="66"/>
      <c r="C2045" s="30"/>
      <c r="D2045" s="48"/>
      <c r="E2045" s="169"/>
      <c r="F2045" s="170"/>
      <c r="G2045" s="30"/>
      <c r="H2045" s="30"/>
    </row>
    <row r="2046" spans="1:8" x14ac:dyDescent="0.2">
      <c r="A2046" s="30"/>
      <c r="B2046" s="66"/>
      <c r="C2046" s="30"/>
      <c r="D2046" s="48"/>
      <c r="E2046" s="169"/>
      <c r="F2046" s="170"/>
      <c r="G2046" s="30"/>
      <c r="H2046" s="30"/>
    </row>
    <row r="2047" spans="1:8" x14ac:dyDescent="0.2">
      <c r="A2047" s="30"/>
      <c r="B2047" s="66"/>
      <c r="C2047" s="30"/>
      <c r="D2047" s="48"/>
      <c r="E2047" s="169"/>
      <c r="F2047" s="170"/>
      <c r="G2047" s="30"/>
      <c r="H2047" s="30"/>
    </row>
    <row r="2048" spans="1:8" x14ac:dyDescent="0.2">
      <c r="A2048" s="30"/>
      <c r="B2048" s="66"/>
      <c r="C2048" s="30"/>
      <c r="D2048" s="48"/>
      <c r="E2048" s="169"/>
      <c r="F2048" s="170"/>
      <c r="G2048" s="30"/>
      <c r="H2048" s="30"/>
    </row>
    <row r="2049" spans="1:8" x14ac:dyDescent="0.2">
      <c r="A2049" s="30"/>
      <c r="B2049" s="66"/>
      <c r="C2049" s="30"/>
      <c r="D2049" s="48"/>
      <c r="E2049" s="169"/>
      <c r="F2049" s="170"/>
      <c r="G2049" s="30"/>
      <c r="H2049" s="30"/>
    </row>
    <row r="2050" spans="1:8" x14ac:dyDescent="0.2">
      <c r="A2050" s="30"/>
      <c r="B2050" s="66"/>
      <c r="C2050" s="30"/>
      <c r="D2050" s="48"/>
      <c r="E2050" s="169"/>
      <c r="F2050" s="170"/>
      <c r="G2050" s="30"/>
      <c r="H2050" s="30"/>
    </row>
    <row r="2051" spans="1:8" x14ac:dyDescent="0.2">
      <c r="A2051" s="30"/>
      <c r="B2051" s="66"/>
      <c r="C2051" s="30"/>
      <c r="D2051" s="48"/>
      <c r="E2051" s="169"/>
      <c r="F2051" s="170"/>
      <c r="G2051" s="30"/>
      <c r="H2051" s="30"/>
    </row>
    <row r="2052" spans="1:8" x14ac:dyDescent="0.2">
      <c r="A2052" s="30"/>
      <c r="B2052" s="66"/>
      <c r="C2052" s="30"/>
      <c r="D2052" s="48"/>
      <c r="E2052" s="169"/>
      <c r="F2052" s="170"/>
      <c r="G2052" s="30"/>
      <c r="H2052" s="30"/>
    </row>
    <row r="2053" spans="1:8" x14ac:dyDescent="0.2">
      <c r="A2053" s="30"/>
      <c r="B2053" s="66"/>
      <c r="C2053" s="30"/>
      <c r="D2053" s="48"/>
      <c r="E2053" s="169"/>
      <c r="F2053" s="170"/>
      <c r="G2053" s="30"/>
      <c r="H2053" s="30"/>
    </row>
    <row r="2054" spans="1:8" x14ac:dyDescent="0.2">
      <c r="A2054" s="30"/>
      <c r="B2054" s="66"/>
      <c r="C2054" s="30"/>
      <c r="D2054" s="48"/>
      <c r="E2054" s="169"/>
      <c r="F2054" s="170"/>
      <c r="G2054" s="30"/>
      <c r="H2054" s="30"/>
    </row>
    <row r="2055" spans="1:8" x14ac:dyDescent="0.2">
      <c r="A2055" s="30"/>
      <c r="B2055" s="66"/>
      <c r="C2055" s="30"/>
      <c r="D2055" s="48"/>
      <c r="E2055" s="169"/>
      <c r="F2055" s="170"/>
      <c r="G2055" s="30"/>
      <c r="H2055" s="30"/>
    </row>
    <row r="2056" spans="1:8" x14ac:dyDescent="0.2">
      <c r="A2056" s="30"/>
      <c r="B2056" s="66"/>
      <c r="C2056" s="30"/>
      <c r="D2056" s="48"/>
      <c r="E2056" s="169"/>
      <c r="F2056" s="170"/>
      <c r="G2056" s="30"/>
      <c r="H2056" s="30"/>
    </row>
    <row r="2057" spans="1:8" x14ac:dyDescent="0.2">
      <c r="A2057" s="30"/>
      <c r="B2057" s="66"/>
      <c r="C2057" s="30"/>
      <c r="D2057" s="48"/>
      <c r="E2057" s="169"/>
      <c r="F2057" s="170"/>
      <c r="G2057" s="30"/>
      <c r="H2057" s="30"/>
    </row>
    <row r="2058" spans="1:8" x14ac:dyDescent="0.2">
      <c r="A2058" s="30"/>
      <c r="B2058" s="66"/>
      <c r="C2058" s="30"/>
      <c r="D2058" s="48"/>
      <c r="E2058" s="169"/>
      <c r="F2058" s="170"/>
      <c r="G2058" s="30"/>
      <c r="H2058" s="30"/>
    </row>
    <row r="2059" spans="1:8" x14ac:dyDescent="0.2">
      <c r="A2059" s="30"/>
      <c r="B2059" s="66"/>
      <c r="C2059" s="30"/>
      <c r="D2059" s="48"/>
      <c r="E2059" s="169"/>
      <c r="F2059" s="170"/>
      <c r="G2059" s="30"/>
      <c r="H2059" s="30"/>
    </row>
    <row r="2060" spans="1:8" x14ac:dyDescent="0.2">
      <c r="A2060" s="30"/>
      <c r="B2060" s="66"/>
      <c r="C2060" s="30"/>
      <c r="D2060" s="48"/>
      <c r="E2060" s="169"/>
      <c r="F2060" s="170"/>
      <c r="G2060" s="30"/>
      <c r="H2060" s="30"/>
    </row>
    <row r="2061" spans="1:8" x14ac:dyDescent="0.2">
      <c r="A2061" s="30"/>
      <c r="B2061" s="66"/>
      <c r="C2061" s="30"/>
      <c r="D2061" s="48"/>
      <c r="E2061" s="169"/>
      <c r="F2061" s="170"/>
      <c r="G2061" s="30"/>
      <c r="H2061" s="30"/>
    </row>
    <row r="2062" spans="1:8" x14ac:dyDescent="0.2">
      <c r="A2062" s="30"/>
      <c r="B2062" s="66"/>
      <c r="C2062" s="30"/>
      <c r="D2062" s="48"/>
      <c r="E2062" s="169"/>
      <c r="F2062" s="170"/>
      <c r="G2062" s="30"/>
      <c r="H2062" s="30"/>
    </row>
    <row r="2063" spans="1:8" x14ac:dyDescent="0.2">
      <c r="A2063" s="30"/>
      <c r="B2063" s="66"/>
      <c r="C2063" s="30"/>
      <c r="D2063" s="48"/>
      <c r="E2063" s="169"/>
      <c r="F2063" s="170"/>
      <c r="G2063" s="30"/>
      <c r="H2063" s="30"/>
    </row>
    <row r="2064" spans="1:8" x14ac:dyDescent="0.2">
      <c r="A2064" s="30"/>
      <c r="B2064" s="66"/>
      <c r="C2064" s="30"/>
      <c r="D2064" s="48"/>
      <c r="E2064" s="169"/>
      <c r="F2064" s="170"/>
      <c r="G2064" s="30"/>
      <c r="H2064" s="30"/>
    </row>
    <row r="2065" spans="1:8" x14ac:dyDescent="0.2">
      <c r="A2065" s="30"/>
      <c r="B2065" s="66"/>
      <c r="C2065" s="30"/>
      <c r="D2065" s="48"/>
      <c r="E2065" s="169"/>
      <c r="F2065" s="170"/>
      <c r="G2065" s="30"/>
      <c r="H2065" s="30"/>
    </row>
    <row r="2066" spans="1:8" x14ac:dyDescent="0.2">
      <c r="A2066" s="30"/>
      <c r="B2066" s="66"/>
      <c r="C2066" s="30"/>
      <c r="D2066" s="48"/>
      <c r="E2066" s="169"/>
      <c r="F2066" s="170"/>
      <c r="G2066" s="30"/>
      <c r="H2066" s="30"/>
    </row>
    <row r="2067" spans="1:8" x14ac:dyDescent="0.2">
      <c r="A2067" s="30"/>
      <c r="B2067" s="66"/>
      <c r="C2067" s="30"/>
      <c r="D2067" s="48"/>
      <c r="E2067" s="169"/>
      <c r="F2067" s="170"/>
      <c r="G2067" s="30"/>
      <c r="H2067" s="30"/>
    </row>
    <row r="2068" spans="1:8" x14ac:dyDescent="0.2">
      <c r="A2068" s="30"/>
      <c r="B2068" s="66"/>
      <c r="C2068" s="30"/>
      <c r="D2068" s="48"/>
      <c r="E2068" s="169"/>
      <c r="F2068" s="170"/>
      <c r="G2068" s="30"/>
      <c r="H2068" s="30"/>
    </row>
    <row r="2069" spans="1:8" x14ac:dyDescent="0.2">
      <c r="A2069" s="30"/>
      <c r="B2069" s="66"/>
      <c r="C2069" s="30"/>
      <c r="D2069" s="48"/>
      <c r="E2069" s="169"/>
      <c r="F2069" s="170"/>
      <c r="G2069" s="30"/>
      <c r="H2069" s="30"/>
    </row>
    <row r="2070" spans="1:8" x14ac:dyDescent="0.2">
      <c r="A2070" s="30"/>
      <c r="B2070" s="66"/>
      <c r="C2070" s="30"/>
      <c r="D2070" s="48"/>
      <c r="E2070" s="169"/>
      <c r="F2070" s="170"/>
      <c r="G2070" s="30"/>
      <c r="H2070" s="30"/>
    </row>
    <row r="2071" spans="1:8" x14ac:dyDescent="0.2">
      <c r="A2071" s="30"/>
      <c r="B2071" s="66"/>
      <c r="C2071" s="30"/>
      <c r="D2071" s="48"/>
      <c r="E2071" s="169"/>
      <c r="F2071" s="170"/>
      <c r="G2071" s="30"/>
      <c r="H2071" s="30"/>
    </row>
    <row r="2072" spans="1:8" x14ac:dyDescent="0.2">
      <c r="A2072" s="30"/>
      <c r="B2072" s="66"/>
      <c r="C2072" s="30"/>
      <c r="D2072" s="48"/>
      <c r="E2072" s="169"/>
      <c r="F2072" s="170"/>
      <c r="G2072" s="30"/>
      <c r="H2072" s="30"/>
    </row>
    <row r="2073" spans="1:8" x14ac:dyDescent="0.2">
      <c r="A2073" s="30"/>
      <c r="B2073" s="66"/>
      <c r="C2073" s="30"/>
      <c r="D2073" s="48"/>
      <c r="E2073" s="169"/>
      <c r="F2073" s="170"/>
      <c r="G2073" s="30"/>
      <c r="H2073" s="30"/>
    </row>
    <row r="2074" spans="1:8" x14ac:dyDescent="0.2">
      <c r="A2074" s="30"/>
      <c r="B2074" s="66"/>
      <c r="C2074" s="30"/>
      <c r="D2074" s="48"/>
      <c r="E2074" s="169"/>
      <c r="F2074" s="170"/>
      <c r="G2074" s="30"/>
      <c r="H2074" s="30"/>
    </row>
    <row r="2075" spans="1:8" x14ac:dyDescent="0.2">
      <c r="A2075" s="30"/>
      <c r="B2075" s="66"/>
      <c r="C2075" s="30"/>
      <c r="D2075" s="48"/>
      <c r="E2075" s="169"/>
      <c r="F2075" s="170"/>
      <c r="G2075" s="30"/>
      <c r="H2075" s="30"/>
    </row>
    <row r="2076" spans="1:8" x14ac:dyDescent="0.2">
      <c r="A2076" s="30"/>
      <c r="B2076" s="66"/>
      <c r="C2076" s="30"/>
      <c r="D2076" s="48"/>
      <c r="E2076" s="169"/>
      <c r="F2076" s="170"/>
      <c r="G2076" s="30"/>
      <c r="H2076" s="30"/>
    </row>
    <row r="2077" spans="1:8" x14ac:dyDescent="0.2">
      <c r="A2077" s="30"/>
      <c r="B2077" s="66"/>
      <c r="C2077" s="30"/>
      <c r="D2077" s="48"/>
      <c r="E2077" s="169"/>
      <c r="F2077" s="170"/>
      <c r="G2077" s="30"/>
      <c r="H2077" s="30"/>
    </row>
  </sheetData>
  <mergeCells count="409">
    <mergeCell ref="A1209:B1209"/>
    <mergeCell ref="A1210:B1210"/>
    <mergeCell ref="A1202:B1202"/>
    <mergeCell ref="A1203:B1203"/>
    <mergeCell ref="A1204:B1204"/>
    <mergeCell ref="E1205:E1206"/>
    <mergeCell ref="A1206:B1206"/>
    <mergeCell ref="A1207:B1207"/>
    <mergeCell ref="A1208:B1208"/>
    <mergeCell ref="A855:B855"/>
    <mergeCell ref="E855:E856"/>
    <mergeCell ref="A856:B856"/>
    <mergeCell ref="A857:B857"/>
    <mergeCell ref="A858:B858"/>
    <mergeCell ref="A859:B859"/>
    <mergeCell ref="A860:B860"/>
    <mergeCell ref="A820:B820"/>
    <mergeCell ref="A821:B821"/>
    <mergeCell ref="A822:B822"/>
    <mergeCell ref="A823:B823"/>
    <mergeCell ref="A824:B824"/>
    <mergeCell ref="A852:B852"/>
    <mergeCell ref="A853:B853"/>
    <mergeCell ref="A788:B788"/>
    <mergeCell ref="A789:B789"/>
    <mergeCell ref="A790:B790"/>
    <mergeCell ref="A816:B816"/>
    <mergeCell ref="A817:B817"/>
    <mergeCell ref="A818:B818"/>
    <mergeCell ref="A819:B819"/>
    <mergeCell ref="E819:E820"/>
    <mergeCell ref="A854:B854"/>
    <mergeCell ref="A762:B762"/>
    <mergeCell ref="A763:B763"/>
    <mergeCell ref="A782:B782"/>
    <mergeCell ref="A783:B783"/>
    <mergeCell ref="A784:B784"/>
    <mergeCell ref="A785:B785"/>
    <mergeCell ref="E785:E786"/>
    <mergeCell ref="A786:B786"/>
    <mergeCell ref="A787:B787"/>
    <mergeCell ref="A734:B734"/>
    <mergeCell ref="A755:B755"/>
    <mergeCell ref="A756:B756"/>
    <mergeCell ref="A757:B757"/>
    <mergeCell ref="E758:E759"/>
    <mergeCell ref="A758:B758"/>
    <mergeCell ref="A759:B759"/>
    <mergeCell ref="A760:B760"/>
    <mergeCell ref="A761:B761"/>
    <mergeCell ref="A726:B726"/>
    <mergeCell ref="A727:B727"/>
    <mergeCell ref="A728:B728"/>
    <mergeCell ref="A729:B729"/>
    <mergeCell ref="E729:E730"/>
    <mergeCell ref="A730:B730"/>
    <mergeCell ref="A731:B731"/>
    <mergeCell ref="A732:B732"/>
    <mergeCell ref="A733:B733"/>
    <mergeCell ref="A700:B700"/>
    <mergeCell ref="E700:E701"/>
    <mergeCell ref="A701:B701"/>
    <mergeCell ref="A702:B702"/>
    <mergeCell ref="A703:B703"/>
    <mergeCell ref="A704:B704"/>
    <mergeCell ref="A705:B705"/>
    <mergeCell ref="A672:B672"/>
    <mergeCell ref="A673:B673"/>
    <mergeCell ref="A674:B674"/>
    <mergeCell ref="A675:B675"/>
    <mergeCell ref="A676:B676"/>
    <mergeCell ref="A697:B697"/>
    <mergeCell ref="A698:B698"/>
    <mergeCell ref="A637:B637"/>
    <mergeCell ref="A638:B638"/>
    <mergeCell ref="A639:B639"/>
    <mergeCell ref="A668:B668"/>
    <mergeCell ref="A669:B669"/>
    <mergeCell ref="A670:B670"/>
    <mergeCell ref="A671:B671"/>
    <mergeCell ref="E671:E672"/>
    <mergeCell ref="A699:B699"/>
    <mergeCell ref="A605:B605"/>
    <mergeCell ref="A606:B606"/>
    <mergeCell ref="A631:B631"/>
    <mergeCell ref="A632:B632"/>
    <mergeCell ref="A633:B633"/>
    <mergeCell ref="A634:B634"/>
    <mergeCell ref="E634:E635"/>
    <mergeCell ref="A635:B635"/>
    <mergeCell ref="A636:B636"/>
    <mergeCell ref="A575:B575"/>
    <mergeCell ref="A598:B598"/>
    <mergeCell ref="A599:B599"/>
    <mergeCell ref="A600:B600"/>
    <mergeCell ref="E601:E602"/>
    <mergeCell ref="A601:B601"/>
    <mergeCell ref="A602:B602"/>
    <mergeCell ref="A603:B603"/>
    <mergeCell ref="A604:B604"/>
    <mergeCell ref="A567:B567"/>
    <mergeCell ref="A568:B568"/>
    <mergeCell ref="A569:B569"/>
    <mergeCell ref="A570:B570"/>
    <mergeCell ref="E570:E571"/>
    <mergeCell ref="A571:B571"/>
    <mergeCell ref="A572:B572"/>
    <mergeCell ref="A573:B573"/>
    <mergeCell ref="A574:B574"/>
    <mergeCell ref="A543:B543"/>
    <mergeCell ref="E543:E544"/>
    <mergeCell ref="A544:B544"/>
    <mergeCell ref="A545:B545"/>
    <mergeCell ref="A546:B546"/>
    <mergeCell ref="A547:B547"/>
    <mergeCell ref="A548:B548"/>
    <mergeCell ref="A513:B513"/>
    <mergeCell ref="A514:B514"/>
    <mergeCell ref="A515:B515"/>
    <mergeCell ref="A516:B516"/>
    <mergeCell ref="A517:B517"/>
    <mergeCell ref="A540:B540"/>
    <mergeCell ref="A541:B541"/>
    <mergeCell ref="A488:B488"/>
    <mergeCell ref="A489:B489"/>
    <mergeCell ref="A490:B490"/>
    <mergeCell ref="A509:B509"/>
    <mergeCell ref="A510:B510"/>
    <mergeCell ref="A511:B511"/>
    <mergeCell ref="A512:B512"/>
    <mergeCell ref="E512:E513"/>
    <mergeCell ref="A542:B542"/>
    <mergeCell ref="A458:B458"/>
    <mergeCell ref="A459:B459"/>
    <mergeCell ref="A482:B482"/>
    <mergeCell ref="A483:B483"/>
    <mergeCell ref="A484:B484"/>
    <mergeCell ref="A485:B485"/>
    <mergeCell ref="E485:E486"/>
    <mergeCell ref="A486:B486"/>
    <mergeCell ref="A487:B487"/>
    <mergeCell ref="A432:B432"/>
    <mergeCell ref="A451:B451"/>
    <mergeCell ref="A452:B452"/>
    <mergeCell ref="A453:B453"/>
    <mergeCell ref="E454:E455"/>
    <mergeCell ref="A454:B454"/>
    <mergeCell ref="A455:B455"/>
    <mergeCell ref="A456:B456"/>
    <mergeCell ref="A457:B457"/>
    <mergeCell ref="A424:B424"/>
    <mergeCell ref="A425:B425"/>
    <mergeCell ref="A426:B426"/>
    <mergeCell ref="A427:B427"/>
    <mergeCell ref="E427:E428"/>
    <mergeCell ref="A428:B428"/>
    <mergeCell ref="A429:B429"/>
    <mergeCell ref="A430:B430"/>
    <mergeCell ref="A431:B431"/>
    <mergeCell ref="A400:B400"/>
    <mergeCell ref="E400:E401"/>
    <mergeCell ref="A401:B401"/>
    <mergeCell ref="A402:B402"/>
    <mergeCell ref="A403:B403"/>
    <mergeCell ref="A404:B404"/>
    <mergeCell ref="A405:B405"/>
    <mergeCell ref="A367:B367"/>
    <mergeCell ref="A368:B368"/>
    <mergeCell ref="A369:B369"/>
    <mergeCell ref="A370:B370"/>
    <mergeCell ref="A371:B371"/>
    <mergeCell ref="A397:B397"/>
    <mergeCell ref="A398:B398"/>
    <mergeCell ref="A342:B342"/>
    <mergeCell ref="A343:B343"/>
    <mergeCell ref="A344:B344"/>
    <mergeCell ref="A363:B363"/>
    <mergeCell ref="A364:B364"/>
    <mergeCell ref="A365:B365"/>
    <mergeCell ref="A366:B366"/>
    <mergeCell ref="E366:E367"/>
    <mergeCell ref="A399:B399"/>
    <mergeCell ref="A316:B316"/>
    <mergeCell ref="A317:B317"/>
    <mergeCell ref="A336:B336"/>
    <mergeCell ref="A337:B337"/>
    <mergeCell ref="A338:B338"/>
    <mergeCell ref="A339:B339"/>
    <mergeCell ref="E339:E340"/>
    <mergeCell ref="A340:B340"/>
    <mergeCell ref="A341:B341"/>
    <mergeCell ref="A283:B283"/>
    <mergeCell ref="A309:B309"/>
    <mergeCell ref="A310:B310"/>
    <mergeCell ref="A311:B311"/>
    <mergeCell ref="E312:E313"/>
    <mergeCell ref="A312:B312"/>
    <mergeCell ref="A313:B313"/>
    <mergeCell ref="A314:B314"/>
    <mergeCell ref="A315:B315"/>
    <mergeCell ref="A275:B275"/>
    <mergeCell ref="A276:B276"/>
    <mergeCell ref="A277:B277"/>
    <mergeCell ref="A278:B278"/>
    <mergeCell ref="E278:E279"/>
    <mergeCell ref="A279:B279"/>
    <mergeCell ref="A280:B280"/>
    <mergeCell ref="A281:B281"/>
    <mergeCell ref="A282:B282"/>
    <mergeCell ref="A251:B251"/>
    <mergeCell ref="E251:E252"/>
    <mergeCell ref="A252:B252"/>
    <mergeCell ref="A253:B253"/>
    <mergeCell ref="A254:B254"/>
    <mergeCell ref="A255:B255"/>
    <mergeCell ref="A256:B256"/>
    <mergeCell ref="A225:B225"/>
    <mergeCell ref="A226:B226"/>
    <mergeCell ref="A227:B227"/>
    <mergeCell ref="A228:B228"/>
    <mergeCell ref="A229:B229"/>
    <mergeCell ref="A248:B248"/>
    <mergeCell ref="A249:B249"/>
    <mergeCell ref="A200:B200"/>
    <mergeCell ref="A201:B201"/>
    <mergeCell ref="A202:B202"/>
    <mergeCell ref="A221:B221"/>
    <mergeCell ref="A222:B222"/>
    <mergeCell ref="A223:B223"/>
    <mergeCell ref="A224:B224"/>
    <mergeCell ref="E224:E225"/>
    <mergeCell ref="A250:B250"/>
    <mergeCell ref="A174:B174"/>
    <mergeCell ref="A175:B175"/>
    <mergeCell ref="A194:B194"/>
    <mergeCell ref="A195:B195"/>
    <mergeCell ref="A196:B196"/>
    <mergeCell ref="A197:B197"/>
    <mergeCell ref="E197:E198"/>
    <mergeCell ref="A198:B198"/>
    <mergeCell ref="A199:B199"/>
    <mergeCell ref="A147:B147"/>
    <mergeCell ref="A167:B167"/>
    <mergeCell ref="A168:B168"/>
    <mergeCell ref="A169:B169"/>
    <mergeCell ref="E170:E171"/>
    <mergeCell ref="A170:B170"/>
    <mergeCell ref="A171:B171"/>
    <mergeCell ref="A172:B172"/>
    <mergeCell ref="A173:B173"/>
    <mergeCell ref="A139:B139"/>
    <mergeCell ref="A140:B140"/>
    <mergeCell ref="A141:B141"/>
    <mergeCell ref="A142:B142"/>
    <mergeCell ref="E142:E143"/>
    <mergeCell ref="A143:B143"/>
    <mergeCell ref="A144:B144"/>
    <mergeCell ref="A145:B145"/>
    <mergeCell ref="A146:B146"/>
    <mergeCell ref="A115:B115"/>
    <mergeCell ref="E115:E116"/>
    <mergeCell ref="A116:B116"/>
    <mergeCell ref="A117:B117"/>
    <mergeCell ref="A118:B118"/>
    <mergeCell ref="A119:B119"/>
    <mergeCell ref="A120:B120"/>
    <mergeCell ref="A89:B89"/>
    <mergeCell ref="A90:B90"/>
    <mergeCell ref="A91:B91"/>
    <mergeCell ref="A92:B92"/>
    <mergeCell ref="A93:B93"/>
    <mergeCell ref="A112:B112"/>
    <mergeCell ref="A113:B113"/>
    <mergeCell ref="A64:B64"/>
    <mergeCell ref="A65:B65"/>
    <mergeCell ref="A66:B66"/>
    <mergeCell ref="A85:B85"/>
    <mergeCell ref="A86:B86"/>
    <mergeCell ref="A87:B87"/>
    <mergeCell ref="A88:B88"/>
    <mergeCell ref="E88:E89"/>
    <mergeCell ref="A114:B114"/>
    <mergeCell ref="A38:B38"/>
    <mergeCell ref="A39:B39"/>
    <mergeCell ref="A58:B58"/>
    <mergeCell ref="A59:B59"/>
    <mergeCell ref="A60:B60"/>
    <mergeCell ref="A61:B61"/>
    <mergeCell ref="E61:E62"/>
    <mergeCell ref="A62:B62"/>
    <mergeCell ref="A63:B63"/>
    <mergeCell ref="A10:B10"/>
    <mergeCell ref="A31:B31"/>
    <mergeCell ref="A32:B32"/>
    <mergeCell ref="A33:B33"/>
    <mergeCell ref="E34:E35"/>
    <mergeCell ref="A34:B34"/>
    <mergeCell ref="A35:B35"/>
    <mergeCell ref="A36:B36"/>
    <mergeCell ref="A37:B37"/>
    <mergeCell ref="A2:B2"/>
    <mergeCell ref="A3:B3"/>
    <mergeCell ref="A4:B4"/>
    <mergeCell ref="A5:B5"/>
    <mergeCell ref="E5:E6"/>
    <mergeCell ref="A6:B6"/>
    <mergeCell ref="A7:B7"/>
    <mergeCell ref="A8:B8"/>
    <mergeCell ref="A9:B9"/>
    <mergeCell ref="A1176:B1176"/>
    <mergeCell ref="E1176:E1177"/>
    <mergeCell ref="A1177:B1177"/>
    <mergeCell ref="A1178:B1178"/>
    <mergeCell ref="A1179:B1179"/>
    <mergeCell ref="A1180:B1180"/>
    <mergeCell ref="A1181:B1181"/>
    <mergeCell ref="A1148:B1148"/>
    <mergeCell ref="A1149:B1149"/>
    <mergeCell ref="A1150:B1150"/>
    <mergeCell ref="A1151:B1151"/>
    <mergeCell ref="A1152:B1152"/>
    <mergeCell ref="A1173:B1173"/>
    <mergeCell ref="A1174:B1174"/>
    <mergeCell ref="A1123:B1123"/>
    <mergeCell ref="A1124:B1124"/>
    <mergeCell ref="A1125:B1125"/>
    <mergeCell ref="A1144:B1144"/>
    <mergeCell ref="A1145:B1145"/>
    <mergeCell ref="A1146:B1146"/>
    <mergeCell ref="A1147:B1147"/>
    <mergeCell ref="E1147:E1148"/>
    <mergeCell ref="A1175:B1175"/>
    <mergeCell ref="A1090:B1090"/>
    <mergeCell ref="A1091:B1091"/>
    <mergeCell ref="A1117:B1117"/>
    <mergeCell ref="A1118:B1118"/>
    <mergeCell ref="A1119:B1119"/>
    <mergeCell ref="A1120:B1120"/>
    <mergeCell ref="E1120:E1121"/>
    <mergeCell ref="A1121:B1121"/>
    <mergeCell ref="A1122:B1122"/>
    <mergeCell ref="A1057:B1057"/>
    <mergeCell ref="A1083:B1083"/>
    <mergeCell ref="A1084:B1084"/>
    <mergeCell ref="A1085:B1085"/>
    <mergeCell ref="E1086:E1087"/>
    <mergeCell ref="A1086:B1086"/>
    <mergeCell ref="A1087:B1087"/>
    <mergeCell ref="A1088:B1088"/>
    <mergeCell ref="A1089:B1089"/>
    <mergeCell ref="A1049:B1049"/>
    <mergeCell ref="A1050:B1050"/>
    <mergeCell ref="A1051:B1051"/>
    <mergeCell ref="A1052:B1052"/>
    <mergeCell ref="E1052:E1053"/>
    <mergeCell ref="A1053:B1053"/>
    <mergeCell ref="A1054:B1054"/>
    <mergeCell ref="A1055:B1055"/>
    <mergeCell ref="A1056:B1056"/>
    <mergeCell ref="A1025:B1025"/>
    <mergeCell ref="E1025:E1026"/>
    <mergeCell ref="A1026:B1026"/>
    <mergeCell ref="A1027:B1027"/>
    <mergeCell ref="A1028:B1028"/>
    <mergeCell ref="A1029:B1029"/>
    <mergeCell ref="A1030:B1030"/>
    <mergeCell ref="A992:B992"/>
    <mergeCell ref="A993:B993"/>
    <mergeCell ref="A994:B994"/>
    <mergeCell ref="A995:B995"/>
    <mergeCell ref="A996:B996"/>
    <mergeCell ref="A1022:B1022"/>
    <mergeCell ref="A1023:B1023"/>
    <mergeCell ref="A960:B960"/>
    <mergeCell ref="A961:B961"/>
    <mergeCell ref="A962:B962"/>
    <mergeCell ref="A988:B988"/>
    <mergeCell ref="A989:B989"/>
    <mergeCell ref="A990:B990"/>
    <mergeCell ref="A991:B991"/>
    <mergeCell ref="E991:E992"/>
    <mergeCell ref="A1024:B1024"/>
    <mergeCell ref="A927:B927"/>
    <mergeCell ref="A928:B928"/>
    <mergeCell ref="A954:B954"/>
    <mergeCell ref="A955:B955"/>
    <mergeCell ref="A956:B956"/>
    <mergeCell ref="A957:B957"/>
    <mergeCell ref="E957:E958"/>
    <mergeCell ref="A958:B958"/>
    <mergeCell ref="A959:B959"/>
    <mergeCell ref="A894:B894"/>
    <mergeCell ref="A920:B920"/>
    <mergeCell ref="A921:B921"/>
    <mergeCell ref="A922:B922"/>
    <mergeCell ref="E923:E924"/>
    <mergeCell ref="A923:B923"/>
    <mergeCell ref="A924:B924"/>
    <mergeCell ref="A925:B925"/>
    <mergeCell ref="A926:B926"/>
    <mergeCell ref="A886:B886"/>
    <mergeCell ref="A887:B887"/>
    <mergeCell ref="A888:B888"/>
    <mergeCell ref="A889:B889"/>
    <mergeCell ref="E889:E890"/>
    <mergeCell ref="A890:B890"/>
    <mergeCell ref="A891:B891"/>
    <mergeCell ref="A892:B892"/>
    <mergeCell ref="A893:B893"/>
  </mergeCells>
  <dataValidations count="2">
    <dataValidation type="list" allowBlank="1" showErrorMessage="1" sqref="F13:F24 F69:F78 F150:F160 F965:F981 F999:F1015 F1033:F1042 F1128:F1137" xr:uid="{00000000-0002-0000-0100-000000000000}">
      <formula1>"Y,N,-"</formula1>
    </dataValidation>
    <dataValidation type="list" allowBlank="1" showErrorMessage="1" sqref="F42:F51 F96:F105 F123:F132 F178:F187 F205:F214 F232:F241 F259:F268 F286:F302 F320:F329 F347:F356 F374:F390 F408:F417 F435:F444 F462:F475 F493:F502 F520:F533 F551:F560 F578:F591 F609:F624 F642:F661 F679:F690 F708:F719 F737:F748 F766:F775 F793:F809 F827:F845 F863:F879 F897:F913 F931:F947 F1060:F1076 F1094:F1110 F1155:F1166 F1184:F1195 F1213:F1224" xr:uid="{00000000-0002-0000-0100-000001000000}">
      <formula1>"-,Y,N"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962"/>
  <sheetViews>
    <sheetView workbookViewId="0">
      <selection activeCell="K11" sqref="K11"/>
    </sheetView>
  </sheetViews>
  <sheetFormatPr defaultColWidth="12.5703125" defaultRowHeight="15.75" customHeight="1" x14ac:dyDescent="0.2"/>
  <cols>
    <col min="1" max="1" width="9.7109375" customWidth="1"/>
    <col min="2" max="2" width="21.28515625" customWidth="1"/>
    <col min="3" max="3" width="15.7109375" customWidth="1"/>
    <col min="4" max="4" width="17.5703125" customWidth="1"/>
    <col min="6" max="6" width="15.85546875" customWidth="1"/>
    <col min="10" max="10" width="26.85546875" customWidth="1"/>
    <col min="11" max="11" width="15.28515625" customWidth="1"/>
    <col min="12" max="12" width="20.140625" customWidth="1"/>
    <col min="14" max="15" width="15.5703125" customWidth="1"/>
    <col min="16" max="16" width="14.42578125" customWidth="1"/>
    <col min="18" max="18" width="15.5703125" customWidth="1"/>
    <col min="20" max="20" width="16.5703125" customWidth="1"/>
    <col min="22" max="22" width="16.42578125" customWidth="1"/>
    <col min="24" max="24" width="16.140625" customWidth="1"/>
    <col min="28" max="28" width="14.42578125" customWidth="1"/>
    <col min="30" max="30" width="14.42578125" customWidth="1"/>
    <col min="32" max="32" width="13.42578125" customWidth="1"/>
  </cols>
  <sheetData>
    <row r="1" spans="1:33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x14ac:dyDescent="0.2">
      <c r="A2" s="256" t="s">
        <v>220</v>
      </c>
      <c r="B2" s="257"/>
      <c r="C2" s="31"/>
      <c r="D2" s="31"/>
      <c r="E2" s="31"/>
      <c r="F2" s="31"/>
      <c r="G2" s="31"/>
      <c r="H2" s="32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x14ac:dyDescent="0.2">
      <c r="A3" s="265" t="s">
        <v>7</v>
      </c>
      <c r="B3" s="259"/>
      <c r="C3" s="33">
        <v>40000</v>
      </c>
      <c r="D3" s="35"/>
      <c r="E3" s="35"/>
      <c r="F3" s="35"/>
      <c r="G3" s="35"/>
      <c r="H3" s="36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x14ac:dyDescent="0.2">
      <c r="A4" s="265" t="s">
        <v>8</v>
      </c>
      <c r="B4" s="259"/>
      <c r="C4" s="37" t="s">
        <v>9</v>
      </c>
      <c r="D4" s="35"/>
      <c r="E4" s="38"/>
      <c r="F4" s="38"/>
      <c r="G4" s="38"/>
      <c r="H4" s="39" t="s">
        <v>10</v>
      </c>
      <c r="I4" s="30"/>
      <c r="J4" s="40" t="s">
        <v>11</v>
      </c>
      <c r="K4" s="41" t="s">
        <v>12</v>
      </c>
      <c r="L4" s="41" t="s">
        <v>10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">
      <c r="A5" s="265" t="s">
        <v>13</v>
      </c>
      <c r="B5" s="259"/>
      <c r="C5" s="43">
        <v>4000</v>
      </c>
      <c r="D5" s="163">
        <v>1.1000000000000001</v>
      </c>
      <c r="E5" s="266" t="s">
        <v>14</v>
      </c>
      <c r="F5" s="45" t="s">
        <v>15</v>
      </c>
      <c r="G5" s="43">
        <v>40000</v>
      </c>
      <c r="H5" s="46"/>
      <c r="I5" s="30"/>
      <c r="J5" s="47" t="s">
        <v>16</v>
      </c>
      <c r="K5" s="48">
        <f>SUM(G5,G34,G61,G88,G115,G142,G169,G203,G239,G266,G293,G320,G347,G374,G401,G428,G455,G482,G509,G536,G563,G589)</f>
        <v>218610</v>
      </c>
      <c r="L5" s="49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s="265" t="s">
        <v>17</v>
      </c>
      <c r="B6" s="259"/>
      <c r="C6" s="43">
        <v>2</v>
      </c>
      <c r="D6" s="44"/>
      <c r="E6" s="261"/>
      <c r="F6" s="45" t="s">
        <v>18</v>
      </c>
      <c r="G6" s="43">
        <v>0</v>
      </c>
      <c r="H6" s="46"/>
      <c r="I6" s="30"/>
      <c r="J6" s="47" t="s">
        <v>19</v>
      </c>
      <c r="K6" s="50"/>
      <c r="L6" s="49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">
      <c r="A7" s="265" t="s">
        <v>20</v>
      </c>
      <c r="B7" s="259"/>
      <c r="C7" s="43">
        <f>C5*C6</f>
        <v>8000</v>
      </c>
      <c r="D7" s="35"/>
      <c r="E7" s="54"/>
      <c r="F7" s="35"/>
      <c r="G7" s="44"/>
      <c r="H7" s="36"/>
      <c r="I7" s="30"/>
      <c r="J7" s="47" t="s">
        <v>21</v>
      </c>
      <c r="K7" s="50">
        <f>SUM(C8,C37,C64,C91,C118,C145,C172,C206,C242,C269,C296,C323,C350,C377,C404,C431,C458,C485,C512,C539,C566,C592)</f>
        <v>1103500</v>
      </c>
      <c r="L7" s="49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x14ac:dyDescent="0.2">
      <c r="A8" s="265" t="s">
        <v>22</v>
      </c>
      <c r="B8" s="259"/>
      <c r="C8" s="33">
        <f>C3+C7</f>
        <v>48000</v>
      </c>
      <c r="D8" s="35"/>
      <c r="E8" s="35"/>
      <c r="F8" s="35"/>
      <c r="G8" s="35"/>
      <c r="H8" s="36"/>
      <c r="I8" s="30"/>
      <c r="J8" s="47" t="s">
        <v>23</v>
      </c>
      <c r="K8" s="50">
        <f>K7-SUM(F25,F52,F79,F106,F133,F160,F194,F230,F257,F284,F311,F338,F365,F392,F419,F446,F473,F500,F527,F554,F581,F607)</f>
        <v>451480</v>
      </c>
      <c r="L8" s="49"/>
      <c r="M8" s="153">
        <f>350700+304250</f>
        <v>654950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">
      <c r="A9" s="265" t="s">
        <v>24</v>
      </c>
      <c r="B9" s="259"/>
      <c r="C9" s="116">
        <v>800</v>
      </c>
      <c r="D9" s="35" t="s">
        <v>221</v>
      </c>
      <c r="E9" s="35"/>
      <c r="F9" s="35" t="s">
        <v>26</v>
      </c>
      <c r="G9" s="35"/>
      <c r="H9" s="36"/>
      <c r="I9" s="30"/>
      <c r="J9" s="47" t="s">
        <v>27</v>
      </c>
      <c r="K9" s="50">
        <f>SUM(G6,G35,G62,G89,G116,G143,G170,G204,G240,G267,G294,G321,G348,G375,G402,G429,G456,G483,G510,G537,G564,G590)</f>
        <v>591390</v>
      </c>
      <c r="L9" s="49"/>
      <c r="M9" s="108"/>
      <c r="N9" s="108"/>
      <c r="O9" s="108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x14ac:dyDescent="0.2">
      <c r="A10" s="265" t="s">
        <v>28</v>
      </c>
      <c r="B10" s="259"/>
      <c r="C10" s="58" t="s">
        <v>179</v>
      </c>
      <c r="D10" s="35"/>
      <c r="E10" s="35"/>
      <c r="F10" s="35"/>
      <c r="G10" s="35"/>
      <c r="H10" s="36"/>
      <c r="I10" s="30"/>
      <c r="J10" s="59" t="s">
        <v>30</v>
      </c>
      <c r="K10" s="60">
        <f>K7-K8-K9-K14</f>
        <v>-5770</v>
      </c>
      <c r="L10" s="101"/>
      <c r="M10" s="152"/>
      <c r="N10" s="152"/>
      <c r="O10" s="152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">
      <c r="A11" s="62" t="s">
        <v>31</v>
      </c>
      <c r="B11" s="63" t="s">
        <v>32</v>
      </c>
      <c r="C11" s="45" t="s">
        <v>33</v>
      </c>
      <c r="D11" s="45" t="s">
        <v>34</v>
      </c>
      <c r="E11" s="45" t="s">
        <v>35</v>
      </c>
      <c r="F11" s="45" t="s">
        <v>36</v>
      </c>
      <c r="G11" s="45" t="s">
        <v>37</v>
      </c>
      <c r="H11" s="36"/>
      <c r="I11" s="30"/>
      <c r="J11" s="47" t="s">
        <v>38</v>
      </c>
      <c r="K11" s="64" t="e">
        <f ca="1">MINUS(K8,K5)</f>
        <v>#NAME?</v>
      </c>
      <c r="L11" s="49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x14ac:dyDescent="0.2">
      <c r="A12" s="62">
        <v>0</v>
      </c>
      <c r="B12" s="65"/>
      <c r="C12" s="65"/>
      <c r="D12" s="65"/>
      <c r="E12" s="65"/>
      <c r="F12" s="65"/>
      <c r="G12" s="43">
        <f>C8</f>
        <v>48000</v>
      </c>
      <c r="H12" s="36"/>
      <c r="I12" s="30"/>
      <c r="J12" s="47" t="s">
        <v>39</v>
      </c>
      <c r="K12" s="64">
        <f>SUM(E25,E52,E79,E106,E133,E160,E194,E230,E257,E284,E311,E338,E365,E392,E419,E446,E473,E500,E527,E554,E581,E607)</f>
        <v>179543.89162561577</v>
      </c>
      <c r="L12" s="49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 t="s">
        <v>222</v>
      </c>
      <c r="AB12" s="30"/>
      <c r="AC12" s="30"/>
      <c r="AD12" s="30"/>
      <c r="AE12" s="30"/>
      <c r="AF12" s="30"/>
      <c r="AG12" s="30"/>
    </row>
    <row r="13" spans="1:33" x14ac:dyDescent="0.2">
      <c r="A13" s="62">
        <v>1</v>
      </c>
      <c r="B13" s="45" t="s">
        <v>40</v>
      </c>
      <c r="C13" s="43">
        <v>4400</v>
      </c>
      <c r="D13" s="43">
        <f t="shared" ref="D13:D24" si="0">C13/1.2</f>
        <v>3666.666666666667</v>
      </c>
      <c r="E13" s="43">
        <f t="shared" ref="E13:E24" si="1">C13-D13</f>
        <v>733.33333333333303</v>
      </c>
      <c r="F13" s="43" t="s">
        <v>41</v>
      </c>
      <c r="G13" s="43">
        <f t="shared" ref="G13:G24" si="2">(G12-C13)</f>
        <v>43600</v>
      </c>
      <c r="H13" s="36"/>
      <c r="I13" s="30"/>
      <c r="J13" s="47" t="s">
        <v>42</v>
      </c>
      <c r="K13" s="64"/>
      <c r="L13" s="49"/>
      <c r="M13" s="67"/>
      <c r="N13" s="68" t="s">
        <v>43</v>
      </c>
      <c r="O13" s="71">
        <v>35750</v>
      </c>
      <c r="P13" s="70" t="s">
        <v>44</v>
      </c>
      <c r="Q13" s="71">
        <f>SUM(C21,C75,C128,C154,C180,C213,C249)</f>
        <v>31000</v>
      </c>
      <c r="R13" s="70" t="s">
        <v>223</v>
      </c>
      <c r="S13" s="72">
        <f>SUM(C22,C76,C129,C155,C181,C214,C250,C328)</f>
        <v>37950</v>
      </c>
      <c r="T13" s="70" t="s">
        <v>224</v>
      </c>
      <c r="U13" s="72">
        <f>SUM(C23,C130,C156,C182,C215,C251,C329,C355,C382)</f>
        <v>42070</v>
      </c>
      <c r="V13" s="70" t="s">
        <v>225</v>
      </c>
      <c r="W13" s="72">
        <f>SUM(C24,C157,C183,C216,C252,C274,C330,C356,C383,C409)</f>
        <v>43860</v>
      </c>
      <c r="X13" s="70" t="s">
        <v>226</v>
      </c>
      <c r="Y13" s="72">
        <f>SUM(C184,C217,C253,C275,C303,C331,C357,C384,C410,C436)</f>
        <v>60830</v>
      </c>
      <c r="Z13" s="70" t="s">
        <v>49</v>
      </c>
      <c r="AA13" s="72">
        <f>SUM(C185,C218,C254,C276,C304,C332,C358,C385,C411,C437,C463)</f>
        <v>47680</v>
      </c>
      <c r="AB13" s="70" t="s">
        <v>50</v>
      </c>
      <c r="AC13" s="72">
        <f>SUM(C186,C219,C255,C277,C305,C333,C359,C386,C412,C438,C464,C490,C517)</f>
        <v>43430</v>
      </c>
      <c r="AD13" s="70" t="s">
        <v>51</v>
      </c>
      <c r="AE13" s="72">
        <f>SUM(C187,C220,C278,C306,C334,C387,C413,C439,C465,C491,C518)</f>
        <v>24110</v>
      </c>
      <c r="AF13" s="70" t="s">
        <v>52</v>
      </c>
      <c r="AG13" s="72">
        <f>SUM(C188,C221,C279,C307,C335,C360,C361,C388,C414,C440,C466,C492,C519,C571)</f>
        <v>48860</v>
      </c>
    </row>
    <row r="14" spans="1:33" x14ac:dyDescent="0.2">
      <c r="A14" s="62">
        <v>2</v>
      </c>
      <c r="B14" s="45" t="s">
        <v>53</v>
      </c>
      <c r="C14" s="43">
        <v>3200</v>
      </c>
      <c r="D14" s="43">
        <f t="shared" si="0"/>
        <v>2666.666666666667</v>
      </c>
      <c r="E14" s="43">
        <f t="shared" si="1"/>
        <v>533.33333333333303</v>
      </c>
      <c r="F14" s="43" t="s">
        <v>41</v>
      </c>
      <c r="G14" s="43">
        <f t="shared" si="2"/>
        <v>40400</v>
      </c>
      <c r="H14" s="36"/>
      <c r="I14" s="30"/>
      <c r="J14" s="47" t="s">
        <v>54</v>
      </c>
      <c r="K14" s="50">
        <f>K29</f>
        <v>66400</v>
      </c>
      <c r="L14" s="49"/>
      <c r="M14" s="73"/>
      <c r="N14" s="74" t="s">
        <v>55</v>
      </c>
      <c r="O14" s="75">
        <v>12450</v>
      </c>
      <c r="P14" s="76" t="s">
        <v>56</v>
      </c>
      <c r="Q14" s="75">
        <v>0</v>
      </c>
      <c r="R14" s="76" t="s">
        <v>57</v>
      </c>
      <c r="S14" s="75">
        <v>1000</v>
      </c>
      <c r="T14" s="76" t="s">
        <v>58</v>
      </c>
      <c r="U14" s="75">
        <v>0</v>
      </c>
      <c r="V14" s="76" t="s">
        <v>59</v>
      </c>
      <c r="W14" s="75">
        <v>3270</v>
      </c>
      <c r="X14" s="76" t="s">
        <v>60</v>
      </c>
      <c r="Y14" s="75">
        <v>1130</v>
      </c>
      <c r="Z14" s="76" t="s">
        <v>60</v>
      </c>
      <c r="AA14" s="75">
        <v>1960</v>
      </c>
      <c r="AB14" s="76" t="s">
        <v>62</v>
      </c>
      <c r="AC14" s="75">
        <v>0</v>
      </c>
      <c r="AD14" s="76" t="s">
        <v>63</v>
      </c>
      <c r="AE14" s="75">
        <v>0</v>
      </c>
      <c r="AF14" s="76" t="s">
        <v>64</v>
      </c>
      <c r="AG14" s="75">
        <v>0</v>
      </c>
    </row>
    <row r="15" spans="1:33" x14ac:dyDescent="0.2">
      <c r="A15" s="62">
        <v>3</v>
      </c>
      <c r="B15" s="45" t="s">
        <v>65</v>
      </c>
      <c r="C15" s="43">
        <v>2400</v>
      </c>
      <c r="D15" s="43">
        <f t="shared" si="0"/>
        <v>2000</v>
      </c>
      <c r="E15" s="43">
        <f t="shared" si="1"/>
        <v>400</v>
      </c>
      <c r="F15" s="43" t="s">
        <v>41</v>
      </c>
      <c r="G15" s="43">
        <f t="shared" si="2"/>
        <v>38000</v>
      </c>
      <c r="H15" s="36"/>
      <c r="I15" s="30"/>
      <c r="J15" s="30"/>
      <c r="K15" s="30"/>
      <c r="L15" s="30"/>
      <c r="M15" s="73"/>
      <c r="N15" s="74" t="s">
        <v>227</v>
      </c>
      <c r="O15" s="75"/>
      <c r="P15" s="74" t="s">
        <v>227</v>
      </c>
      <c r="Q15" s="75"/>
      <c r="R15" s="74" t="s">
        <v>227</v>
      </c>
      <c r="S15" s="75"/>
      <c r="T15" s="74" t="s">
        <v>227</v>
      </c>
      <c r="U15" s="75"/>
      <c r="V15" s="74" t="s">
        <v>227</v>
      </c>
      <c r="W15" s="75"/>
      <c r="X15" s="74" t="s">
        <v>227</v>
      </c>
      <c r="Y15" s="75"/>
      <c r="Z15" s="74" t="s">
        <v>227</v>
      </c>
      <c r="AA15" s="75"/>
      <c r="AB15" s="74" t="s">
        <v>227</v>
      </c>
      <c r="AC15" s="75"/>
      <c r="AD15" s="74" t="s">
        <v>227</v>
      </c>
      <c r="AE15" s="75"/>
      <c r="AF15" s="74" t="s">
        <v>227</v>
      </c>
      <c r="AG15" s="75"/>
    </row>
    <row r="16" spans="1:33" x14ac:dyDescent="0.2">
      <c r="A16" s="62">
        <v>4</v>
      </c>
      <c r="B16" s="45" t="s">
        <v>228</v>
      </c>
      <c r="C16" s="43">
        <v>4800</v>
      </c>
      <c r="D16" s="43">
        <f t="shared" si="0"/>
        <v>4000</v>
      </c>
      <c r="E16" s="43">
        <f t="shared" si="1"/>
        <v>800</v>
      </c>
      <c r="F16" s="43" t="s">
        <v>41</v>
      </c>
      <c r="G16" s="43">
        <f t="shared" si="2"/>
        <v>33200</v>
      </c>
      <c r="H16" s="36"/>
      <c r="I16" s="30"/>
      <c r="J16" s="30"/>
      <c r="K16" s="30"/>
      <c r="L16" s="30"/>
      <c r="M16" s="73"/>
      <c r="N16" s="74"/>
      <c r="O16" s="75"/>
      <c r="P16" s="74"/>
      <c r="Q16" s="75"/>
      <c r="R16" s="74"/>
      <c r="S16" s="75"/>
      <c r="T16" s="74" t="s">
        <v>229</v>
      </c>
      <c r="U16" s="75">
        <v>11200</v>
      </c>
      <c r="V16" s="74" t="s">
        <v>230</v>
      </c>
      <c r="W16" s="75">
        <v>4000</v>
      </c>
      <c r="X16" s="74"/>
      <c r="Y16" s="75"/>
      <c r="Z16" s="74"/>
      <c r="AA16" s="75"/>
      <c r="AB16" s="74"/>
      <c r="AC16" s="75"/>
      <c r="AD16" s="74"/>
      <c r="AE16" s="75"/>
      <c r="AF16" s="74"/>
      <c r="AG16" s="75"/>
    </row>
    <row r="17" spans="1:33" x14ac:dyDescent="0.2">
      <c r="A17" s="62">
        <v>5</v>
      </c>
      <c r="B17" s="45" t="s">
        <v>73</v>
      </c>
      <c r="C17" s="43">
        <v>4000</v>
      </c>
      <c r="D17" s="43">
        <f t="shared" si="0"/>
        <v>3333.3333333333335</v>
      </c>
      <c r="E17" s="43">
        <f t="shared" si="1"/>
        <v>666.66666666666652</v>
      </c>
      <c r="F17" s="43" t="s">
        <v>41</v>
      </c>
      <c r="G17" s="43">
        <f t="shared" si="2"/>
        <v>29200</v>
      </c>
      <c r="H17" s="36"/>
      <c r="I17" s="30"/>
      <c r="J17" s="56"/>
      <c r="K17" s="79"/>
      <c r="L17" s="30"/>
      <c r="M17" s="153"/>
      <c r="N17" s="77" t="s">
        <v>72</v>
      </c>
      <c r="O17" s="78">
        <f>SUM(O13:O16)</f>
        <v>48200</v>
      </c>
      <c r="P17" s="77" t="s">
        <v>72</v>
      </c>
      <c r="Q17" s="78">
        <f>SUM(Q13:Q16)</f>
        <v>31000</v>
      </c>
      <c r="R17" s="77" t="s">
        <v>72</v>
      </c>
      <c r="S17" s="78">
        <f>SUM(S13:S16)</f>
        <v>38950</v>
      </c>
      <c r="T17" s="77" t="s">
        <v>72</v>
      </c>
      <c r="U17" s="78">
        <f>SUM(U13:U16)</f>
        <v>53270</v>
      </c>
      <c r="V17" s="77" t="s">
        <v>72</v>
      </c>
      <c r="W17" s="78">
        <f>SUM(W13:W16)</f>
        <v>51130</v>
      </c>
      <c r="X17" s="77" t="s">
        <v>72</v>
      </c>
      <c r="Y17" s="78">
        <f>SUM(Y13:Y16)</f>
        <v>61960</v>
      </c>
      <c r="Z17" s="77" t="s">
        <v>72</v>
      </c>
      <c r="AA17" s="78">
        <f>SUM(AA13:AA16)</f>
        <v>49640</v>
      </c>
      <c r="AB17" s="77" t="s">
        <v>72</v>
      </c>
      <c r="AC17" s="78">
        <f>SUM(AC13:AC16)</f>
        <v>43430</v>
      </c>
      <c r="AD17" s="77" t="s">
        <v>72</v>
      </c>
      <c r="AE17" s="78">
        <f>SUM(AE13:AE16)</f>
        <v>24110</v>
      </c>
      <c r="AF17" s="77" t="s">
        <v>72</v>
      </c>
      <c r="AG17" s="78">
        <f>SUM(AG13:AG16)</f>
        <v>48860</v>
      </c>
    </row>
    <row r="18" spans="1:33" x14ac:dyDescent="0.2">
      <c r="A18" s="62">
        <v>6</v>
      </c>
      <c r="B18" s="45" t="s">
        <v>74</v>
      </c>
      <c r="C18" s="43">
        <v>4800</v>
      </c>
      <c r="D18" s="43">
        <f t="shared" si="0"/>
        <v>4000</v>
      </c>
      <c r="E18" s="43">
        <f t="shared" si="1"/>
        <v>800</v>
      </c>
      <c r="F18" s="43" t="s">
        <v>41</v>
      </c>
      <c r="G18" s="43">
        <f t="shared" si="2"/>
        <v>24400</v>
      </c>
      <c r="H18" s="36"/>
      <c r="I18" s="30"/>
      <c r="J18" s="151" t="s">
        <v>76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x14ac:dyDescent="0.2">
      <c r="A19" s="62">
        <v>7</v>
      </c>
      <c r="B19" s="45" t="s">
        <v>75</v>
      </c>
      <c r="C19" s="43">
        <v>4800</v>
      </c>
      <c r="D19" s="43">
        <f t="shared" si="0"/>
        <v>4000</v>
      </c>
      <c r="E19" s="43">
        <f t="shared" si="1"/>
        <v>800</v>
      </c>
      <c r="F19" s="43" t="s">
        <v>41</v>
      </c>
      <c r="G19" s="43">
        <f t="shared" si="2"/>
        <v>19600</v>
      </c>
      <c r="H19" s="36"/>
      <c r="I19" s="30"/>
      <c r="J19" s="81" t="s">
        <v>82</v>
      </c>
      <c r="K19" s="81" t="s">
        <v>12</v>
      </c>
      <c r="L19" s="81" t="s">
        <v>10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x14ac:dyDescent="0.2">
      <c r="A20" s="62">
        <v>8</v>
      </c>
      <c r="B20" s="45" t="s">
        <v>81</v>
      </c>
      <c r="C20" s="43">
        <v>4800</v>
      </c>
      <c r="D20" s="43">
        <f t="shared" si="0"/>
        <v>4000</v>
      </c>
      <c r="E20" s="43">
        <f t="shared" si="1"/>
        <v>800</v>
      </c>
      <c r="F20" s="43" t="s">
        <v>41</v>
      </c>
      <c r="G20" s="43">
        <f t="shared" si="2"/>
        <v>14800</v>
      </c>
      <c r="H20" s="36"/>
      <c r="I20" s="30"/>
      <c r="J20" s="137">
        <v>45761</v>
      </c>
      <c r="K20" s="83">
        <v>13430</v>
      </c>
      <c r="L20" s="126" t="s">
        <v>231</v>
      </c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x14ac:dyDescent="0.2">
      <c r="A21" s="62">
        <v>9</v>
      </c>
      <c r="B21" s="45" t="s">
        <v>232</v>
      </c>
      <c r="C21" s="65">
        <v>3200</v>
      </c>
      <c r="D21" s="43">
        <f t="shared" si="0"/>
        <v>2666.666666666667</v>
      </c>
      <c r="E21" s="43">
        <f t="shared" si="1"/>
        <v>533.33333333333303</v>
      </c>
      <c r="F21" s="43" t="s">
        <v>41</v>
      </c>
      <c r="G21" s="43">
        <f t="shared" si="2"/>
        <v>11600</v>
      </c>
      <c r="H21" s="36"/>
      <c r="I21" s="30"/>
      <c r="J21" s="136">
        <v>45768</v>
      </c>
      <c r="K21" s="83">
        <v>4110</v>
      </c>
      <c r="L21" s="166" t="s">
        <v>233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x14ac:dyDescent="0.2">
      <c r="A22" s="62">
        <v>10</v>
      </c>
      <c r="B22" s="45" t="s">
        <v>234</v>
      </c>
      <c r="C22" s="65">
        <v>4800</v>
      </c>
      <c r="D22" s="43">
        <f t="shared" si="0"/>
        <v>4000</v>
      </c>
      <c r="E22" s="43">
        <f t="shared" si="1"/>
        <v>800</v>
      </c>
      <c r="F22" s="43" t="s">
        <v>41</v>
      </c>
      <c r="G22" s="43">
        <f t="shared" si="2"/>
        <v>6800</v>
      </c>
      <c r="H22" s="36"/>
      <c r="I22" s="30"/>
      <c r="J22" s="136">
        <v>45775</v>
      </c>
      <c r="K22" s="83">
        <v>48860</v>
      </c>
      <c r="L22" s="126" t="s">
        <v>233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x14ac:dyDescent="0.2">
      <c r="A23" s="62">
        <v>11</v>
      </c>
      <c r="B23" s="45" t="s">
        <v>235</v>
      </c>
      <c r="C23" s="65">
        <v>4000</v>
      </c>
      <c r="D23" s="43">
        <f t="shared" si="0"/>
        <v>3333.3333333333335</v>
      </c>
      <c r="E23" s="43">
        <f t="shared" si="1"/>
        <v>666.66666666666652</v>
      </c>
      <c r="F23" s="43" t="s">
        <v>41</v>
      </c>
      <c r="G23" s="43">
        <f t="shared" si="2"/>
        <v>2800</v>
      </c>
      <c r="H23" s="36"/>
      <c r="I23" s="30"/>
      <c r="J23" s="136"/>
      <c r="K23" s="83"/>
      <c r="L23" s="49"/>
      <c r="M23" s="30"/>
      <c r="N23" s="70" t="s">
        <v>77</v>
      </c>
      <c r="O23" s="72">
        <f>SUM(C189,C222,C280,C308,C336,C389,C415,C441,C467,C493,C520,C572)</f>
        <v>35480</v>
      </c>
      <c r="P23" s="70" t="s">
        <v>78</v>
      </c>
      <c r="Q23" s="72">
        <f>SUM(C190,C223,C281,C309,C337,C390,C416,C442,C468,C494,C521,C545,C573,C597)</f>
        <v>69060</v>
      </c>
      <c r="R23" s="70" t="s">
        <v>79</v>
      </c>
      <c r="S23" s="72"/>
      <c r="T23" s="70" t="s">
        <v>80</v>
      </c>
      <c r="U23" s="72"/>
      <c r="V23" s="70"/>
      <c r="W23" s="72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">
      <c r="A24" s="62">
        <v>12</v>
      </c>
      <c r="B24" s="45" t="s">
        <v>236</v>
      </c>
      <c r="C24" s="65">
        <v>2800</v>
      </c>
      <c r="D24" s="43">
        <f t="shared" si="0"/>
        <v>2333.3333333333335</v>
      </c>
      <c r="E24" s="43">
        <f t="shared" si="1"/>
        <v>466.66666666666652</v>
      </c>
      <c r="F24" s="43" t="s">
        <v>41</v>
      </c>
      <c r="G24" s="43">
        <f t="shared" si="2"/>
        <v>0</v>
      </c>
      <c r="H24" s="36"/>
      <c r="I24" s="30"/>
      <c r="J24" s="137"/>
      <c r="K24" s="83"/>
      <c r="L24" s="49"/>
      <c r="M24" s="30"/>
      <c r="N24" s="76" t="s">
        <v>237</v>
      </c>
      <c r="O24" s="75">
        <v>0</v>
      </c>
      <c r="P24" s="76" t="s">
        <v>84</v>
      </c>
      <c r="Q24" s="75">
        <v>-5770</v>
      </c>
      <c r="R24" s="76" t="s">
        <v>85</v>
      </c>
      <c r="S24" s="75"/>
      <c r="T24" s="76" t="s">
        <v>86</v>
      </c>
      <c r="U24" s="75"/>
      <c r="V24" s="76"/>
      <c r="W24" s="75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x14ac:dyDescent="0.2">
      <c r="A25" s="89"/>
      <c r="B25" s="90"/>
      <c r="C25" s="91"/>
      <c r="D25" s="111">
        <f>SUMIFS(D13:D24, F13:F24, "Y")</f>
        <v>40000.000000000007</v>
      </c>
      <c r="E25" s="111">
        <f>SUMIFS(E13:E24, F13:F24, "Y")</f>
        <v>7999.9999999999982</v>
      </c>
      <c r="F25" s="92">
        <f>(SUMIFS(D13:D24, F13:F24, "Y") + SUMIFS(E13:E24, F13:F24, "Y"))</f>
        <v>48000.000000000007</v>
      </c>
      <c r="G25" s="91"/>
      <c r="H25" s="93"/>
      <c r="I25" s="30"/>
      <c r="J25" s="83"/>
      <c r="K25" s="83"/>
      <c r="L25" s="49"/>
      <c r="M25" s="30"/>
      <c r="N25" s="74" t="s">
        <v>227</v>
      </c>
      <c r="O25" s="75"/>
      <c r="P25" s="74" t="s">
        <v>227</v>
      </c>
      <c r="Q25" s="75"/>
      <c r="R25" s="74" t="s">
        <v>227</v>
      </c>
      <c r="S25" s="75"/>
      <c r="T25" s="74" t="s">
        <v>227</v>
      </c>
      <c r="U25" s="75"/>
      <c r="V25" s="74"/>
      <c r="W25" s="75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x14ac:dyDescent="0.2">
      <c r="A26" s="30"/>
      <c r="B26" s="30"/>
      <c r="C26" s="30"/>
      <c r="D26" s="30"/>
      <c r="E26" s="30"/>
      <c r="F26" s="30"/>
      <c r="G26" s="30"/>
      <c r="H26" s="30"/>
      <c r="I26" s="30"/>
      <c r="J26" s="83"/>
      <c r="K26" s="83"/>
      <c r="L26" s="49"/>
      <c r="M26" s="30"/>
      <c r="N26" s="74" t="s">
        <v>238</v>
      </c>
      <c r="O26" s="75">
        <v>8750</v>
      </c>
      <c r="P26" s="74"/>
      <c r="Q26" s="75"/>
      <c r="R26" s="74"/>
      <c r="S26" s="75"/>
      <c r="T26" s="74"/>
      <c r="U26" s="75"/>
      <c r="V26" s="74"/>
      <c r="W26" s="75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x14ac:dyDescent="0.2">
      <c r="A27" s="30"/>
      <c r="B27" s="30"/>
      <c r="C27" s="30"/>
      <c r="D27" s="30"/>
      <c r="E27" s="30"/>
      <c r="F27" s="30"/>
      <c r="G27" s="30"/>
      <c r="H27" s="30"/>
      <c r="I27" s="30"/>
      <c r="J27" s="49"/>
      <c r="K27" s="49"/>
      <c r="L27" s="49"/>
      <c r="M27" s="30"/>
      <c r="N27" s="77" t="s">
        <v>72</v>
      </c>
      <c r="O27" s="78">
        <f>SUM(O23:O26)</f>
        <v>44230</v>
      </c>
      <c r="P27" s="77" t="s">
        <v>72</v>
      </c>
      <c r="Q27" s="78">
        <f>SUM(Q23:Q26)</f>
        <v>63290</v>
      </c>
      <c r="R27" s="77" t="s">
        <v>72</v>
      </c>
      <c r="S27" s="78">
        <f>SUM(S23:S26)</f>
        <v>0</v>
      </c>
      <c r="T27" s="77" t="s">
        <v>72</v>
      </c>
      <c r="U27" s="78">
        <f>SUM(U23:U26)</f>
        <v>0</v>
      </c>
      <c r="V27" s="77" t="s">
        <v>72</v>
      </c>
      <c r="W27" s="78">
        <f>SUM(W23:W26)</f>
        <v>0</v>
      </c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x14ac:dyDescent="0.2">
      <c r="A28" s="30"/>
      <c r="B28" s="30"/>
      <c r="C28" s="30"/>
      <c r="D28" s="30"/>
      <c r="E28" s="30"/>
      <c r="F28" s="30"/>
      <c r="G28" s="30"/>
      <c r="H28" s="30"/>
      <c r="I28" s="30"/>
      <c r="J28" s="49"/>
      <c r="K28" s="49"/>
      <c r="L28" s="49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x14ac:dyDescent="0.2">
      <c r="A29" s="30"/>
      <c r="B29" s="30"/>
      <c r="C29" s="30"/>
      <c r="D29" s="30"/>
      <c r="E29" s="30"/>
      <c r="F29" s="30"/>
      <c r="G29" s="30"/>
      <c r="H29" s="30"/>
      <c r="I29" s="30"/>
      <c r="J29" s="126" t="s">
        <v>72</v>
      </c>
      <c r="K29" s="102">
        <f>SUM(K20:K28)</f>
        <v>66400</v>
      </c>
      <c r="L29" s="49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199"/>
      <c r="L30" s="151"/>
      <c r="M30" s="151"/>
      <c r="N30" s="70" t="s">
        <v>92</v>
      </c>
      <c r="O30" s="72"/>
      <c r="P30" s="70" t="s">
        <v>93</v>
      </c>
      <c r="Q30" s="72"/>
      <c r="R30" s="70" t="s">
        <v>94</v>
      </c>
      <c r="S30" s="72"/>
      <c r="T30" s="70" t="s">
        <v>95</v>
      </c>
      <c r="U30" s="72"/>
      <c r="V30" s="70" t="s">
        <v>96</v>
      </c>
      <c r="W30" s="72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x14ac:dyDescent="0.2">
      <c r="A31" s="256" t="s">
        <v>239</v>
      </c>
      <c r="B31" s="257"/>
      <c r="C31" s="114" t="s">
        <v>240</v>
      </c>
      <c r="D31" s="162"/>
      <c r="E31" s="31"/>
      <c r="F31" s="31"/>
      <c r="G31" s="31"/>
      <c r="H31" s="32"/>
      <c r="I31" s="30"/>
      <c r="J31" s="30"/>
      <c r="K31" s="122"/>
      <c r="L31" s="66"/>
      <c r="M31" s="153"/>
      <c r="N31" s="76" t="s">
        <v>237</v>
      </c>
      <c r="O31" s="75"/>
      <c r="P31" s="76" t="s">
        <v>98</v>
      </c>
      <c r="Q31" s="75">
        <v>0</v>
      </c>
      <c r="R31" s="76" t="s">
        <v>99</v>
      </c>
      <c r="S31" s="75"/>
      <c r="T31" s="76" t="s">
        <v>100</v>
      </c>
      <c r="U31" s="75"/>
      <c r="V31" s="76" t="s">
        <v>95</v>
      </c>
      <c r="W31" s="75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x14ac:dyDescent="0.2">
      <c r="A32" s="265" t="s">
        <v>7</v>
      </c>
      <c r="B32" s="259"/>
      <c r="C32" s="33">
        <v>30000</v>
      </c>
      <c r="D32" s="34" t="s">
        <v>241</v>
      </c>
      <c r="E32" s="35"/>
      <c r="F32" s="35"/>
      <c r="G32" s="35"/>
      <c r="H32" s="36"/>
      <c r="I32" s="30"/>
      <c r="J32" s="30"/>
      <c r="K32" s="122"/>
      <c r="L32" s="66"/>
      <c r="M32" s="153"/>
      <c r="N32" s="74" t="s">
        <v>227</v>
      </c>
      <c r="O32" s="75"/>
      <c r="P32" s="74" t="s">
        <v>227</v>
      </c>
      <c r="Q32" s="75"/>
      <c r="R32" s="74" t="s">
        <v>227</v>
      </c>
      <c r="S32" s="75"/>
      <c r="T32" s="74" t="s">
        <v>227</v>
      </c>
      <c r="U32" s="75"/>
      <c r="V32" s="74" t="s">
        <v>227</v>
      </c>
      <c r="W32" s="75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x14ac:dyDescent="0.2">
      <c r="A33" s="265" t="s">
        <v>8</v>
      </c>
      <c r="B33" s="259"/>
      <c r="C33" s="37" t="s">
        <v>112</v>
      </c>
      <c r="D33" s="34"/>
      <c r="E33" s="38"/>
      <c r="F33" s="38"/>
      <c r="G33" s="38"/>
      <c r="H33" s="39" t="s">
        <v>10</v>
      </c>
      <c r="I33" s="30"/>
      <c r="J33" s="200"/>
      <c r="K33" s="201"/>
      <c r="L33" s="202"/>
      <c r="M33" s="80"/>
      <c r="N33" s="74"/>
      <c r="O33" s="75"/>
      <c r="P33" s="74"/>
      <c r="Q33" s="75"/>
      <c r="R33" s="74"/>
      <c r="S33" s="75"/>
      <c r="T33" s="74"/>
      <c r="U33" s="75"/>
      <c r="V33" s="74"/>
      <c r="W33" s="75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">
      <c r="A34" s="265" t="s">
        <v>103</v>
      </c>
      <c r="B34" s="259"/>
      <c r="C34" s="43">
        <v>6000</v>
      </c>
      <c r="D34" s="163">
        <v>1.2</v>
      </c>
      <c r="E34" s="266" t="s">
        <v>14</v>
      </c>
      <c r="F34" s="45" t="s">
        <v>15</v>
      </c>
      <c r="G34" s="43">
        <v>30000</v>
      </c>
      <c r="H34" s="46"/>
      <c r="I34" s="30"/>
      <c r="J34" s="203"/>
      <c r="K34" s="6"/>
      <c r="L34" s="204"/>
      <c r="M34" s="30"/>
      <c r="N34" s="77" t="s">
        <v>72</v>
      </c>
      <c r="O34" s="78">
        <f>SUM(O30:O33)</f>
        <v>0</v>
      </c>
      <c r="P34" s="77" t="s">
        <v>72</v>
      </c>
      <c r="Q34" s="78">
        <f>SUM(Q30:Q33)</f>
        <v>0</v>
      </c>
      <c r="R34" s="77" t="s">
        <v>72</v>
      </c>
      <c r="S34" s="78">
        <f>SUM(S30:S33)</f>
        <v>0</v>
      </c>
      <c r="T34" s="77" t="s">
        <v>72</v>
      </c>
      <c r="U34" s="78">
        <f>SUM(U30:U33)</f>
        <v>0</v>
      </c>
      <c r="V34" s="77" t="s">
        <v>72</v>
      </c>
      <c r="W34" s="78">
        <f>SUM(W30:W33)</f>
        <v>0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x14ac:dyDescent="0.2">
      <c r="A35" s="265" t="s">
        <v>17</v>
      </c>
      <c r="B35" s="259"/>
      <c r="C35" s="43">
        <v>2</v>
      </c>
      <c r="D35" s="163"/>
      <c r="E35" s="261"/>
      <c r="F35" s="45" t="s">
        <v>18</v>
      </c>
      <c r="G35" s="43">
        <v>0</v>
      </c>
      <c r="H35" s="46"/>
      <c r="I35" s="30"/>
      <c r="J35" s="203"/>
      <c r="K35" s="6"/>
      <c r="L35" s="204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x14ac:dyDescent="0.2">
      <c r="A36" s="265" t="s">
        <v>20</v>
      </c>
      <c r="B36" s="259"/>
      <c r="C36" s="43">
        <f>C34*C35</f>
        <v>12000</v>
      </c>
      <c r="D36" s="34"/>
      <c r="E36" s="54"/>
      <c r="F36" s="35"/>
      <c r="G36" s="44"/>
      <c r="H36" s="36"/>
      <c r="I36" s="30"/>
      <c r="J36" s="203"/>
      <c r="K36" s="6"/>
      <c r="L36" s="204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2">
      <c r="A37" s="265" t="s">
        <v>22</v>
      </c>
      <c r="B37" s="259"/>
      <c r="C37" s="33">
        <f>C32+C36</f>
        <v>42000</v>
      </c>
      <c r="D37" s="34"/>
      <c r="E37" s="35"/>
      <c r="F37" s="35"/>
      <c r="G37" s="35"/>
      <c r="H37" s="36"/>
      <c r="I37" s="30"/>
      <c r="J37" s="205"/>
      <c r="K37" s="6"/>
      <c r="L37" s="204"/>
      <c r="M37" s="30"/>
      <c r="N37" s="70"/>
      <c r="O37" s="72"/>
      <c r="P37" s="70"/>
      <c r="Q37" s="72"/>
      <c r="R37" s="70"/>
      <c r="S37" s="72"/>
      <c r="T37" s="70"/>
      <c r="U37" s="72"/>
      <c r="V37" s="70"/>
      <c r="W37" s="72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">
      <c r="A38" s="265" t="s">
        <v>24</v>
      </c>
      <c r="B38" s="259"/>
      <c r="C38" s="116">
        <v>720</v>
      </c>
      <c r="D38" s="115" t="s">
        <v>242</v>
      </c>
      <c r="E38" s="35"/>
      <c r="F38" s="35" t="s">
        <v>114</v>
      </c>
      <c r="G38" s="35"/>
      <c r="H38" s="36"/>
      <c r="I38" s="30"/>
      <c r="J38" s="206"/>
      <c r="K38" s="207"/>
      <c r="L38" s="208"/>
      <c r="M38" s="30"/>
      <c r="N38" s="76"/>
      <c r="O38" s="75"/>
      <c r="P38" s="76"/>
      <c r="Q38" s="75">
        <v>0</v>
      </c>
      <c r="R38" s="76"/>
      <c r="S38" s="75"/>
      <c r="T38" s="76"/>
      <c r="U38" s="75"/>
      <c r="V38" s="76"/>
      <c r="W38" s="75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x14ac:dyDescent="0.2">
      <c r="A39" s="265" t="s">
        <v>28</v>
      </c>
      <c r="B39" s="259"/>
      <c r="C39" s="58" t="s">
        <v>179</v>
      </c>
      <c r="D39" s="35"/>
      <c r="E39" s="35"/>
      <c r="F39" s="35"/>
      <c r="G39" s="35"/>
      <c r="H39" s="36"/>
      <c r="I39" s="30"/>
      <c r="J39" s="6"/>
      <c r="K39" s="6"/>
      <c r="L39" s="30"/>
      <c r="M39" s="30"/>
      <c r="N39" s="74"/>
      <c r="O39" s="75"/>
      <c r="P39" s="74"/>
      <c r="Q39" s="75"/>
      <c r="R39" s="74"/>
      <c r="S39" s="75"/>
      <c r="T39" s="74"/>
      <c r="U39" s="75"/>
      <c r="V39" s="74"/>
      <c r="W39" s="75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2">
      <c r="A40" s="62" t="s">
        <v>31</v>
      </c>
      <c r="B40" s="63" t="s">
        <v>106</v>
      </c>
      <c r="C40" s="45" t="s">
        <v>33</v>
      </c>
      <c r="D40" s="45" t="s">
        <v>34</v>
      </c>
      <c r="E40" s="45" t="s">
        <v>35</v>
      </c>
      <c r="F40" s="45" t="s">
        <v>36</v>
      </c>
      <c r="G40" s="45" t="s">
        <v>37</v>
      </c>
      <c r="H40" s="36"/>
      <c r="I40" s="30"/>
      <c r="J40" s="209"/>
      <c r="K40" s="210"/>
      <c r="L40" s="211"/>
      <c r="M40" s="30"/>
      <c r="N40" s="74"/>
      <c r="O40" s="75"/>
      <c r="P40" s="74"/>
      <c r="Q40" s="75"/>
      <c r="R40" s="74"/>
      <c r="S40" s="75"/>
      <c r="T40" s="74"/>
      <c r="U40" s="75"/>
      <c r="V40" s="74"/>
      <c r="W40" s="75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x14ac:dyDescent="0.2">
      <c r="A41" s="62">
        <v>0</v>
      </c>
      <c r="B41" s="65"/>
      <c r="C41" s="65"/>
      <c r="D41" s="65"/>
      <c r="E41" s="65"/>
      <c r="F41" s="65"/>
      <c r="G41" s="43">
        <f>C37</f>
        <v>42000</v>
      </c>
      <c r="H41" s="36"/>
      <c r="I41" s="30"/>
      <c r="J41" s="212"/>
      <c r="K41" s="6"/>
      <c r="L41" s="213"/>
      <c r="M41" s="30"/>
      <c r="N41" s="77" t="s">
        <v>72</v>
      </c>
      <c r="O41" s="78">
        <f>SUM(O37:O40)</f>
        <v>0</v>
      </c>
      <c r="P41" s="77" t="s">
        <v>72</v>
      </c>
      <c r="Q41" s="78">
        <f>SUM(Q37:Q40)</f>
        <v>0</v>
      </c>
      <c r="R41" s="77" t="s">
        <v>72</v>
      </c>
      <c r="S41" s="78">
        <f>SUM(S37:S40)</f>
        <v>0</v>
      </c>
      <c r="T41" s="77" t="s">
        <v>72</v>
      </c>
      <c r="U41" s="78">
        <f>SUM(U37:U40)</f>
        <v>0</v>
      </c>
      <c r="V41" s="77" t="s">
        <v>72</v>
      </c>
      <c r="W41" s="78">
        <f>SUM(W37:W40)</f>
        <v>0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">
      <c r="A42" s="62">
        <v>1</v>
      </c>
      <c r="B42" s="45" t="s">
        <v>115</v>
      </c>
      <c r="C42" s="43">
        <v>2880</v>
      </c>
      <c r="D42" s="43">
        <f t="shared" ref="D42:D51" si="3">C42/1.4</f>
        <v>2057.1428571428573</v>
      </c>
      <c r="E42" s="43">
        <f t="shared" ref="E42:E51" si="4">C42-D42</f>
        <v>822.85714285714266</v>
      </c>
      <c r="F42" s="43" t="s">
        <v>41</v>
      </c>
      <c r="G42" s="43">
        <f t="shared" ref="G42:G49" si="5">(G41-C42)</f>
        <v>39120</v>
      </c>
      <c r="H42" s="36"/>
      <c r="I42" s="30"/>
      <c r="J42" s="214"/>
      <c r="K42" s="88"/>
      <c r="L42" s="213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">
      <c r="A43" s="62">
        <v>2</v>
      </c>
      <c r="B43" s="45" t="s">
        <v>116</v>
      </c>
      <c r="C43" s="43">
        <v>3600</v>
      </c>
      <c r="D43" s="43">
        <f t="shared" si="3"/>
        <v>2571.4285714285716</v>
      </c>
      <c r="E43" s="43">
        <f t="shared" si="4"/>
        <v>1028.5714285714284</v>
      </c>
      <c r="F43" s="43" t="s">
        <v>41</v>
      </c>
      <c r="G43" s="43">
        <f t="shared" si="5"/>
        <v>35520</v>
      </c>
      <c r="H43" s="36"/>
      <c r="I43" s="30"/>
      <c r="J43" s="215"/>
      <c r="K43" s="216"/>
      <c r="L43" s="217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">
      <c r="A44" s="62">
        <v>3</v>
      </c>
      <c r="B44" s="45" t="s">
        <v>117</v>
      </c>
      <c r="C44" s="43">
        <v>2880</v>
      </c>
      <c r="D44" s="43">
        <f t="shared" si="3"/>
        <v>2057.1428571428573</v>
      </c>
      <c r="E44" s="43">
        <f t="shared" si="4"/>
        <v>822.85714285714266</v>
      </c>
      <c r="F44" s="43" t="s">
        <v>41</v>
      </c>
      <c r="G44" s="43">
        <f t="shared" si="5"/>
        <v>32640</v>
      </c>
      <c r="H44" s="36"/>
      <c r="I44" s="30"/>
      <c r="J44" s="8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">
      <c r="A45" s="62">
        <v>4</v>
      </c>
      <c r="B45" s="45" t="s">
        <v>243</v>
      </c>
      <c r="C45" s="43">
        <v>5040</v>
      </c>
      <c r="D45" s="43">
        <f t="shared" si="3"/>
        <v>3600.0000000000005</v>
      </c>
      <c r="E45" s="43">
        <f t="shared" si="4"/>
        <v>1439.9999999999995</v>
      </c>
      <c r="F45" s="43" t="s">
        <v>41</v>
      </c>
      <c r="G45" s="43">
        <f t="shared" si="5"/>
        <v>27600</v>
      </c>
      <c r="H45" s="36"/>
      <c r="I45" s="30"/>
      <c r="J45" s="30"/>
      <c r="K45" s="48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x14ac:dyDescent="0.2">
      <c r="A46" s="62">
        <v>5</v>
      </c>
      <c r="B46" s="45" t="s">
        <v>244</v>
      </c>
      <c r="C46" s="43">
        <v>4320</v>
      </c>
      <c r="D46" s="43">
        <f t="shared" si="3"/>
        <v>3085.7142857142858</v>
      </c>
      <c r="E46" s="43">
        <f t="shared" si="4"/>
        <v>1234.2857142857142</v>
      </c>
      <c r="F46" s="43" t="s">
        <v>41</v>
      </c>
      <c r="G46" s="43">
        <f t="shared" si="5"/>
        <v>23280</v>
      </c>
      <c r="H46" s="36"/>
      <c r="I46" s="30"/>
      <c r="J46" s="30"/>
      <c r="K46" s="199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x14ac:dyDescent="0.2">
      <c r="A47" s="62">
        <v>6</v>
      </c>
      <c r="B47" s="45" t="s">
        <v>120</v>
      </c>
      <c r="C47" s="43">
        <v>23280</v>
      </c>
      <c r="D47" s="43">
        <f t="shared" si="3"/>
        <v>16628.571428571431</v>
      </c>
      <c r="E47" s="43">
        <f t="shared" si="4"/>
        <v>6651.4285714285688</v>
      </c>
      <c r="F47" s="43" t="s">
        <v>41</v>
      </c>
      <c r="G47" s="43">
        <f t="shared" si="5"/>
        <v>0</v>
      </c>
      <c r="H47" s="36"/>
      <c r="I47" s="30"/>
      <c r="J47" s="30"/>
      <c r="K47" s="122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">
      <c r="A48" s="62">
        <v>7</v>
      </c>
      <c r="B48" s="103"/>
      <c r="C48" s="43"/>
      <c r="D48" s="43">
        <f t="shared" si="3"/>
        <v>0</v>
      </c>
      <c r="E48" s="43">
        <f t="shared" si="4"/>
        <v>0</v>
      </c>
      <c r="F48" s="43" t="s">
        <v>107</v>
      </c>
      <c r="G48" s="43">
        <f t="shared" si="5"/>
        <v>0</v>
      </c>
      <c r="H48" s="36"/>
      <c r="I48" s="30"/>
      <c r="J48" s="30"/>
      <c r="K48" s="122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">
      <c r="A49" s="62">
        <v>8</v>
      </c>
      <c r="B49" s="106"/>
      <c r="C49" s="43"/>
      <c r="D49" s="43">
        <f t="shared" si="3"/>
        <v>0</v>
      </c>
      <c r="E49" s="43">
        <f t="shared" si="4"/>
        <v>0</v>
      </c>
      <c r="F49" s="43" t="s">
        <v>107</v>
      </c>
      <c r="G49" s="43">
        <f t="shared" si="5"/>
        <v>0</v>
      </c>
      <c r="H49" s="36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">
      <c r="A50" s="105"/>
      <c r="B50" s="106"/>
      <c r="C50" s="65"/>
      <c r="D50" s="43">
        <f t="shared" si="3"/>
        <v>0</v>
      </c>
      <c r="E50" s="43">
        <f t="shared" si="4"/>
        <v>0</v>
      </c>
      <c r="F50" s="65"/>
      <c r="G50" s="65"/>
      <c r="H50" s="36"/>
      <c r="I50" s="30"/>
      <c r="J50" s="122"/>
      <c r="K50" s="66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">
      <c r="A51" s="105"/>
      <c r="B51" s="106"/>
      <c r="C51" s="65"/>
      <c r="D51" s="43">
        <f t="shared" si="3"/>
        <v>0</v>
      </c>
      <c r="E51" s="43">
        <f t="shared" si="4"/>
        <v>0</v>
      </c>
      <c r="F51" s="65"/>
      <c r="G51" s="65"/>
      <c r="H51" s="36"/>
      <c r="I51" s="30"/>
      <c r="J51" s="122"/>
      <c r="K51" s="66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">
      <c r="A52" s="89"/>
      <c r="B52" s="90"/>
      <c r="C52" s="91"/>
      <c r="D52" s="111">
        <f>SUMIFS(D42:D51, F42:F51, "Y")</f>
        <v>30000.000000000004</v>
      </c>
      <c r="E52" s="111">
        <f>SUMIFS(E42:E51, F42:F51, "Y")</f>
        <v>11999.999999999996</v>
      </c>
      <c r="F52" s="92">
        <f>(SUMIFS(D42:D51, F42:F51, "Y") + SUMIFS(E42:E51, F42:F51, "Y"))</f>
        <v>42000</v>
      </c>
      <c r="G52" s="91"/>
      <c r="H52" s="93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x14ac:dyDescent="0.2">
      <c r="A57" s="30"/>
      <c r="B57" s="30"/>
      <c r="C57" s="30"/>
      <c r="D57" s="30"/>
      <c r="E57" s="30"/>
      <c r="F57" s="30"/>
      <c r="G57" s="30"/>
      <c r="H57" s="30"/>
      <c r="I57" s="30"/>
      <c r="J57" s="47" t="s">
        <v>245</v>
      </c>
      <c r="K57" s="49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">
      <c r="A58" s="256" t="s">
        <v>246</v>
      </c>
      <c r="B58" s="257"/>
      <c r="C58" s="31"/>
      <c r="D58" s="31"/>
      <c r="E58" s="31"/>
      <c r="F58" s="31"/>
      <c r="G58" s="31"/>
      <c r="H58" s="32"/>
      <c r="I58" s="30"/>
      <c r="J58" s="47" t="s">
        <v>247</v>
      </c>
      <c r="K58" s="49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x14ac:dyDescent="0.2">
      <c r="A59" s="265" t="s">
        <v>7</v>
      </c>
      <c r="B59" s="259"/>
      <c r="C59" s="33">
        <v>20000</v>
      </c>
      <c r="D59" s="35"/>
      <c r="E59" s="35"/>
      <c r="F59" s="35"/>
      <c r="G59" s="35"/>
      <c r="H59" s="36"/>
      <c r="I59" s="30"/>
      <c r="J59" s="49" t="s">
        <v>248</v>
      </c>
      <c r="K59" s="135">
        <v>1000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">
      <c r="A60" s="265" t="s">
        <v>8</v>
      </c>
      <c r="B60" s="259"/>
      <c r="C60" s="37" t="s">
        <v>249</v>
      </c>
      <c r="D60" s="35"/>
      <c r="E60" s="38"/>
      <c r="F60" s="38"/>
      <c r="G60" s="38"/>
      <c r="H60" s="39" t="s">
        <v>10</v>
      </c>
      <c r="I60" s="30"/>
      <c r="J60" s="49" t="s">
        <v>250</v>
      </c>
      <c r="K60" s="135">
        <v>250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2">
      <c r="A61" s="265" t="s">
        <v>13</v>
      </c>
      <c r="B61" s="259"/>
      <c r="C61" s="43">
        <v>2000</v>
      </c>
      <c r="D61" s="163">
        <v>1.1000000000000001</v>
      </c>
      <c r="E61" s="266" t="s">
        <v>14</v>
      </c>
      <c r="F61" s="45" t="s">
        <v>15</v>
      </c>
      <c r="G61" s="63">
        <v>20000</v>
      </c>
      <c r="H61" s="218"/>
      <c r="I61" s="30"/>
      <c r="J61" s="49" t="s">
        <v>251</v>
      </c>
      <c r="K61" s="135">
        <v>750</v>
      </c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">
      <c r="A62" s="265" t="s">
        <v>17</v>
      </c>
      <c r="B62" s="259"/>
      <c r="C62" s="43">
        <v>2</v>
      </c>
      <c r="D62" s="163"/>
      <c r="E62" s="261"/>
      <c r="F62" s="45" t="s">
        <v>18</v>
      </c>
      <c r="G62" s="63">
        <v>0</v>
      </c>
      <c r="H62" s="218"/>
      <c r="I62" s="30"/>
      <c r="J62" s="49" t="s">
        <v>252</v>
      </c>
      <c r="K62" s="135">
        <v>250</v>
      </c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">
      <c r="A63" s="265" t="s">
        <v>20</v>
      </c>
      <c r="B63" s="259"/>
      <c r="C63" s="43">
        <f>C61*C62</f>
        <v>4000</v>
      </c>
      <c r="D63" s="34"/>
      <c r="E63" s="219"/>
      <c r="F63" s="34"/>
      <c r="G63" s="163"/>
      <c r="H63" s="220"/>
      <c r="I63" s="30"/>
      <c r="J63" s="49" t="s">
        <v>253</v>
      </c>
      <c r="K63" s="135">
        <v>250</v>
      </c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">
      <c r="A64" s="265" t="s">
        <v>22</v>
      </c>
      <c r="B64" s="259"/>
      <c r="C64" s="33">
        <f>C59+C63</f>
        <v>24000</v>
      </c>
      <c r="D64" s="34"/>
      <c r="E64" s="34"/>
      <c r="F64" s="34"/>
      <c r="G64" s="34"/>
      <c r="H64" s="220"/>
      <c r="I64" s="30"/>
      <c r="J64" s="49" t="s">
        <v>254</v>
      </c>
      <c r="K64" s="135">
        <v>250</v>
      </c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">
      <c r="A65" s="265" t="s">
        <v>104</v>
      </c>
      <c r="B65" s="259"/>
      <c r="C65" s="116">
        <v>3000</v>
      </c>
      <c r="D65" s="35" t="s">
        <v>255</v>
      </c>
      <c r="E65" s="35"/>
      <c r="F65" s="35"/>
      <c r="G65" s="35"/>
      <c r="H65" s="36"/>
      <c r="I65" s="30"/>
      <c r="J65" s="49" t="s">
        <v>256</v>
      </c>
      <c r="K65" s="135">
        <v>250</v>
      </c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">
      <c r="A66" s="265" t="s">
        <v>28</v>
      </c>
      <c r="B66" s="259"/>
      <c r="C66" s="58" t="s">
        <v>29</v>
      </c>
      <c r="D66" s="35"/>
      <c r="E66" s="35"/>
      <c r="F66" s="35"/>
      <c r="G66" s="35"/>
      <c r="H66" s="36"/>
      <c r="I66" s="30"/>
      <c r="J66" s="49" t="s">
        <v>257</v>
      </c>
      <c r="K66" s="135">
        <v>250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">
      <c r="A67" s="62" t="s">
        <v>31</v>
      </c>
      <c r="B67" s="63" t="s">
        <v>106</v>
      </c>
      <c r="C67" s="45" t="s">
        <v>33</v>
      </c>
      <c r="D67" s="45" t="s">
        <v>34</v>
      </c>
      <c r="E67" s="45" t="s">
        <v>35</v>
      </c>
      <c r="F67" s="45" t="s">
        <v>36</v>
      </c>
      <c r="G67" s="45" t="s">
        <v>37</v>
      </c>
      <c r="H67" s="36"/>
      <c r="I67" s="30"/>
      <c r="J67" s="49" t="s">
        <v>258</v>
      </c>
      <c r="K67" s="135">
        <v>1250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">
      <c r="A68" s="62">
        <v>0</v>
      </c>
      <c r="B68" s="65"/>
      <c r="C68" s="65"/>
      <c r="D68" s="65"/>
      <c r="E68" s="65"/>
      <c r="F68" s="65"/>
      <c r="G68" s="43">
        <f>C64</f>
        <v>24000</v>
      </c>
      <c r="H68" s="36"/>
      <c r="I68" s="30"/>
      <c r="J68" s="98"/>
      <c r="K68" s="22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1:33" x14ac:dyDescent="0.2">
      <c r="A69" s="62">
        <v>1</v>
      </c>
      <c r="B69" s="100">
        <v>45677</v>
      </c>
      <c r="C69" s="43">
        <v>3000</v>
      </c>
      <c r="D69" s="43">
        <f t="shared" ref="D69:D76" si="6">C69/1.2</f>
        <v>2500</v>
      </c>
      <c r="E69" s="43">
        <f t="shared" ref="E69:E76" si="7">C69-D69</f>
        <v>500</v>
      </c>
      <c r="F69" s="43" t="s">
        <v>41</v>
      </c>
      <c r="G69" s="43">
        <f t="shared" ref="G69:G76" si="8">(G68-C69)</f>
        <v>21000</v>
      </c>
      <c r="H69" s="36"/>
      <c r="I69" s="30"/>
      <c r="J69" s="49" t="s">
        <v>259</v>
      </c>
      <c r="K69" s="135">
        <v>500</v>
      </c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1:33" x14ac:dyDescent="0.2">
      <c r="A70" s="62">
        <v>2</v>
      </c>
      <c r="B70" s="100">
        <v>45684</v>
      </c>
      <c r="C70" s="43">
        <v>3000</v>
      </c>
      <c r="D70" s="43">
        <f t="shared" si="6"/>
        <v>2500</v>
      </c>
      <c r="E70" s="43">
        <f t="shared" si="7"/>
        <v>500</v>
      </c>
      <c r="F70" s="43" t="s">
        <v>41</v>
      </c>
      <c r="G70" s="43">
        <f t="shared" si="8"/>
        <v>18000</v>
      </c>
      <c r="H70" s="36"/>
      <c r="I70" s="30"/>
      <c r="J70" s="49" t="s">
        <v>260</v>
      </c>
      <c r="K70" s="135">
        <v>250</v>
      </c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1:33" x14ac:dyDescent="0.2">
      <c r="A71" s="62">
        <v>3</v>
      </c>
      <c r="B71" s="100">
        <v>45691</v>
      </c>
      <c r="C71" s="43">
        <v>3000</v>
      </c>
      <c r="D71" s="43">
        <f t="shared" si="6"/>
        <v>2500</v>
      </c>
      <c r="E71" s="43">
        <f t="shared" si="7"/>
        <v>500</v>
      </c>
      <c r="F71" s="43" t="s">
        <v>41</v>
      </c>
      <c r="G71" s="43">
        <f t="shared" si="8"/>
        <v>15000</v>
      </c>
      <c r="H71" s="36"/>
      <c r="I71" s="30"/>
      <c r="J71" s="49"/>
      <c r="K71" s="135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x14ac:dyDescent="0.2">
      <c r="A72" s="62">
        <v>4</v>
      </c>
      <c r="B72" s="100">
        <v>45699</v>
      </c>
      <c r="C72" s="43">
        <v>3000</v>
      </c>
      <c r="D72" s="43">
        <f t="shared" si="6"/>
        <v>2500</v>
      </c>
      <c r="E72" s="43">
        <f t="shared" si="7"/>
        <v>500</v>
      </c>
      <c r="F72" s="43" t="s">
        <v>41</v>
      </c>
      <c r="G72" s="43">
        <f t="shared" si="8"/>
        <v>12000</v>
      </c>
      <c r="H72" s="36"/>
      <c r="I72" s="30"/>
      <c r="J72" s="47" t="s">
        <v>261</v>
      </c>
      <c r="K72" s="135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1:33" x14ac:dyDescent="0.2">
      <c r="A73" s="62">
        <v>5</v>
      </c>
      <c r="B73" s="100">
        <v>45705</v>
      </c>
      <c r="C73" s="43">
        <v>3000</v>
      </c>
      <c r="D73" s="43">
        <f t="shared" si="6"/>
        <v>2500</v>
      </c>
      <c r="E73" s="43">
        <f t="shared" si="7"/>
        <v>500</v>
      </c>
      <c r="F73" s="43" t="s">
        <v>41</v>
      </c>
      <c r="G73" s="43">
        <f t="shared" si="8"/>
        <v>9000</v>
      </c>
      <c r="H73" s="36"/>
      <c r="I73" s="30"/>
      <c r="J73" s="49" t="s">
        <v>262</v>
      </c>
      <c r="K73" s="135">
        <v>5750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1:33" x14ac:dyDescent="0.2">
      <c r="A74" s="62">
        <v>6</v>
      </c>
      <c r="B74" s="103">
        <v>45712</v>
      </c>
      <c r="C74" s="43">
        <v>3000</v>
      </c>
      <c r="D74" s="43">
        <f t="shared" si="6"/>
        <v>2500</v>
      </c>
      <c r="E74" s="43">
        <f t="shared" si="7"/>
        <v>500</v>
      </c>
      <c r="F74" s="43" t="s">
        <v>41</v>
      </c>
      <c r="G74" s="43">
        <f t="shared" si="8"/>
        <v>6000</v>
      </c>
      <c r="H74" s="36"/>
      <c r="I74" s="30"/>
      <c r="J74" s="49" t="s">
        <v>263</v>
      </c>
      <c r="K74" s="135">
        <v>1800</v>
      </c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1:33" x14ac:dyDescent="0.2">
      <c r="A75" s="62">
        <v>7</v>
      </c>
      <c r="B75" s="103">
        <v>45719</v>
      </c>
      <c r="C75" s="43">
        <v>3000</v>
      </c>
      <c r="D75" s="43">
        <f t="shared" si="6"/>
        <v>2500</v>
      </c>
      <c r="E75" s="43">
        <f t="shared" si="7"/>
        <v>500</v>
      </c>
      <c r="F75" s="43" t="s">
        <v>41</v>
      </c>
      <c r="G75" s="43">
        <f t="shared" si="8"/>
        <v>3000</v>
      </c>
      <c r="H75" s="36"/>
      <c r="I75" s="30"/>
      <c r="J75" s="49"/>
      <c r="K75" s="135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1:33" x14ac:dyDescent="0.2">
      <c r="A76" s="62">
        <v>8</v>
      </c>
      <c r="B76" s="103">
        <v>45726</v>
      </c>
      <c r="C76" s="43">
        <v>3000</v>
      </c>
      <c r="D76" s="43">
        <f t="shared" si="6"/>
        <v>2500</v>
      </c>
      <c r="E76" s="43">
        <f t="shared" si="7"/>
        <v>500</v>
      </c>
      <c r="F76" s="43" t="s">
        <v>41</v>
      </c>
      <c r="G76" s="43">
        <f t="shared" si="8"/>
        <v>0</v>
      </c>
      <c r="H76" s="36"/>
      <c r="I76" s="30"/>
      <c r="J76" s="49" t="s">
        <v>264</v>
      </c>
      <c r="K76" s="135">
        <f>SUM(K59:K74)</f>
        <v>12800</v>
      </c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1:33" x14ac:dyDescent="0.2">
      <c r="A77" s="62"/>
      <c r="B77" s="103"/>
      <c r="C77" s="65"/>
      <c r="D77" s="65"/>
      <c r="E77" s="65"/>
      <c r="F77" s="65"/>
      <c r="G77" s="65"/>
      <c r="H77" s="36"/>
      <c r="I77" s="30"/>
      <c r="J77" s="49" t="s">
        <v>265</v>
      </c>
      <c r="K77" s="135">
        <f>15000-K76</f>
        <v>2200</v>
      </c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1:33" x14ac:dyDescent="0.2">
      <c r="A78" s="62"/>
      <c r="B78" s="103"/>
      <c r="C78" s="65"/>
      <c r="D78" s="65"/>
      <c r="E78" s="65"/>
      <c r="F78" s="65"/>
      <c r="G78" s="65"/>
      <c r="H78" s="36"/>
      <c r="I78" s="30"/>
      <c r="K78" s="73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1:33" x14ac:dyDescent="0.2">
      <c r="A79" s="89"/>
      <c r="B79" s="90"/>
      <c r="C79" s="91"/>
      <c r="D79" s="92">
        <f>SUMIFS(D69:D78, F69:F78, "Y")</f>
        <v>20000</v>
      </c>
      <c r="E79" s="92">
        <f>SUMIFS(E69:E78, F69:F78, "Y")</f>
        <v>4000</v>
      </c>
      <c r="F79" s="92">
        <f>(SUMIFS(D69:D78, F69:F78, "Y") + SUMIFS(E69:E78, F69:F78, "Y"))</f>
        <v>24000</v>
      </c>
      <c r="G79" s="91"/>
      <c r="H79" s="93"/>
      <c r="I79" s="30"/>
      <c r="J79" s="30"/>
      <c r="K79" s="66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1:33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 t="s">
        <v>266</v>
      </c>
      <c r="K80" s="66">
        <v>13000</v>
      </c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1:33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 t="s">
        <v>267</v>
      </c>
      <c r="K81" s="66">
        <v>15000</v>
      </c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1:33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 t="s">
        <v>268</v>
      </c>
      <c r="K82" s="66">
        <v>200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1:33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66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1:33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66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1:33" x14ac:dyDescent="0.2">
      <c r="A85" s="256" t="s">
        <v>269</v>
      </c>
      <c r="B85" s="257"/>
      <c r="C85" s="114" t="s">
        <v>270</v>
      </c>
      <c r="D85" s="31"/>
      <c r="E85" s="31"/>
      <c r="F85" s="31"/>
      <c r="G85" s="31"/>
      <c r="H85" s="32"/>
      <c r="I85" s="30"/>
      <c r="J85" s="30"/>
      <c r="K85" s="66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1:33" x14ac:dyDescent="0.2">
      <c r="A86" s="265" t="s">
        <v>7</v>
      </c>
      <c r="B86" s="259"/>
      <c r="C86" s="33">
        <v>10000</v>
      </c>
      <c r="D86" s="34" t="s">
        <v>271</v>
      </c>
      <c r="E86" s="35"/>
      <c r="F86" s="35"/>
      <c r="G86" s="35"/>
      <c r="H86" s="36"/>
      <c r="I86" s="30"/>
      <c r="J86" s="30" t="s">
        <v>272</v>
      </c>
      <c r="K86" s="66">
        <v>14000</v>
      </c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1:33" x14ac:dyDescent="0.2">
      <c r="A87" s="265" t="s">
        <v>8</v>
      </c>
      <c r="B87" s="259"/>
      <c r="C87" s="112">
        <v>45673</v>
      </c>
      <c r="D87" s="35"/>
      <c r="E87" s="38"/>
      <c r="F87" s="38"/>
      <c r="G87" s="38"/>
      <c r="H87" s="39" t="s">
        <v>10</v>
      </c>
      <c r="I87" s="30"/>
      <c r="J87" s="30" t="s">
        <v>273</v>
      </c>
      <c r="K87" s="66">
        <v>-5500</v>
      </c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1:33" x14ac:dyDescent="0.2">
      <c r="A88" s="265" t="s">
        <v>103</v>
      </c>
      <c r="B88" s="259"/>
      <c r="C88" s="43">
        <v>2000</v>
      </c>
      <c r="D88" s="163">
        <v>1.2</v>
      </c>
      <c r="E88" s="266" t="s">
        <v>14</v>
      </c>
      <c r="F88" s="45" t="s">
        <v>15</v>
      </c>
      <c r="G88" s="43">
        <v>300</v>
      </c>
      <c r="H88" s="46"/>
      <c r="I88" s="30"/>
      <c r="J88" s="30" t="s">
        <v>274</v>
      </c>
      <c r="K88" s="66">
        <v>-3000</v>
      </c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1:33" x14ac:dyDescent="0.2">
      <c r="A89" s="265" t="s">
        <v>17</v>
      </c>
      <c r="B89" s="259"/>
      <c r="C89" s="43">
        <v>1</v>
      </c>
      <c r="D89" s="44"/>
      <c r="E89" s="261"/>
      <c r="F89" s="45" t="s">
        <v>18</v>
      </c>
      <c r="G89" s="43">
        <v>9700</v>
      </c>
      <c r="H89" s="46"/>
      <c r="I89" s="30"/>
      <c r="J89" s="30" t="s">
        <v>275</v>
      </c>
      <c r="K89" s="66">
        <v>-2267</v>
      </c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1:33" x14ac:dyDescent="0.2">
      <c r="A90" s="265" t="s">
        <v>20</v>
      </c>
      <c r="B90" s="259"/>
      <c r="C90" s="43">
        <f>C88*C89</f>
        <v>2000</v>
      </c>
      <c r="D90" s="35"/>
      <c r="E90" s="54"/>
      <c r="F90" s="35"/>
      <c r="G90" s="44"/>
      <c r="H90" s="36"/>
      <c r="I90" s="30"/>
      <c r="J90" s="30" t="s">
        <v>276</v>
      </c>
      <c r="K90" s="66">
        <v>-1417</v>
      </c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1:33" x14ac:dyDescent="0.2">
      <c r="A91" s="265" t="s">
        <v>22</v>
      </c>
      <c r="B91" s="259"/>
      <c r="C91" s="33">
        <f>C86+C90</f>
        <v>12000</v>
      </c>
      <c r="D91" s="35"/>
      <c r="E91" s="35"/>
      <c r="F91" s="35"/>
      <c r="G91" s="35"/>
      <c r="H91" s="36"/>
      <c r="I91" s="30"/>
      <c r="J91" s="30" t="s">
        <v>277</v>
      </c>
      <c r="K91" s="66">
        <v>-1100</v>
      </c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1:33" x14ac:dyDescent="0.2">
      <c r="A92" s="265" t="s">
        <v>278</v>
      </c>
      <c r="B92" s="259"/>
      <c r="C92" s="116">
        <v>6000</v>
      </c>
      <c r="D92" s="35"/>
      <c r="E92" s="35"/>
      <c r="F92" s="35"/>
      <c r="G92" s="35"/>
      <c r="H92" s="36"/>
      <c r="I92" s="30"/>
      <c r="J92" s="30"/>
      <c r="K92" s="66">
        <f>SUM(K86:K91)</f>
        <v>716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1:33" x14ac:dyDescent="0.2">
      <c r="A93" s="265" t="s">
        <v>28</v>
      </c>
      <c r="B93" s="259"/>
      <c r="C93" s="58" t="s">
        <v>145</v>
      </c>
      <c r="D93" s="35"/>
      <c r="E93" s="35"/>
      <c r="F93" s="35"/>
      <c r="G93" s="35"/>
      <c r="H93" s="36"/>
      <c r="I93" s="30"/>
      <c r="J93" s="30"/>
      <c r="K93" s="66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1:33" x14ac:dyDescent="0.2">
      <c r="A94" s="62" t="s">
        <v>31</v>
      </c>
      <c r="B94" s="63" t="s">
        <v>106</v>
      </c>
      <c r="C94" s="45" t="s">
        <v>33</v>
      </c>
      <c r="D94" s="45" t="s">
        <v>34</v>
      </c>
      <c r="E94" s="45" t="s">
        <v>35</v>
      </c>
      <c r="F94" s="45" t="s">
        <v>36</v>
      </c>
      <c r="G94" s="45" t="s">
        <v>37</v>
      </c>
      <c r="H94" s="36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1:33" x14ac:dyDescent="0.2">
      <c r="A95" s="62">
        <v>0</v>
      </c>
      <c r="B95" s="65"/>
      <c r="C95" s="65"/>
      <c r="D95" s="65"/>
      <c r="E95" s="65"/>
      <c r="F95" s="65"/>
      <c r="G95" s="43">
        <f>C91</f>
        <v>12000</v>
      </c>
      <c r="H95" s="36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1:33" x14ac:dyDescent="0.2">
      <c r="A96" s="62">
        <v>1</v>
      </c>
      <c r="B96" s="100">
        <v>45689</v>
      </c>
      <c r="C96" s="43">
        <v>6000</v>
      </c>
      <c r="D96" s="43">
        <v>5000</v>
      </c>
      <c r="E96" s="43">
        <v>1000</v>
      </c>
      <c r="F96" s="43" t="s">
        <v>41</v>
      </c>
      <c r="G96" s="43">
        <f t="shared" ref="G96:G103" si="9">(G95-C96)</f>
        <v>6000</v>
      </c>
      <c r="H96" s="36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1:33" x14ac:dyDescent="0.2">
      <c r="A97" s="62">
        <v>2</v>
      </c>
      <c r="B97" s="100">
        <v>45705</v>
      </c>
      <c r="C97" s="43">
        <v>6000</v>
      </c>
      <c r="D97" s="43">
        <v>5000</v>
      </c>
      <c r="E97" s="43">
        <v>1000</v>
      </c>
      <c r="F97" s="43" t="s">
        <v>41</v>
      </c>
      <c r="G97" s="43">
        <f t="shared" si="9"/>
        <v>0</v>
      </c>
      <c r="H97" s="36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1:33" x14ac:dyDescent="0.2">
      <c r="A98" s="62">
        <v>3</v>
      </c>
      <c r="B98" s="113"/>
      <c r="C98" s="65"/>
      <c r="D98" s="65"/>
      <c r="E98" s="65"/>
      <c r="F98" s="43" t="s">
        <v>107</v>
      </c>
      <c r="G98" s="43">
        <f t="shared" si="9"/>
        <v>0</v>
      </c>
      <c r="H98" s="36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1:33" x14ac:dyDescent="0.2">
      <c r="A99" s="62">
        <v>4</v>
      </c>
      <c r="B99" s="113"/>
      <c r="C99" s="65"/>
      <c r="D99" s="65"/>
      <c r="E99" s="65"/>
      <c r="F99" s="43" t="s">
        <v>107</v>
      </c>
      <c r="G99" s="43">
        <f t="shared" si="9"/>
        <v>0</v>
      </c>
      <c r="H99" s="36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1:33" x14ac:dyDescent="0.2">
      <c r="A100" s="62">
        <v>5</v>
      </c>
      <c r="B100" s="106"/>
      <c r="C100" s="65"/>
      <c r="D100" s="65"/>
      <c r="E100" s="65"/>
      <c r="F100" s="43" t="s">
        <v>107</v>
      </c>
      <c r="G100" s="43">
        <f t="shared" si="9"/>
        <v>0</v>
      </c>
      <c r="H100" s="36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1:33" x14ac:dyDescent="0.2">
      <c r="A101" s="62">
        <v>6</v>
      </c>
      <c r="B101" s="106"/>
      <c r="C101" s="65"/>
      <c r="D101" s="65"/>
      <c r="E101" s="65"/>
      <c r="F101" s="43" t="s">
        <v>107</v>
      </c>
      <c r="G101" s="43">
        <f t="shared" si="9"/>
        <v>0</v>
      </c>
      <c r="H101" s="36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 x14ac:dyDescent="0.2">
      <c r="A102" s="62">
        <v>7</v>
      </c>
      <c r="B102" s="106"/>
      <c r="C102" s="65"/>
      <c r="D102" s="65"/>
      <c r="E102" s="65"/>
      <c r="F102" s="43" t="s">
        <v>107</v>
      </c>
      <c r="G102" s="43">
        <f t="shared" si="9"/>
        <v>0</v>
      </c>
      <c r="H102" s="36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 x14ac:dyDescent="0.2">
      <c r="A103" s="62">
        <v>8</v>
      </c>
      <c r="B103" s="106"/>
      <c r="C103" s="65"/>
      <c r="D103" s="65"/>
      <c r="E103" s="65"/>
      <c r="F103" s="43" t="s">
        <v>107</v>
      </c>
      <c r="G103" s="43">
        <f t="shared" si="9"/>
        <v>0</v>
      </c>
      <c r="H103" s="36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 x14ac:dyDescent="0.2">
      <c r="A104" s="105"/>
      <c r="B104" s="106"/>
      <c r="C104" s="65"/>
      <c r="D104" s="65"/>
      <c r="E104" s="65"/>
      <c r="F104" s="65"/>
      <c r="G104" s="65"/>
      <c r="H104" s="36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1:33" x14ac:dyDescent="0.2">
      <c r="A105" s="105"/>
      <c r="B105" s="106"/>
      <c r="C105" s="65"/>
      <c r="D105" s="65"/>
      <c r="E105" s="65"/>
      <c r="F105" s="65"/>
      <c r="G105" s="65"/>
      <c r="H105" s="36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1:33" x14ac:dyDescent="0.2">
      <c r="A106" s="89"/>
      <c r="B106" s="90"/>
      <c r="C106" s="91"/>
      <c r="D106" s="92">
        <f>SUMIFS(D96:D105, F96:F105, "Y")</f>
        <v>10000</v>
      </c>
      <c r="E106" s="92">
        <f>SUMIFS(E96:E105, F96:F105, "Y")</f>
        <v>2000</v>
      </c>
      <c r="F106" s="92">
        <f>(SUMIFS(D96:D105, F96:F105, "Y") + SUMIFS(E96:E105, F96:F105, "Y"))</f>
        <v>12000</v>
      </c>
      <c r="G106" s="91"/>
      <c r="H106" s="9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1:33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1:33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1:33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1:33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33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33" x14ac:dyDescent="0.2">
      <c r="A112" s="256">
        <v>5</v>
      </c>
      <c r="B112" s="257"/>
      <c r="C112" s="31"/>
      <c r="D112" s="31"/>
      <c r="E112" s="31"/>
      <c r="F112" s="31"/>
      <c r="G112" s="31"/>
      <c r="H112" s="32"/>
      <c r="I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1:33" x14ac:dyDescent="0.2">
      <c r="A113" s="265" t="s">
        <v>7</v>
      </c>
      <c r="B113" s="259"/>
      <c r="C113" s="149">
        <v>50000</v>
      </c>
      <c r="D113" s="35"/>
      <c r="E113" s="35"/>
      <c r="F113" s="35"/>
      <c r="G113" s="35"/>
      <c r="H113" s="36"/>
      <c r="I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1:33" x14ac:dyDescent="0.2">
      <c r="A114" s="265" t="s">
        <v>8</v>
      </c>
      <c r="B114" s="259"/>
      <c r="C114" s="113">
        <v>45680</v>
      </c>
      <c r="D114" s="35"/>
      <c r="E114" s="38"/>
      <c r="F114" s="38"/>
      <c r="G114" s="38"/>
      <c r="H114" s="39" t="s">
        <v>10</v>
      </c>
      <c r="I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 x14ac:dyDescent="0.2">
      <c r="A115" s="265" t="s">
        <v>103</v>
      </c>
      <c r="B115" s="259"/>
      <c r="C115" s="65">
        <v>10000</v>
      </c>
      <c r="D115" s="44"/>
      <c r="E115" s="266" t="s">
        <v>14</v>
      </c>
      <c r="F115" s="45" t="s">
        <v>15</v>
      </c>
      <c r="G115" s="65">
        <v>38220</v>
      </c>
      <c r="H115" s="46"/>
      <c r="I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 x14ac:dyDescent="0.2">
      <c r="A116" s="265" t="s">
        <v>17</v>
      </c>
      <c r="B116" s="259"/>
      <c r="C116" s="43">
        <v>2</v>
      </c>
      <c r="D116" s="44"/>
      <c r="E116" s="261"/>
      <c r="F116" s="45" t="s">
        <v>18</v>
      </c>
      <c r="G116" s="43">
        <v>11780</v>
      </c>
      <c r="H116" s="46"/>
      <c r="I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 x14ac:dyDescent="0.2">
      <c r="A117" s="265" t="s">
        <v>20</v>
      </c>
      <c r="B117" s="259"/>
      <c r="C117" s="43">
        <f>C115*C116</f>
        <v>20000</v>
      </c>
      <c r="D117" s="35"/>
      <c r="E117" s="54"/>
      <c r="F117" s="35"/>
      <c r="G117" s="44"/>
      <c r="H117" s="36"/>
      <c r="I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 x14ac:dyDescent="0.2">
      <c r="A118" s="265" t="s">
        <v>22</v>
      </c>
      <c r="B118" s="259"/>
      <c r="C118" s="33">
        <f>C113+C117</f>
        <v>70000</v>
      </c>
      <c r="D118" s="35"/>
      <c r="E118" s="35"/>
      <c r="F118" s="35"/>
      <c r="G118" s="35"/>
      <c r="H118" s="36"/>
      <c r="I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 x14ac:dyDescent="0.2">
      <c r="A119" s="265" t="s">
        <v>24</v>
      </c>
      <c r="B119" s="259"/>
      <c r="C119" s="57">
        <v>1200</v>
      </c>
      <c r="D119" s="35" t="s">
        <v>279</v>
      </c>
      <c r="E119" s="35"/>
      <c r="F119" s="35"/>
      <c r="G119" s="35"/>
      <c r="H119" s="36"/>
      <c r="I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 x14ac:dyDescent="0.2">
      <c r="A120" s="265" t="s">
        <v>28</v>
      </c>
      <c r="B120" s="259"/>
      <c r="C120" s="58" t="s">
        <v>154</v>
      </c>
      <c r="D120" s="35"/>
      <c r="E120" s="35"/>
      <c r="F120" s="35"/>
      <c r="G120" s="35"/>
      <c r="H120" s="36"/>
      <c r="I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 x14ac:dyDescent="0.2">
      <c r="A121" s="62" t="s">
        <v>31</v>
      </c>
      <c r="B121" s="63" t="s">
        <v>106</v>
      </c>
      <c r="C121" s="45" t="s">
        <v>33</v>
      </c>
      <c r="D121" s="45" t="s">
        <v>34</v>
      </c>
      <c r="E121" s="45" t="s">
        <v>35</v>
      </c>
      <c r="F121" s="45" t="s">
        <v>36</v>
      </c>
      <c r="G121" s="45" t="s">
        <v>37</v>
      </c>
      <c r="H121" s="36"/>
      <c r="I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 x14ac:dyDescent="0.2">
      <c r="A122" s="62">
        <v>0</v>
      </c>
      <c r="B122" s="65"/>
      <c r="C122" s="65"/>
      <c r="D122" s="65"/>
      <c r="E122" s="65"/>
      <c r="F122" s="65"/>
      <c r="G122" s="43">
        <f>C118</f>
        <v>70000</v>
      </c>
      <c r="H122" s="36"/>
      <c r="I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 x14ac:dyDescent="0.2">
      <c r="A123" s="62">
        <v>1</v>
      </c>
      <c r="B123" s="100">
        <v>45684</v>
      </c>
      <c r="C123" s="65">
        <v>3600</v>
      </c>
      <c r="D123" s="65">
        <f t="shared" ref="D123:D132" si="10">C123/1.4</f>
        <v>2571.4285714285716</v>
      </c>
      <c r="E123" s="65">
        <f t="shared" ref="E123:E132" si="11">C123-D123</f>
        <v>1028.5714285714284</v>
      </c>
      <c r="F123" s="43" t="s">
        <v>41</v>
      </c>
      <c r="G123" s="43">
        <f t="shared" ref="G123:G132" si="12">(G122-C123)</f>
        <v>66400</v>
      </c>
      <c r="H123" s="36"/>
      <c r="I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 x14ac:dyDescent="0.2">
      <c r="A124" s="62">
        <v>2</v>
      </c>
      <c r="B124" s="100">
        <v>45691</v>
      </c>
      <c r="C124" s="65">
        <v>7200</v>
      </c>
      <c r="D124" s="65">
        <f t="shared" si="10"/>
        <v>5142.8571428571431</v>
      </c>
      <c r="E124" s="65">
        <f t="shared" si="11"/>
        <v>2057.1428571428569</v>
      </c>
      <c r="F124" s="43" t="s">
        <v>41</v>
      </c>
      <c r="G124" s="43">
        <f t="shared" si="12"/>
        <v>59200</v>
      </c>
      <c r="H124" s="36"/>
      <c r="I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 x14ac:dyDescent="0.2">
      <c r="A125" s="62">
        <v>3</v>
      </c>
      <c r="B125" s="100">
        <v>45698</v>
      </c>
      <c r="C125" s="65">
        <v>7200</v>
      </c>
      <c r="D125" s="65">
        <f t="shared" si="10"/>
        <v>5142.8571428571431</v>
      </c>
      <c r="E125" s="65">
        <f t="shared" si="11"/>
        <v>2057.1428571428569</v>
      </c>
      <c r="F125" s="43" t="s">
        <v>41</v>
      </c>
      <c r="G125" s="43">
        <f t="shared" si="12"/>
        <v>52000</v>
      </c>
      <c r="H125" s="36"/>
      <c r="I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 x14ac:dyDescent="0.2">
      <c r="A126" s="62">
        <v>4</v>
      </c>
      <c r="B126" s="100">
        <v>45705</v>
      </c>
      <c r="C126" s="65">
        <v>8400</v>
      </c>
      <c r="D126" s="65">
        <f t="shared" si="10"/>
        <v>6000</v>
      </c>
      <c r="E126" s="65">
        <f t="shared" si="11"/>
        <v>2400</v>
      </c>
      <c r="F126" s="43" t="s">
        <v>41</v>
      </c>
      <c r="G126" s="43">
        <f t="shared" si="12"/>
        <v>43600</v>
      </c>
      <c r="H126" s="36"/>
      <c r="I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 x14ac:dyDescent="0.2">
      <c r="A127" s="62">
        <v>5</v>
      </c>
      <c r="B127" s="103">
        <v>45712</v>
      </c>
      <c r="C127" s="65">
        <v>8400</v>
      </c>
      <c r="D127" s="65">
        <f t="shared" si="10"/>
        <v>6000</v>
      </c>
      <c r="E127" s="65">
        <f t="shared" si="11"/>
        <v>2400</v>
      </c>
      <c r="F127" s="43" t="s">
        <v>41</v>
      </c>
      <c r="G127" s="43">
        <f t="shared" si="12"/>
        <v>35200</v>
      </c>
      <c r="H127" s="36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 x14ac:dyDescent="0.2">
      <c r="A128" s="62">
        <v>6</v>
      </c>
      <c r="B128" s="103">
        <v>45719</v>
      </c>
      <c r="C128" s="65">
        <v>8400</v>
      </c>
      <c r="D128" s="65">
        <f t="shared" si="10"/>
        <v>6000</v>
      </c>
      <c r="E128" s="65">
        <f t="shared" si="11"/>
        <v>2400</v>
      </c>
      <c r="F128" s="43" t="s">
        <v>41</v>
      </c>
      <c r="G128" s="43">
        <f t="shared" si="12"/>
        <v>26800</v>
      </c>
      <c r="H128" s="36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1:33" x14ac:dyDescent="0.2">
      <c r="A129" s="62">
        <v>7</v>
      </c>
      <c r="B129" s="103">
        <v>45726</v>
      </c>
      <c r="C129" s="65">
        <v>8400</v>
      </c>
      <c r="D129" s="65">
        <f t="shared" si="10"/>
        <v>6000</v>
      </c>
      <c r="E129" s="65">
        <f t="shared" si="11"/>
        <v>2400</v>
      </c>
      <c r="F129" s="43" t="s">
        <v>41</v>
      </c>
      <c r="G129" s="43">
        <f t="shared" si="12"/>
        <v>18400</v>
      </c>
      <c r="H129" s="36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1:33" x14ac:dyDescent="0.2">
      <c r="A130" s="62">
        <v>8</v>
      </c>
      <c r="B130" s="103">
        <v>45733</v>
      </c>
      <c r="C130" s="65">
        <v>7200</v>
      </c>
      <c r="D130" s="65">
        <f t="shared" si="10"/>
        <v>5142.8571428571431</v>
      </c>
      <c r="E130" s="65">
        <f t="shared" si="11"/>
        <v>2057.1428571428569</v>
      </c>
      <c r="F130" s="43" t="s">
        <v>41</v>
      </c>
      <c r="G130" s="43">
        <f t="shared" si="12"/>
        <v>11200</v>
      </c>
      <c r="H130" s="36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1:33" x14ac:dyDescent="0.2">
      <c r="A131" s="62">
        <v>9</v>
      </c>
      <c r="B131" s="103">
        <v>45733</v>
      </c>
      <c r="C131" s="65">
        <v>11200</v>
      </c>
      <c r="D131" s="65">
        <f t="shared" si="10"/>
        <v>8000.0000000000009</v>
      </c>
      <c r="E131" s="65">
        <f t="shared" si="11"/>
        <v>3199.9999999999991</v>
      </c>
      <c r="F131" s="43" t="s">
        <v>41</v>
      </c>
      <c r="G131" s="43">
        <f t="shared" si="12"/>
        <v>0</v>
      </c>
      <c r="H131" s="36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1:33" x14ac:dyDescent="0.2">
      <c r="A132" s="62">
        <v>10</v>
      </c>
      <c r="B132" s="103"/>
      <c r="C132" s="65"/>
      <c r="D132" s="65">
        <f t="shared" si="10"/>
        <v>0</v>
      </c>
      <c r="E132" s="65">
        <f t="shared" si="11"/>
        <v>0</v>
      </c>
      <c r="F132" s="43"/>
      <c r="G132" s="43">
        <f t="shared" si="12"/>
        <v>0</v>
      </c>
      <c r="H132" s="36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1:33" x14ac:dyDescent="0.2">
      <c r="A133" s="89"/>
      <c r="B133" s="90"/>
      <c r="C133" s="91"/>
      <c r="D133" s="111">
        <f>SUMIFS(D123:D132, F123:F132, "Y")</f>
        <v>50000</v>
      </c>
      <c r="E133" s="111">
        <f>SUMIFS(E123:E132, F123:F132, "Y")</f>
        <v>20000</v>
      </c>
      <c r="F133" s="92">
        <f>(SUMIFS(D123:D132, F123:F132, "Y") + SUMIFS(E123:E132, F123:F132, "Y"))</f>
        <v>70000</v>
      </c>
      <c r="G133" s="91"/>
      <c r="H133" s="93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1:33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1:33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1:33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1:33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1:33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1:33" x14ac:dyDescent="0.2">
      <c r="A139" s="256">
        <v>6</v>
      </c>
      <c r="B139" s="257"/>
      <c r="C139" s="31"/>
      <c r="D139" s="31"/>
      <c r="E139" s="31"/>
      <c r="F139" s="31"/>
      <c r="G139" s="31"/>
      <c r="H139" s="32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1:33" x14ac:dyDescent="0.2">
      <c r="A140" s="265" t="s">
        <v>7</v>
      </c>
      <c r="B140" s="259"/>
      <c r="C140" s="149">
        <v>20000</v>
      </c>
      <c r="D140" s="35"/>
      <c r="E140" s="35"/>
      <c r="F140" s="35"/>
      <c r="G140" s="35"/>
      <c r="H140" s="36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1:33" x14ac:dyDescent="0.2">
      <c r="A141" s="265" t="s">
        <v>8</v>
      </c>
      <c r="B141" s="259"/>
      <c r="C141" s="113">
        <v>45685</v>
      </c>
      <c r="D141" s="35"/>
      <c r="E141" s="38"/>
      <c r="F141" s="38"/>
      <c r="G141" s="38"/>
      <c r="H141" s="39" t="s">
        <v>10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1:33" x14ac:dyDescent="0.2">
      <c r="A142" s="265" t="s">
        <v>103</v>
      </c>
      <c r="B142" s="259"/>
      <c r="C142" s="65">
        <v>4000</v>
      </c>
      <c r="D142" s="44" t="s">
        <v>280</v>
      </c>
      <c r="E142" s="266" t="s">
        <v>14</v>
      </c>
      <c r="F142" s="45" t="s">
        <v>15</v>
      </c>
      <c r="G142" s="65">
        <v>2680</v>
      </c>
      <c r="H142" s="46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1:33" x14ac:dyDescent="0.2">
      <c r="A143" s="265" t="s">
        <v>17</v>
      </c>
      <c r="B143" s="259"/>
      <c r="C143" s="43">
        <v>2</v>
      </c>
      <c r="D143" s="44"/>
      <c r="E143" s="261"/>
      <c r="F143" s="45" t="s">
        <v>18</v>
      </c>
      <c r="G143" s="43">
        <v>17320</v>
      </c>
      <c r="H143" s="46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1:33" x14ac:dyDescent="0.2">
      <c r="A144" s="265" t="s">
        <v>20</v>
      </c>
      <c r="B144" s="259"/>
      <c r="C144" s="43">
        <f>C142*C143</f>
        <v>8000</v>
      </c>
      <c r="D144" s="35"/>
      <c r="E144" s="54"/>
      <c r="F144" s="35"/>
      <c r="G144" s="44"/>
      <c r="H144" s="36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1:33" x14ac:dyDescent="0.2">
      <c r="A145" s="265" t="s">
        <v>22</v>
      </c>
      <c r="B145" s="259"/>
      <c r="C145" s="33">
        <f>C140+C144</f>
        <v>28000</v>
      </c>
      <c r="D145" s="35"/>
      <c r="E145" s="35"/>
      <c r="F145" s="35"/>
      <c r="G145" s="35"/>
      <c r="H145" s="36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1:33" x14ac:dyDescent="0.2">
      <c r="A146" s="265" t="s">
        <v>154</v>
      </c>
      <c r="B146" s="259"/>
      <c r="C146" s="57">
        <v>500</v>
      </c>
      <c r="D146" s="44" t="s">
        <v>280</v>
      </c>
      <c r="E146" s="35"/>
      <c r="F146" s="35"/>
      <c r="G146" s="35"/>
      <c r="H146" s="36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1:33" x14ac:dyDescent="0.2">
      <c r="A147" s="265" t="s">
        <v>28</v>
      </c>
      <c r="B147" s="259"/>
      <c r="C147" s="58" t="s">
        <v>29</v>
      </c>
      <c r="D147" s="35"/>
      <c r="E147" s="35"/>
      <c r="F147" s="35"/>
      <c r="G147" s="35"/>
      <c r="H147" s="36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1:33" x14ac:dyDescent="0.2">
      <c r="A148" s="62" t="s">
        <v>31</v>
      </c>
      <c r="B148" s="63" t="s">
        <v>106</v>
      </c>
      <c r="C148" s="45" t="s">
        <v>33</v>
      </c>
      <c r="D148" s="45" t="s">
        <v>34</v>
      </c>
      <c r="E148" s="45" t="s">
        <v>35</v>
      </c>
      <c r="F148" s="45" t="s">
        <v>36</v>
      </c>
      <c r="G148" s="45" t="s">
        <v>37</v>
      </c>
      <c r="H148" s="36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1:33" x14ac:dyDescent="0.2">
      <c r="A149" s="62">
        <v>0</v>
      </c>
      <c r="B149" s="65"/>
      <c r="C149" s="65"/>
      <c r="D149" s="65"/>
      <c r="E149" s="65"/>
      <c r="F149" s="65"/>
      <c r="G149" s="43">
        <f>C145</f>
        <v>28000</v>
      </c>
      <c r="H149" s="36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1:33" x14ac:dyDescent="0.2">
      <c r="A150" s="62">
        <v>1</v>
      </c>
      <c r="B150" s="100">
        <v>45691</v>
      </c>
      <c r="C150" s="65">
        <v>2000</v>
      </c>
      <c r="D150" s="65">
        <f t="shared" ref="D150:D159" si="13">C150/1.4</f>
        <v>1428.5714285714287</v>
      </c>
      <c r="E150" s="65">
        <f t="shared" ref="E150:E159" si="14">C150-D150</f>
        <v>571.42857142857133</v>
      </c>
      <c r="F150" s="43" t="s">
        <v>41</v>
      </c>
      <c r="G150" s="43">
        <f t="shared" ref="G150:G158" si="15">(G149-C150)</f>
        <v>26000</v>
      </c>
      <c r="H150" s="36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1:33" x14ac:dyDescent="0.2">
      <c r="A151" s="62">
        <v>2</v>
      </c>
      <c r="B151" s="100">
        <v>45698</v>
      </c>
      <c r="C151" s="65">
        <v>3500</v>
      </c>
      <c r="D151" s="65">
        <f t="shared" si="13"/>
        <v>2500</v>
      </c>
      <c r="E151" s="65">
        <f t="shared" si="14"/>
        <v>1000</v>
      </c>
      <c r="F151" s="43" t="s">
        <v>41</v>
      </c>
      <c r="G151" s="43">
        <f t="shared" si="15"/>
        <v>22500</v>
      </c>
      <c r="H151" s="36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1:33" x14ac:dyDescent="0.2">
      <c r="A152" s="62">
        <v>3</v>
      </c>
      <c r="B152" s="100">
        <v>45705</v>
      </c>
      <c r="C152" s="65">
        <v>3500</v>
      </c>
      <c r="D152" s="65">
        <f t="shared" si="13"/>
        <v>2500</v>
      </c>
      <c r="E152" s="65">
        <f t="shared" si="14"/>
        <v>1000</v>
      </c>
      <c r="F152" s="43" t="s">
        <v>41</v>
      </c>
      <c r="G152" s="43">
        <f t="shared" si="15"/>
        <v>19000</v>
      </c>
      <c r="H152" s="36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1:33" x14ac:dyDescent="0.2">
      <c r="A153" s="62">
        <v>4</v>
      </c>
      <c r="B153" s="100">
        <v>45712</v>
      </c>
      <c r="C153" s="65">
        <v>3500</v>
      </c>
      <c r="D153" s="65">
        <f t="shared" si="13"/>
        <v>2500</v>
      </c>
      <c r="E153" s="65">
        <f t="shared" si="14"/>
        <v>1000</v>
      </c>
      <c r="F153" s="43" t="s">
        <v>41</v>
      </c>
      <c r="G153" s="43">
        <f t="shared" si="15"/>
        <v>15500</v>
      </c>
      <c r="H153" s="36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1:33" x14ac:dyDescent="0.2">
      <c r="A154" s="62">
        <v>5</v>
      </c>
      <c r="B154" s="103">
        <v>45719</v>
      </c>
      <c r="C154" s="65">
        <v>3500</v>
      </c>
      <c r="D154" s="65">
        <f t="shared" si="13"/>
        <v>2500</v>
      </c>
      <c r="E154" s="65">
        <f t="shared" si="14"/>
        <v>1000</v>
      </c>
      <c r="F154" s="43" t="s">
        <v>41</v>
      </c>
      <c r="G154" s="43">
        <f t="shared" si="15"/>
        <v>12000</v>
      </c>
      <c r="H154" s="36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1:33" x14ac:dyDescent="0.2">
      <c r="A155" s="62">
        <v>6</v>
      </c>
      <c r="B155" s="103">
        <v>45726</v>
      </c>
      <c r="C155" s="65">
        <v>3000</v>
      </c>
      <c r="D155" s="65">
        <f t="shared" si="13"/>
        <v>2142.8571428571431</v>
      </c>
      <c r="E155" s="65">
        <f t="shared" si="14"/>
        <v>857.14285714285688</v>
      </c>
      <c r="F155" s="43" t="s">
        <v>41</v>
      </c>
      <c r="G155" s="43">
        <f t="shared" si="15"/>
        <v>9000</v>
      </c>
      <c r="H155" s="36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1:33" x14ac:dyDescent="0.2">
      <c r="A156" s="62">
        <v>7</v>
      </c>
      <c r="B156" s="103">
        <v>45733</v>
      </c>
      <c r="C156" s="65">
        <v>2000</v>
      </c>
      <c r="D156" s="65">
        <f t="shared" si="13"/>
        <v>1428.5714285714287</v>
      </c>
      <c r="E156" s="65">
        <f t="shared" si="14"/>
        <v>571.42857142857133</v>
      </c>
      <c r="F156" s="43" t="s">
        <v>41</v>
      </c>
      <c r="G156" s="43">
        <f t="shared" si="15"/>
        <v>7000</v>
      </c>
      <c r="H156" s="36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1:33" x14ac:dyDescent="0.2">
      <c r="A157" s="62">
        <v>8</v>
      </c>
      <c r="B157" s="103">
        <v>45740</v>
      </c>
      <c r="C157" s="65">
        <v>3000</v>
      </c>
      <c r="D157" s="65">
        <f t="shared" si="13"/>
        <v>2142.8571428571431</v>
      </c>
      <c r="E157" s="65">
        <f t="shared" si="14"/>
        <v>857.14285714285688</v>
      </c>
      <c r="F157" s="43" t="s">
        <v>41</v>
      </c>
      <c r="G157" s="43">
        <f t="shared" si="15"/>
        <v>4000</v>
      </c>
      <c r="H157" s="36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1:33" x14ac:dyDescent="0.2">
      <c r="A158" s="62">
        <v>9</v>
      </c>
      <c r="B158" s="103">
        <v>45740</v>
      </c>
      <c r="C158" s="65">
        <v>4000</v>
      </c>
      <c r="D158" s="65">
        <f t="shared" si="13"/>
        <v>2857.1428571428573</v>
      </c>
      <c r="E158" s="65">
        <f t="shared" si="14"/>
        <v>1142.8571428571427</v>
      </c>
      <c r="F158" s="43" t="s">
        <v>41</v>
      </c>
      <c r="G158" s="43">
        <f t="shared" si="15"/>
        <v>0</v>
      </c>
      <c r="H158" s="36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1:33" x14ac:dyDescent="0.2">
      <c r="A159" s="105"/>
      <c r="B159" s="106"/>
      <c r="C159" s="65"/>
      <c r="D159" s="65">
        <f t="shared" si="13"/>
        <v>0</v>
      </c>
      <c r="E159" s="65">
        <f t="shared" si="14"/>
        <v>0</v>
      </c>
      <c r="F159" s="65"/>
      <c r="G159" s="65"/>
      <c r="H159" s="36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1:33" x14ac:dyDescent="0.2">
      <c r="A160" s="89"/>
      <c r="B160" s="90"/>
      <c r="C160" s="91"/>
      <c r="D160" s="111">
        <f>SUMIFS(D150:D159, F150:F159, "Y")</f>
        <v>20000.000000000004</v>
      </c>
      <c r="E160" s="111">
        <f>SUMIFS(E150:E159, F150:F159, "Y")</f>
        <v>8000</v>
      </c>
      <c r="F160" s="92">
        <f>(SUMIFS(D150:D159, F150:F159, "Y") + SUMIFS(E150:E159, F150:F159, "Y"))</f>
        <v>28000.000000000004</v>
      </c>
      <c r="G160" s="91"/>
      <c r="H160" s="93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1:33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1:33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1:33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1:33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1:33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1:33" x14ac:dyDescent="0.2">
      <c r="A166" s="256">
        <v>7</v>
      </c>
      <c r="B166" s="257"/>
      <c r="C166" s="119"/>
      <c r="D166" s="119"/>
      <c r="E166" s="119"/>
      <c r="F166" s="119"/>
      <c r="G166" s="119"/>
      <c r="H166" s="12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1:33" x14ac:dyDescent="0.2">
      <c r="A167" s="258" t="s">
        <v>7</v>
      </c>
      <c r="B167" s="259"/>
      <c r="C167" s="148">
        <v>60000</v>
      </c>
      <c r="D167" s="30" t="s">
        <v>281</v>
      </c>
      <c r="E167" s="30"/>
      <c r="F167" s="30"/>
      <c r="G167" s="30"/>
      <c r="H167" s="123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1:33" x14ac:dyDescent="0.2">
      <c r="A168" s="258" t="s">
        <v>8</v>
      </c>
      <c r="B168" s="259"/>
      <c r="C168" s="82">
        <v>45691</v>
      </c>
      <c r="D168" s="30"/>
      <c r="E168" s="49"/>
      <c r="F168" s="49"/>
      <c r="G168" s="49"/>
      <c r="H168" s="125" t="s">
        <v>10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1:33" x14ac:dyDescent="0.2">
      <c r="A169" s="258" t="s">
        <v>152</v>
      </c>
      <c r="B169" s="259"/>
      <c r="C169" s="135">
        <v>9000</v>
      </c>
      <c r="D169" s="66" t="s">
        <v>282</v>
      </c>
      <c r="E169" s="260" t="s">
        <v>14</v>
      </c>
      <c r="F169" s="126" t="s">
        <v>15</v>
      </c>
      <c r="G169" s="135">
        <v>10200</v>
      </c>
      <c r="H169" s="127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1:33" x14ac:dyDescent="0.2">
      <c r="A170" s="258" t="s">
        <v>17</v>
      </c>
      <c r="B170" s="259"/>
      <c r="C170" s="50">
        <v>3</v>
      </c>
      <c r="D170" s="66" t="s">
        <v>153</v>
      </c>
      <c r="E170" s="261"/>
      <c r="F170" s="126" t="s">
        <v>18</v>
      </c>
      <c r="G170" s="50">
        <v>49800</v>
      </c>
      <c r="H170" s="127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1:33" x14ac:dyDescent="0.2">
      <c r="A171" s="258" t="s">
        <v>20</v>
      </c>
      <c r="B171" s="259"/>
      <c r="C171" s="50">
        <f>C169*C170</f>
        <v>27000</v>
      </c>
      <c r="D171" s="30"/>
      <c r="E171" s="128"/>
      <c r="F171" s="30"/>
      <c r="G171" s="66"/>
      <c r="H171" s="123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1:33" x14ac:dyDescent="0.2">
      <c r="A172" s="258" t="s">
        <v>22</v>
      </c>
      <c r="B172" s="259"/>
      <c r="C172" s="121">
        <f>C167+C171</f>
        <v>87000</v>
      </c>
      <c r="D172" s="30"/>
      <c r="E172" s="30"/>
      <c r="F172" s="30"/>
      <c r="G172" s="30"/>
      <c r="H172" s="123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1:33" x14ac:dyDescent="0.2">
      <c r="A173" s="258" t="s">
        <v>166</v>
      </c>
      <c r="B173" s="259"/>
      <c r="C173" s="146">
        <v>900</v>
      </c>
      <c r="D173" s="30" t="s">
        <v>283</v>
      </c>
      <c r="E173" s="30" t="s">
        <v>284</v>
      </c>
      <c r="F173" s="30"/>
      <c r="G173" s="30"/>
      <c r="H173" s="123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1:33" x14ac:dyDescent="0.2">
      <c r="A174" s="258" t="s">
        <v>28</v>
      </c>
      <c r="B174" s="259"/>
      <c r="C174" s="130" t="s">
        <v>29</v>
      </c>
      <c r="D174" s="30"/>
      <c r="E174" s="30"/>
      <c r="F174" s="30"/>
      <c r="G174" s="30"/>
      <c r="H174" s="123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1:33" x14ac:dyDescent="0.2">
      <c r="A175" s="131" t="s">
        <v>31</v>
      </c>
      <c r="B175" s="132" t="s">
        <v>106</v>
      </c>
      <c r="C175" s="133" t="s">
        <v>33</v>
      </c>
      <c r="D175" s="133" t="s">
        <v>34</v>
      </c>
      <c r="E175" s="133" t="s">
        <v>35</v>
      </c>
      <c r="F175" s="133" t="s">
        <v>36</v>
      </c>
      <c r="G175" s="133" t="s">
        <v>37</v>
      </c>
      <c r="H175" s="123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1:33" x14ac:dyDescent="0.2">
      <c r="A176" s="134">
        <v>0</v>
      </c>
      <c r="B176" s="135"/>
      <c r="C176" s="135"/>
      <c r="D176" s="135"/>
      <c r="E176" s="135"/>
      <c r="F176" s="135"/>
      <c r="G176" s="50">
        <f>C172</f>
        <v>87000</v>
      </c>
      <c r="H176" s="123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1:33" x14ac:dyDescent="0.2">
      <c r="A177" s="134">
        <v>1</v>
      </c>
      <c r="B177" s="126" t="s">
        <v>285</v>
      </c>
      <c r="C177" s="135">
        <v>4500</v>
      </c>
      <c r="D177" s="135">
        <f t="shared" ref="D177:D193" si="16">C177/1.45</f>
        <v>3103.4482758620688</v>
      </c>
      <c r="E177" s="135">
        <f t="shared" ref="E177:E193" si="17">C177-D177</f>
        <v>1396.5517241379312</v>
      </c>
      <c r="F177" s="50" t="s">
        <v>41</v>
      </c>
      <c r="G177" s="50">
        <f t="shared" ref="G177:G193" si="18">(G176-C177)</f>
        <v>82500</v>
      </c>
      <c r="H177" s="123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1:33" x14ac:dyDescent="0.2">
      <c r="A178" s="134">
        <v>2</v>
      </c>
      <c r="B178" s="126" t="s">
        <v>286</v>
      </c>
      <c r="C178" s="135">
        <v>5400</v>
      </c>
      <c r="D178" s="135">
        <f t="shared" si="16"/>
        <v>3724.1379310344828</v>
      </c>
      <c r="E178" s="135">
        <f t="shared" si="17"/>
        <v>1675.8620689655172</v>
      </c>
      <c r="F178" s="50" t="s">
        <v>41</v>
      </c>
      <c r="G178" s="50">
        <f t="shared" si="18"/>
        <v>77100</v>
      </c>
      <c r="H178" s="123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1:33" x14ac:dyDescent="0.2">
      <c r="A179" s="134">
        <v>3</v>
      </c>
      <c r="B179" s="126" t="s">
        <v>287</v>
      </c>
      <c r="C179" s="135">
        <v>6300</v>
      </c>
      <c r="D179" s="135">
        <f t="shared" si="16"/>
        <v>4344.8275862068967</v>
      </c>
      <c r="E179" s="135">
        <f t="shared" si="17"/>
        <v>1955.1724137931033</v>
      </c>
      <c r="F179" s="50" t="s">
        <v>41</v>
      </c>
      <c r="G179" s="50">
        <f t="shared" si="18"/>
        <v>70800</v>
      </c>
      <c r="H179" s="123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1:33" x14ac:dyDescent="0.2">
      <c r="A180" s="134">
        <v>4</v>
      </c>
      <c r="B180" s="126" t="s">
        <v>288</v>
      </c>
      <c r="C180" s="135">
        <v>5400</v>
      </c>
      <c r="D180" s="135">
        <f t="shared" si="16"/>
        <v>3724.1379310344828</v>
      </c>
      <c r="E180" s="135">
        <f t="shared" si="17"/>
        <v>1675.8620689655172</v>
      </c>
      <c r="F180" s="50" t="s">
        <v>41</v>
      </c>
      <c r="G180" s="50">
        <f t="shared" si="18"/>
        <v>65400</v>
      </c>
      <c r="H180" s="123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1:33" x14ac:dyDescent="0.2">
      <c r="A181" s="134">
        <v>5</v>
      </c>
      <c r="B181" s="126" t="s">
        <v>289</v>
      </c>
      <c r="C181" s="135">
        <v>5400</v>
      </c>
      <c r="D181" s="135">
        <f t="shared" si="16"/>
        <v>3724.1379310344828</v>
      </c>
      <c r="E181" s="135">
        <f t="shared" si="17"/>
        <v>1675.8620689655172</v>
      </c>
      <c r="F181" s="50" t="s">
        <v>41</v>
      </c>
      <c r="G181" s="50">
        <f t="shared" si="18"/>
        <v>60000</v>
      </c>
      <c r="H181" s="123"/>
      <c r="I181" s="30"/>
      <c r="J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1:33" x14ac:dyDescent="0.2">
      <c r="A182" s="134">
        <v>6</v>
      </c>
      <c r="B182" s="126" t="s">
        <v>290</v>
      </c>
      <c r="C182" s="135">
        <v>5400</v>
      </c>
      <c r="D182" s="135">
        <f t="shared" si="16"/>
        <v>3724.1379310344828</v>
      </c>
      <c r="E182" s="135">
        <f t="shared" si="17"/>
        <v>1675.8620689655172</v>
      </c>
      <c r="F182" s="50" t="s">
        <v>41</v>
      </c>
      <c r="G182" s="50">
        <f t="shared" si="18"/>
        <v>54600</v>
      </c>
      <c r="H182" s="123"/>
      <c r="I182" s="30"/>
      <c r="J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1:33" x14ac:dyDescent="0.2">
      <c r="A183" s="134">
        <v>7</v>
      </c>
      <c r="B183" s="126" t="s">
        <v>291</v>
      </c>
      <c r="C183" s="135">
        <v>3600</v>
      </c>
      <c r="D183" s="135">
        <f t="shared" si="16"/>
        <v>2482.7586206896553</v>
      </c>
      <c r="E183" s="135">
        <f t="shared" si="17"/>
        <v>1117.2413793103447</v>
      </c>
      <c r="F183" s="50" t="s">
        <v>41</v>
      </c>
      <c r="G183" s="50">
        <f t="shared" si="18"/>
        <v>51000</v>
      </c>
      <c r="H183" s="123"/>
      <c r="I183" s="30"/>
      <c r="J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1:33" x14ac:dyDescent="0.2">
      <c r="A184" s="134">
        <v>8</v>
      </c>
      <c r="B184" s="126" t="s">
        <v>292</v>
      </c>
      <c r="C184" s="135">
        <v>5400</v>
      </c>
      <c r="D184" s="135">
        <f t="shared" si="16"/>
        <v>3724.1379310344828</v>
      </c>
      <c r="E184" s="135">
        <f t="shared" si="17"/>
        <v>1675.8620689655172</v>
      </c>
      <c r="F184" s="50" t="s">
        <v>41</v>
      </c>
      <c r="G184" s="50">
        <f t="shared" si="18"/>
        <v>45600</v>
      </c>
      <c r="H184" s="123"/>
      <c r="I184" s="30"/>
      <c r="J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1:33" x14ac:dyDescent="0.2">
      <c r="A185" s="134">
        <v>9</v>
      </c>
      <c r="B185" s="126" t="s">
        <v>293</v>
      </c>
      <c r="C185" s="135">
        <v>1800</v>
      </c>
      <c r="D185" s="135">
        <f t="shared" si="16"/>
        <v>1241.3793103448277</v>
      </c>
      <c r="E185" s="135">
        <f t="shared" si="17"/>
        <v>558.62068965517233</v>
      </c>
      <c r="F185" s="50" t="s">
        <v>41</v>
      </c>
      <c r="G185" s="50">
        <f t="shared" si="18"/>
        <v>43800</v>
      </c>
      <c r="H185" s="123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1:33" x14ac:dyDescent="0.2">
      <c r="A186" s="134">
        <v>10</v>
      </c>
      <c r="B186" s="126" t="s">
        <v>294</v>
      </c>
      <c r="C186" s="135">
        <v>1800</v>
      </c>
      <c r="D186" s="135">
        <f t="shared" si="16"/>
        <v>1241.3793103448277</v>
      </c>
      <c r="E186" s="135">
        <f t="shared" si="17"/>
        <v>558.62068965517233</v>
      </c>
      <c r="F186" s="50" t="s">
        <v>41</v>
      </c>
      <c r="G186" s="50">
        <f t="shared" si="18"/>
        <v>42000</v>
      </c>
      <c r="H186" s="123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1:33" x14ac:dyDescent="0.2">
      <c r="A187" s="134">
        <v>11</v>
      </c>
      <c r="B187" s="137">
        <v>45768</v>
      </c>
      <c r="C187" s="135">
        <v>0</v>
      </c>
      <c r="D187" s="135">
        <f t="shared" si="16"/>
        <v>0</v>
      </c>
      <c r="E187" s="135">
        <f t="shared" si="17"/>
        <v>0</v>
      </c>
      <c r="F187" s="50" t="s">
        <v>168</v>
      </c>
      <c r="G187" s="50">
        <f t="shared" si="18"/>
        <v>42000</v>
      </c>
      <c r="H187" s="123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1:33" x14ac:dyDescent="0.2">
      <c r="A188" s="134">
        <v>12</v>
      </c>
      <c r="B188" s="126" t="s">
        <v>295</v>
      </c>
      <c r="C188" s="135">
        <v>2880</v>
      </c>
      <c r="D188" s="135">
        <f t="shared" si="16"/>
        <v>1986.2068965517242</v>
      </c>
      <c r="E188" s="135">
        <f t="shared" si="17"/>
        <v>893.79310344827582</v>
      </c>
      <c r="F188" s="50" t="s">
        <v>41</v>
      </c>
      <c r="G188" s="50">
        <f t="shared" si="18"/>
        <v>39120</v>
      </c>
      <c r="H188" s="123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1:33" x14ac:dyDescent="0.2">
      <c r="A189" s="134">
        <v>13</v>
      </c>
      <c r="B189" s="126" t="s">
        <v>296</v>
      </c>
      <c r="C189" s="135">
        <v>1920</v>
      </c>
      <c r="D189" s="135">
        <f t="shared" si="16"/>
        <v>1324.1379310344828</v>
      </c>
      <c r="E189" s="135">
        <f t="shared" si="17"/>
        <v>595.86206896551721</v>
      </c>
      <c r="F189" s="50" t="s">
        <v>41</v>
      </c>
      <c r="G189" s="50">
        <f t="shared" si="18"/>
        <v>37200</v>
      </c>
      <c r="H189" s="123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1:33" x14ac:dyDescent="0.2">
      <c r="A190" s="134">
        <v>14</v>
      </c>
      <c r="B190" s="126" t="s">
        <v>297</v>
      </c>
      <c r="C190" s="135">
        <v>2880</v>
      </c>
      <c r="D190" s="135">
        <f t="shared" si="16"/>
        <v>1986.2068965517242</v>
      </c>
      <c r="E190" s="135">
        <f t="shared" si="17"/>
        <v>893.79310344827582</v>
      </c>
      <c r="F190" s="50" t="s">
        <v>107</v>
      </c>
      <c r="G190" s="50">
        <f t="shared" si="18"/>
        <v>34320</v>
      </c>
      <c r="H190" s="123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1:33" x14ac:dyDescent="0.2">
      <c r="A191" s="134">
        <v>15</v>
      </c>
      <c r="B191" s="137"/>
      <c r="C191" s="135"/>
      <c r="D191" s="135">
        <f t="shared" si="16"/>
        <v>0</v>
      </c>
      <c r="E191" s="135">
        <f t="shared" si="17"/>
        <v>0</v>
      </c>
      <c r="F191" s="50" t="s">
        <v>107</v>
      </c>
      <c r="G191" s="50">
        <f t="shared" si="18"/>
        <v>34320</v>
      </c>
      <c r="H191" s="123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33" x14ac:dyDescent="0.2">
      <c r="A192" s="134">
        <v>16</v>
      </c>
      <c r="B192" s="137"/>
      <c r="C192" s="135"/>
      <c r="D192" s="135">
        <f t="shared" si="16"/>
        <v>0</v>
      </c>
      <c r="E192" s="135">
        <f t="shared" si="17"/>
        <v>0</v>
      </c>
      <c r="F192" s="50" t="s">
        <v>107</v>
      </c>
      <c r="G192" s="50">
        <f t="shared" si="18"/>
        <v>34320</v>
      </c>
      <c r="H192" s="123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1:33" x14ac:dyDescent="0.2">
      <c r="A193" s="134">
        <v>17</v>
      </c>
      <c r="B193" s="137"/>
      <c r="C193" s="135"/>
      <c r="D193" s="135">
        <f t="shared" si="16"/>
        <v>0</v>
      </c>
      <c r="E193" s="135">
        <f t="shared" si="17"/>
        <v>0</v>
      </c>
      <c r="F193" s="50" t="s">
        <v>107</v>
      </c>
      <c r="G193" s="50">
        <f t="shared" si="18"/>
        <v>34320</v>
      </c>
      <c r="H193" s="123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1:33" x14ac:dyDescent="0.2">
      <c r="A194" s="138"/>
      <c r="B194" s="139"/>
      <c r="C194" s="140"/>
      <c r="D194" s="141">
        <f>SUMIFS(D177:D193, F177:F193, "Y")</f>
        <v>34344.827586206891</v>
      </c>
      <c r="E194" s="142">
        <f>SUMIFS(E177:E193, F177:F193, "Y")</f>
        <v>15455.172413793105</v>
      </c>
      <c r="F194" s="143">
        <f>(SUMIFS(D177:D193, F177:F193, "Y") + SUMIFS(E177:E193, F177:F193, "Y"))</f>
        <v>49800</v>
      </c>
      <c r="G194" s="140"/>
      <c r="H194" s="144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1:33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1:33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1:33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1:33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1:33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1:33" x14ac:dyDescent="0.2">
      <c r="A200" s="256">
        <v>8</v>
      </c>
      <c r="B200" s="257"/>
      <c r="C200" s="119"/>
      <c r="D200" s="119"/>
      <c r="E200" s="119"/>
      <c r="F200" s="119"/>
      <c r="G200" s="119"/>
      <c r="H200" s="12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1:33" x14ac:dyDescent="0.2">
      <c r="A201" s="258" t="s">
        <v>7</v>
      </c>
      <c r="B201" s="259"/>
      <c r="C201" s="148">
        <v>50000</v>
      </c>
      <c r="D201" s="30"/>
      <c r="E201" s="30"/>
      <c r="F201" s="30"/>
      <c r="G201" s="30"/>
      <c r="H201" s="123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1:33" x14ac:dyDescent="0.2">
      <c r="A202" s="258" t="s">
        <v>8</v>
      </c>
      <c r="B202" s="259"/>
      <c r="C202" s="82">
        <v>45699</v>
      </c>
      <c r="D202" s="30"/>
      <c r="E202" s="49"/>
      <c r="F202" s="49"/>
      <c r="G202" s="49"/>
      <c r="H202" s="125" t="s">
        <v>10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1:33" x14ac:dyDescent="0.2">
      <c r="A203" s="258" t="s">
        <v>152</v>
      </c>
      <c r="B203" s="259"/>
      <c r="C203" s="135">
        <v>7500</v>
      </c>
      <c r="D203" s="66"/>
      <c r="E203" s="260" t="s">
        <v>14</v>
      </c>
      <c r="F203" s="126" t="s">
        <v>15</v>
      </c>
      <c r="G203" s="135">
        <v>4000</v>
      </c>
      <c r="H203" s="127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1:33" x14ac:dyDescent="0.2">
      <c r="A204" s="258" t="s">
        <v>17</v>
      </c>
      <c r="B204" s="259"/>
      <c r="C204" s="50">
        <v>3</v>
      </c>
      <c r="D204" s="66" t="s">
        <v>153</v>
      </c>
      <c r="E204" s="261"/>
      <c r="F204" s="126" t="s">
        <v>18</v>
      </c>
      <c r="G204" s="50">
        <v>46000</v>
      </c>
      <c r="H204" s="127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1:33" x14ac:dyDescent="0.2">
      <c r="A205" s="258" t="s">
        <v>20</v>
      </c>
      <c r="B205" s="259"/>
      <c r="C205" s="50">
        <f>C203*C204</f>
        <v>22500</v>
      </c>
      <c r="D205" s="30"/>
      <c r="E205" s="128"/>
      <c r="F205" s="30"/>
      <c r="G205" s="66"/>
      <c r="H205" s="123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1:33" x14ac:dyDescent="0.2">
      <c r="A206" s="258" t="s">
        <v>22</v>
      </c>
      <c r="B206" s="259"/>
      <c r="C206" s="121">
        <f>C201+C205</f>
        <v>72500</v>
      </c>
      <c r="D206" s="30"/>
      <c r="E206" s="30"/>
      <c r="F206" s="30"/>
      <c r="G206" s="30"/>
      <c r="H206" s="123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1:33" x14ac:dyDescent="0.2">
      <c r="A207" s="258" t="s">
        <v>24</v>
      </c>
      <c r="B207" s="259"/>
      <c r="C207" s="146">
        <v>750</v>
      </c>
      <c r="D207" s="30" t="s">
        <v>161</v>
      </c>
      <c r="E207" s="30"/>
      <c r="F207" s="30"/>
      <c r="G207" s="30"/>
      <c r="H207" s="123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1:33" x14ac:dyDescent="0.2">
      <c r="A208" s="258" t="s">
        <v>28</v>
      </c>
      <c r="B208" s="259"/>
      <c r="C208" s="130" t="s">
        <v>154</v>
      </c>
      <c r="D208" s="30"/>
      <c r="E208" s="30"/>
      <c r="F208" s="30"/>
      <c r="G208" s="30"/>
      <c r="H208" s="123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1:33" x14ac:dyDescent="0.2">
      <c r="A209" s="131" t="s">
        <v>31</v>
      </c>
      <c r="B209" s="132" t="s">
        <v>106</v>
      </c>
      <c r="C209" s="133" t="s">
        <v>33</v>
      </c>
      <c r="D209" s="133" t="s">
        <v>34</v>
      </c>
      <c r="E209" s="133" t="s">
        <v>35</v>
      </c>
      <c r="F209" s="133" t="s">
        <v>36</v>
      </c>
      <c r="G209" s="133" t="s">
        <v>37</v>
      </c>
      <c r="H209" s="123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1:33" x14ac:dyDescent="0.2">
      <c r="A210" s="134">
        <v>0</v>
      </c>
      <c r="B210" s="135"/>
      <c r="C210" s="135"/>
      <c r="D210" s="135"/>
      <c r="E210" s="135"/>
      <c r="F210" s="135"/>
      <c r="G210" s="50">
        <f>C206</f>
        <v>72500</v>
      </c>
      <c r="H210" s="123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1:33" x14ac:dyDescent="0.2">
      <c r="A211" s="134">
        <v>1</v>
      </c>
      <c r="B211" s="136">
        <v>45705</v>
      </c>
      <c r="C211" s="135">
        <v>2250</v>
      </c>
      <c r="D211" s="135">
        <f t="shared" ref="D211:D229" si="19">C211/1.45</f>
        <v>1551.7241379310344</v>
      </c>
      <c r="E211" s="135">
        <f t="shared" ref="E211:E229" si="20">C211-D211</f>
        <v>698.27586206896558</v>
      </c>
      <c r="F211" s="50" t="s">
        <v>41</v>
      </c>
      <c r="G211" s="50">
        <f t="shared" ref="G211:G229" si="21">(G210-C211)</f>
        <v>70250</v>
      </c>
      <c r="H211" s="123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1:33" x14ac:dyDescent="0.2">
      <c r="A212" s="134">
        <v>2</v>
      </c>
      <c r="B212" s="136">
        <v>45712</v>
      </c>
      <c r="C212" s="135">
        <v>4500</v>
      </c>
      <c r="D212" s="135">
        <f t="shared" si="19"/>
        <v>3103.4482758620688</v>
      </c>
      <c r="E212" s="135">
        <f t="shared" si="20"/>
        <v>1396.5517241379312</v>
      </c>
      <c r="F212" s="50" t="s">
        <v>41</v>
      </c>
      <c r="G212" s="50">
        <f t="shared" si="21"/>
        <v>65750</v>
      </c>
      <c r="H212" s="123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1:33" x14ac:dyDescent="0.2">
      <c r="A213" s="134">
        <v>3</v>
      </c>
      <c r="B213" s="136">
        <v>45719</v>
      </c>
      <c r="C213" s="135">
        <v>2250</v>
      </c>
      <c r="D213" s="135">
        <f t="shared" si="19"/>
        <v>1551.7241379310344</v>
      </c>
      <c r="E213" s="135">
        <f t="shared" si="20"/>
        <v>698.27586206896558</v>
      </c>
      <c r="F213" s="50" t="s">
        <v>41</v>
      </c>
      <c r="G213" s="50">
        <f t="shared" si="21"/>
        <v>63500</v>
      </c>
      <c r="H213" s="123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1:33" x14ac:dyDescent="0.2">
      <c r="A214" s="134">
        <v>4</v>
      </c>
      <c r="B214" s="136">
        <v>45726</v>
      </c>
      <c r="C214" s="135">
        <v>4500</v>
      </c>
      <c r="D214" s="135">
        <f t="shared" si="19"/>
        <v>3103.4482758620688</v>
      </c>
      <c r="E214" s="135">
        <f t="shared" si="20"/>
        <v>1396.5517241379312</v>
      </c>
      <c r="F214" s="50" t="s">
        <v>41</v>
      </c>
      <c r="G214" s="50">
        <f t="shared" si="21"/>
        <v>59000</v>
      </c>
      <c r="H214" s="123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1:33" x14ac:dyDescent="0.2">
      <c r="A215" s="134">
        <v>5</v>
      </c>
      <c r="B215" s="137">
        <v>45733</v>
      </c>
      <c r="C215" s="135">
        <v>3750</v>
      </c>
      <c r="D215" s="135">
        <f t="shared" si="19"/>
        <v>2586.2068965517242</v>
      </c>
      <c r="E215" s="135">
        <f t="shared" si="20"/>
        <v>1163.7931034482758</v>
      </c>
      <c r="F215" s="50" t="s">
        <v>41</v>
      </c>
      <c r="G215" s="50">
        <f t="shared" si="21"/>
        <v>55250</v>
      </c>
      <c r="H215" s="123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1:33" x14ac:dyDescent="0.2">
      <c r="A216" s="134">
        <v>6</v>
      </c>
      <c r="B216" s="137">
        <v>45740</v>
      </c>
      <c r="C216" s="135">
        <v>4500</v>
      </c>
      <c r="D216" s="135">
        <f t="shared" si="19"/>
        <v>3103.4482758620688</v>
      </c>
      <c r="E216" s="135">
        <f t="shared" si="20"/>
        <v>1396.5517241379312</v>
      </c>
      <c r="F216" s="50" t="s">
        <v>41</v>
      </c>
      <c r="G216" s="50">
        <f t="shared" si="21"/>
        <v>50750</v>
      </c>
      <c r="H216" s="123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1:33" x14ac:dyDescent="0.2">
      <c r="A217" s="134">
        <v>7</v>
      </c>
      <c r="B217" s="137">
        <v>45747</v>
      </c>
      <c r="C217" s="135">
        <v>2250</v>
      </c>
      <c r="D217" s="135">
        <f t="shared" si="19"/>
        <v>1551.7241379310344</v>
      </c>
      <c r="E217" s="135">
        <f t="shared" si="20"/>
        <v>698.27586206896558</v>
      </c>
      <c r="F217" s="50" t="s">
        <v>41</v>
      </c>
      <c r="G217" s="50">
        <f t="shared" si="21"/>
        <v>48500</v>
      </c>
      <c r="H217" s="123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1:33" x14ac:dyDescent="0.2">
      <c r="A218" s="134">
        <v>8</v>
      </c>
      <c r="B218" s="137">
        <v>45754</v>
      </c>
      <c r="C218" s="135">
        <v>3750</v>
      </c>
      <c r="D218" s="135">
        <f t="shared" si="19"/>
        <v>2586.2068965517242</v>
      </c>
      <c r="E218" s="135">
        <f t="shared" si="20"/>
        <v>1163.7931034482758</v>
      </c>
      <c r="F218" s="50" t="s">
        <v>41</v>
      </c>
      <c r="G218" s="50">
        <f t="shared" si="21"/>
        <v>44750</v>
      </c>
      <c r="H218" s="123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1:33" x14ac:dyDescent="0.2">
      <c r="A219" s="134">
        <v>9</v>
      </c>
      <c r="B219" s="137">
        <v>45761</v>
      </c>
      <c r="C219" s="135">
        <v>0</v>
      </c>
      <c r="D219" s="135">
        <f t="shared" si="19"/>
        <v>0</v>
      </c>
      <c r="E219" s="135">
        <f t="shared" si="20"/>
        <v>0</v>
      </c>
      <c r="F219" s="50" t="s">
        <v>168</v>
      </c>
      <c r="G219" s="50">
        <f t="shared" si="21"/>
        <v>44750</v>
      </c>
      <c r="H219" s="123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1:33" x14ac:dyDescent="0.2">
      <c r="A220" s="134">
        <v>10</v>
      </c>
      <c r="B220" s="137">
        <v>45768</v>
      </c>
      <c r="C220" s="135">
        <v>0</v>
      </c>
      <c r="D220" s="135">
        <f t="shared" si="19"/>
        <v>0</v>
      </c>
      <c r="E220" s="135">
        <f t="shared" si="20"/>
        <v>0</v>
      </c>
      <c r="F220" s="50" t="s">
        <v>168</v>
      </c>
      <c r="G220" s="50">
        <f t="shared" si="21"/>
        <v>44750</v>
      </c>
      <c r="H220" s="123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1:33" x14ac:dyDescent="0.2">
      <c r="A221" s="134">
        <v>11</v>
      </c>
      <c r="B221" s="137">
        <v>45775</v>
      </c>
      <c r="C221" s="135">
        <v>2250</v>
      </c>
      <c r="D221" s="135">
        <f t="shared" si="19"/>
        <v>1551.7241379310344</v>
      </c>
      <c r="E221" s="135">
        <f t="shared" si="20"/>
        <v>698.27586206896558</v>
      </c>
      <c r="F221" s="50" t="s">
        <v>41</v>
      </c>
      <c r="G221" s="50">
        <f t="shared" si="21"/>
        <v>42500</v>
      </c>
      <c r="H221" s="123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1:33" x14ac:dyDescent="0.2">
      <c r="A222" s="134">
        <v>12</v>
      </c>
      <c r="B222" s="137">
        <v>45782</v>
      </c>
      <c r="C222" s="135">
        <v>2250</v>
      </c>
      <c r="D222" s="135">
        <f t="shared" si="19"/>
        <v>1551.7241379310344</v>
      </c>
      <c r="E222" s="135">
        <f t="shared" si="20"/>
        <v>698.27586206896558</v>
      </c>
      <c r="F222" s="50" t="s">
        <v>41</v>
      </c>
      <c r="G222" s="50">
        <f t="shared" si="21"/>
        <v>40250</v>
      </c>
      <c r="H222" s="123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1:33" x14ac:dyDescent="0.2">
      <c r="A223" s="134">
        <v>13</v>
      </c>
      <c r="B223" s="137">
        <v>45789</v>
      </c>
      <c r="C223" s="135">
        <v>3000</v>
      </c>
      <c r="D223" s="135">
        <f t="shared" si="19"/>
        <v>2068.9655172413795</v>
      </c>
      <c r="E223" s="135">
        <f t="shared" si="20"/>
        <v>931.03448275862047</v>
      </c>
      <c r="F223" s="50"/>
      <c r="G223" s="50">
        <f t="shared" si="21"/>
        <v>37250</v>
      </c>
      <c r="H223" s="123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1:33" x14ac:dyDescent="0.2">
      <c r="A224" s="134">
        <v>14</v>
      </c>
      <c r="B224" s="137"/>
      <c r="C224" s="135"/>
      <c r="D224" s="135">
        <f t="shared" si="19"/>
        <v>0</v>
      </c>
      <c r="E224" s="135">
        <f t="shared" si="20"/>
        <v>0</v>
      </c>
      <c r="F224" s="50"/>
      <c r="G224" s="50">
        <f t="shared" si="21"/>
        <v>37250</v>
      </c>
      <c r="H224" s="123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1:33" x14ac:dyDescent="0.2">
      <c r="A225" s="134">
        <v>15</v>
      </c>
      <c r="B225" s="137"/>
      <c r="C225" s="135"/>
      <c r="D225" s="135">
        <f t="shared" si="19"/>
        <v>0</v>
      </c>
      <c r="E225" s="135">
        <f t="shared" si="20"/>
        <v>0</v>
      </c>
      <c r="F225" s="50"/>
      <c r="G225" s="50">
        <f t="shared" si="21"/>
        <v>37250</v>
      </c>
      <c r="H225" s="123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1:33" x14ac:dyDescent="0.2">
      <c r="A226" s="134">
        <v>16</v>
      </c>
      <c r="B226" s="137"/>
      <c r="C226" s="135"/>
      <c r="D226" s="135">
        <f t="shared" si="19"/>
        <v>0</v>
      </c>
      <c r="E226" s="135">
        <f t="shared" si="20"/>
        <v>0</v>
      </c>
      <c r="F226" s="50"/>
      <c r="G226" s="50">
        <f t="shared" si="21"/>
        <v>37250</v>
      </c>
      <c r="H226" s="123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1:33" x14ac:dyDescent="0.2">
      <c r="A227" s="134">
        <v>17</v>
      </c>
      <c r="B227" s="137"/>
      <c r="C227" s="135"/>
      <c r="D227" s="135">
        <f t="shared" si="19"/>
        <v>0</v>
      </c>
      <c r="E227" s="135">
        <f t="shared" si="20"/>
        <v>0</v>
      </c>
      <c r="F227" s="50"/>
      <c r="G227" s="50">
        <f t="shared" si="21"/>
        <v>37250</v>
      </c>
      <c r="H227" s="123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1:33" x14ac:dyDescent="0.2">
      <c r="A228" s="134">
        <v>18</v>
      </c>
      <c r="B228" s="137"/>
      <c r="C228" s="135"/>
      <c r="D228" s="135">
        <f t="shared" si="19"/>
        <v>0</v>
      </c>
      <c r="E228" s="135">
        <f t="shared" si="20"/>
        <v>0</v>
      </c>
      <c r="F228" s="50"/>
      <c r="G228" s="50">
        <f t="shared" si="21"/>
        <v>37250</v>
      </c>
      <c r="H228" s="123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1:33" x14ac:dyDescent="0.2">
      <c r="A229" s="134">
        <v>19</v>
      </c>
      <c r="B229" s="137"/>
      <c r="C229" s="135"/>
      <c r="D229" s="135">
        <f t="shared" si="19"/>
        <v>0</v>
      </c>
      <c r="E229" s="135">
        <f t="shared" si="20"/>
        <v>0</v>
      </c>
      <c r="F229" s="50"/>
      <c r="G229" s="50">
        <f t="shared" si="21"/>
        <v>37250</v>
      </c>
      <c r="H229" s="123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1:33" x14ac:dyDescent="0.2">
      <c r="A230" s="138"/>
      <c r="B230" s="139"/>
      <c r="C230" s="140"/>
      <c r="D230" s="141">
        <f>SUMIFS(D211:D229, F211:F229, "Y")</f>
        <v>22241.379310344833</v>
      </c>
      <c r="E230" s="142">
        <f>SUMIFS(E211:E229, F211:F229, "Y")</f>
        <v>10008.620689655172</v>
      </c>
      <c r="F230" s="143">
        <f>(SUMIFS(D211:D229, F211:F229, "Y") + SUMIFS(E211:E229, F211:F229, "Y"))</f>
        <v>32250.000000000007</v>
      </c>
      <c r="G230" s="140"/>
      <c r="H230" s="144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1:33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1:33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1:33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1:33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1:33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1:33" x14ac:dyDescent="0.2">
      <c r="A236" s="256">
        <v>9</v>
      </c>
      <c r="B236" s="257"/>
      <c r="C236" s="114"/>
      <c r="D236" s="31"/>
      <c r="E236" s="31"/>
      <c r="F236" s="31"/>
      <c r="G236" s="31"/>
      <c r="H236" s="32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1:33" x14ac:dyDescent="0.2">
      <c r="A237" s="265" t="s">
        <v>7</v>
      </c>
      <c r="B237" s="259"/>
      <c r="C237" s="33">
        <v>30000</v>
      </c>
      <c r="D237" s="34"/>
      <c r="E237" s="35"/>
      <c r="F237" s="35"/>
      <c r="G237" s="35"/>
      <c r="H237" s="36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1:33" x14ac:dyDescent="0.2">
      <c r="A238" s="265" t="s">
        <v>8</v>
      </c>
      <c r="B238" s="259"/>
      <c r="C238" s="37" t="s">
        <v>165</v>
      </c>
      <c r="D238" s="35"/>
      <c r="E238" s="38"/>
      <c r="F238" s="38"/>
      <c r="G238" s="38"/>
      <c r="H238" s="39" t="s">
        <v>10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1:33" x14ac:dyDescent="0.2">
      <c r="A239" s="265" t="s">
        <v>103</v>
      </c>
      <c r="B239" s="259"/>
      <c r="C239" s="43">
        <v>6000</v>
      </c>
      <c r="D239" s="163">
        <v>1.2</v>
      </c>
      <c r="E239" s="266" t="s">
        <v>14</v>
      </c>
      <c r="F239" s="45" t="s">
        <v>15</v>
      </c>
      <c r="G239" s="43">
        <v>30000</v>
      </c>
      <c r="H239" s="46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1:33" x14ac:dyDescent="0.2">
      <c r="A240" s="265" t="s">
        <v>17</v>
      </c>
      <c r="B240" s="259"/>
      <c r="C240" s="43">
        <v>2</v>
      </c>
      <c r="D240" s="44"/>
      <c r="E240" s="261"/>
      <c r="F240" s="45" t="s">
        <v>18</v>
      </c>
      <c r="G240" s="43">
        <v>0</v>
      </c>
      <c r="H240" s="46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1:33" x14ac:dyDescent="0.2">
      <c r="A241" s="265" t="s">
        <v>20</v>
      </c>
      <c r="B241" s="259"/>
      <c r="C241" s="43">
        <f>C239*C240</f>
        <v>12000</v>
      </c>
      <c r="D241" s="35"/>
      <c r="E241" s="54"/>
      <c r="F241" s="35"/>
      <c r="G241" s="44"/>
      <c r="H241" s="36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1:33" x14ac:dyDescent="0.2">
      <c r="A242" s="265" t="s">
        <v>22</v>
      </c>
      <c r="B242" s="259"/>
      <c r="C242" s="33">
        <f>C237+C241</f>
        <v>42000</v>
      </c>
      <c r="D242" s="35"/>
      <c r="E242" s="35"/>
      <c r="F242" s="35"/>
      <c r="G242" s="35"/>
      <c r="H242" s="36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1:33" x14ac:dyDescent="0.2">
      <c r="A243" s="265" t="s">
        <v>104</v>
      </c>
      <c r="B243" s="259"/>
      <c r="C243" s="116">
        <v>5250</v>
      </c>
      <c r="D243" s="115" t="s">
        <v>170</v>
      </c>
      <c r="E243" s="35"/>
      <c r="F243" s="35"/>
      <c r="G243" s="35"/>
      <c r="H243" s="36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1:33" x14ac:dyDescent="0.2">
      <c r="A244" s="265" t="s">
        <v>28</v>
      </c>
      <c r="B244" s="259"/>
      <c r="C244" s="58" t="s">
        <v>29</v>
      </c>
      <c r="D244" s="35"/>
      <c r="E244" s="35"/>
      <c r="F244" s="35"/>
      <c r="G244" s="35"/>
      <c r="H244" s="36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1:33" x14ac:dyDescent="0.2">
      <c r="A245" s="62" t="s">
        <v>31</v>
      </c>
      <c r="B245" s="63" t="s">
        <v>106</v>
      </c>
      <c r="C245" s="45" t="s">
        <v>33</v>
      </c>
      <c r="D245" s="45" t="s">
        <v>34</v>
      </c>
      <c r="E245" s="45" t="s">
        <v>35</v>
      </c>
      <c r="F245" s="45" t="s">
        <v>36</v>
      </c>
      <c r="G245" s="45" t="s">
        <v>37</v>
      </c>
      <c r="H245" s="36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1:33" x14ac:dyDescent="0.2">
      <c r="A246" s="62">
        <v>0</v>
      </c>
      <c r="B246" s="65"/>
      <c r="C246" s="65"/>
      <c r="D246" s="65"/>
      <c r="E246" s="65"/>
      <c r="F246" s="65"/>
      <c r="G246" s="43">
        <f>C242</f>
        <v>42000</v>
      </c>
      <c r="H246" s="36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1:33" x14ac:dyDescent="0.2">
      <c r="A247" s="62">
        <v>1</v>
      </c>
      <c r="B247" s="100">
        <v>45705</v>
      </c>
      <c r="C247" s="43">
        <v>2100</v>
      </c>
      <c r="D247" s="43">
        <f t="shared" ref="D247:D256" si="22">C247/1.4</f>
        <v>1500</v>
      </c>
      <c r="E247" s="43">
        <f t="shared" ref="E247:E256" si="23">C247-D247</f>
        <v>600</v>
      </c>
      <c r="F247" s="43" t="s">
        <v>41</v>
      </c>
      <c r="G247" s="43">
        <f t="shared" ref="G247:G256" si="24">(G246-C247)</f>
        <v>39900</v>
      </c>
      <c r="H247" s="36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1:33" x14ac:dyDescent="0.2">
      <c r="A248" s="62">
        <v>2</v>
      </c>
      <c r="B248" s="100">
        <v>45712</v>
      </c>
      <c r="C248" s="43">
        <v>5250</v>
      </c>
      <c r="D248" s="43">
        <f t="shared" si="22"/>
        <v>3750.0000000000005</v>
      </c>
      <c r="E248" s="43">
        <f t="shared" si="23"/>
        <v>1499.9999999999995</v>
      </c>
      <c r="F248" s="43" t="s">
        <v>41</v>
      </c>
      <c r="G248" s="43">
        <f t="shared" si="24"/>
        <v>34650</v>
      </c>
      <c r="H248" s="36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1:33" x14ac:dyDescent="0.2">
      <c r="A249" s="62">
        <v>3</v>
      </c>
      <c r="B249" s="100">
        <v>45719</v>
      </c>
      <c r="C249" s="43">
        <v>5250</v>
      </c>
      <c r="D249" s="43">
        <f t="shared" si="22"/>
        <v>3750.0000000000005</v>
      </c>
      <c r="E249" s="43">
        <f t="shared" si="23"/>
        <v>1499.9999999999995</v>
      </c>
      <c r="F249" s="43" t="s">
        <v>41</v>
      </c>
      <c r="G249" s="43">
        <f t="shared" si="24"/>
        <v>29400</v>
      </c>
      <c r="H249" s="36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1:33" x14ac:dyDescent="0.2">
      <c r="A250" s="62">
        <v>4</v>
      </c>
      <c r="B250" s="100">
        <v>45726</v>
      </c>
      <c r="C250" s="43">
        <v>5250</v>
      </c>
      <c r="D250" s="43">
        <f t="shared" si="22"/>
        <v>3750.0000000000005</v>
      </c>
      <c r="E250" s="43">
        <f t="shared" si="23"/>
        <v>1499.9999999999995</v>
      </c>
      <c r="F250" s="43" t="s">
        <v>41</v>
      </c>
      <c r="G250" s="43">
        <f t="shared" si="24"/>
        <v>24150</v>
      </c>
      <c r="H250" s="36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1:33" x14ac:dyDescent="0.2">
      <c r="A251" s="62">
        <v>5</v>
      </c>
      <c r="B251" s="100">
        <v>45733</v>
      </c>
      <c r="C251" s="43">
        <v>5250</v>
      </c>
      <c r="D251" s="43">
        <f t="shared" si="22"/>
        <v>3750.0000000000005</v>
      </c>
      <c r="E251" s="43">
        <f t="shared" si="23"/>
        <v>1499.9999999999995</v>
      </c>
      <c r="F251" s="43" t="s">
        <v>41</v>
      </c>
      <c r="G251" s="43">
        <f t="shared" si="24"/>
        <v>18900</v>
      </c>
      <c r="H251" s="36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1:33" x14ac:dyDescent="0.2">
      <c r="A252" s="62">
        <v>6</v>
      </c>
      <c r="B252" s="103">
        <v>45740</v>
      </c>
      <c r="C252" s="43">
        <v>5250</v>
      </c>
      <c r="D252" s="43">
        <f t="shared" si="22"/>
        <v>3750.0000000000005</v>
      </c>
      <c r="E252" s="43">
        <f t="shared" si="23"/>
        <v>1499.9999999999995</v>
      </c>
      <c r="F252" s="43" t="s">
        <v>41</v>
      </c>
      <c r="G252" s="43">
        <f t="shared" si="24"/>
        <v>13650</v>
      </c>
      <c r="H252" s="36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1:33" x14ac:dyDescent="0.2">
      <c r="A253" s="62">
        <v>7</v>
      </c>
      <c r="B253" s="103">
        <v>45747</v>
      </c>
      <c r="C253" s="65">
        <v>5250</v>
      </c>
      <c r="D253" s="43">
        <f t="shared" si="22"/>
        <v>3750.0000000000005</v>
      </c>
      <c r="E253" s="43">
        <f t="shared" si="23"/>
        <v>1499.9999999999995</v>
      </c>
      <c r="F253" s="43" t="s">
        <v>41</v>
      </c>
      <c r="G253" s="43">
        <f t="shared" si="24"/>
        <v>8400</v>
      </c>
      <c r="H253" s="36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1:33" x14ac:dyDescent="0.2">
      <c r="A254" s="62">
        <v>8</v>
      </c>
      <c r="B254" s="103">
        <v>45754</v>
      </c>
      <c r="C254" s="65">
        <v>5250</v>
      </c>
      <c r="D254" s="43">
        <f t="shared" si="22"/>
        <v>3750.0000000000005</v>
      </c>
      <c r="E254" s="43">
        <f t="shared" si="23"/>
        <v>1499.9999999999995</v>
      </c>
      <c r="F254" s="43" t="s">
        <v>41</v>
      </c>
      <c r="G254" s="43">
        <f t="shared" si="24"/>
        <v>3150</v>
      </c>
      <c r="H254" s="36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1:33" x14ac:dyDescent="0.2">
      <c r="A255" s="62">
        <v>9</v>
      </c>
      <c r="B255" s="103">
        <v>45761</v>
      </c>
      <c r="C255" s="65">
        <v>3150</v>
      </c>
      <c r="D255" s="43">
        <f t="shared" si="22"/>
        <v>2250</v>
      </c>
      <c r="E255" s="43">
        <f t="shared" si="23"/>
        <v>900</v>
      </c>
      <c r="F255" s="43" t="s">
        <v>41</v>
      </c>
      <c r="G255" s="43">
        <f t="shared" si="24"/>
        <v>0</v>
      </c>
      <c r="H255" s="36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1:33" x14ac:dyDescent="0.2">
      <c r="A256" s="62">
        <v>10</v>
      </c>
      <c r="B256" s="103">
        <v>45768</v>
      </c>
      <c r="C256" s="65"/>
      <c r="D256" s="43">
        <f t="shared" si="22"/>
        <v>0</v>
      </c>
      <c r="E256" s="43">
        <f t="shared" si="23"/>
        <v>0</v>
      </c>
      <c r="F256" s="65"/>
      <c r="G256" s="43">
        <f t="shared" si="24"/>
        <v>0</v>
      </c>
      <c r="H256" s="36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1:33" x14ac:dyDescent="0.2">
      <c r="A257" s="89"/>
      <c r="B257" s="90"/>
      <c r="C257" s="91"/>
      <c r="D257" s="111">
        <f>SUMIFS(D247:D256, F247:F256, "Y")</f>
        <v>30000</v>
      </c>
      <c r="E257" s="111">
        <f>SUMIFS(E247:E256, F247:F256, "Y")</f>
        <v>11999.999999999998</v>
      </c>
      <c r="F257" s="92">
        <f>(SUMIFS(D247:D256, F247:F256, "Y") + SUMIFS(E247:E256, F247:F256, "Y"))</f>
        <v>42000</v>
      </c>
      <c r="G257" s="91"/>
      <c r="H257" s="93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1:33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1:33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1:33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1:33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1:33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1:33" x14ac:dyDescent="0.2">
      <c r="A263" s="256">
        <v>10</v>
      </c>
      <c r="B263" s="257"/>
      <c r="C263" s="222" t="s">
        <v>185</v>
      </c>
      <c r="D263" s="223"/>
      <c r="E263" s="173"/>
      <c r="F263" s="173"/>
      <c r="G263" s="173"/>
      <c r="H263" s="174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1:33" x14ac:dyDescent="0.2">
      <c r="A264" s="263" t="s">
        <v>7</v>
      </c>
      <c r="B264" s="259"/>
      <c r="C264" s="175">
        <v>30000</v>
      </c>
      <c r="D264" s="185"/>
      <c r="E264" s="176"/>
      <c r="F264" s="176"/>
      <c r="G264" s="176"/>
      <c r="H264" s="177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1:33" x14ac:dyDescent="0.2">
      <c r="A265" s="263" t="s">
        <v>8</v>
      </c>
      <c r="B265" s="259"/>
      <c r="C265" s="178" t="s">
        <v>298</v>
      </c>
      <c r="D265" s="185"/>
      <c r="E265" s="179"/>
      <c r="F265" s="179"/>
      <c r="G265" s="179"/>
      <c r="H265" s="180" t="s">
        <v>10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1:33" x14ac:dyDescent="0.2">
      <c r="A266" s="263" t="s">
        <v>103</v>
      </c>
      <c r="B266" s="259"/>
      <c r="C266" s="64">
        <v>6000</v>
      </c>
      <c r="D266" s="181"/>
      <c r="E266" s="264" t="s">
        <v>14</v>
      </c>
      <c r="F266" s="182" t="s">
        <v>15</v>
      </c>
      <c r="G266" s="64">
        <v>30000</v>
      </c>
      <c r="H266" s="224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1:33" x14ac:dyDescent="0.2">
      <c r="A267" s="263" t="s">
        <v>17</v>
      </c>
      <c r="B267" s="259"/>
      <c r="C267" s="64">
        <v>2</v>
      </c>
      <c r="D267" s="181"/>
      <c r="E267" s="261"/>
      <c r="F267" s="182" t="s">
        <v>18</v>
      </c>
      <c r="G267" s="64">
        <v>0</v>
      </c>
      <c r="H267" s="224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1:33" x14ac:dyDescent="0.2">
      <c r="A268" s="263" t="s">
        <v>20</v>
      </c>
      <c r="B268" s="259"/>
      <c r="C268" s="64">
        <f>C266*C267</f>
        <v>12000</v>
      </c>
      <c r="D268" s="185"/>
      <c r="E268" s="225"/>
      <c r="F268" s="176"/>
      <c r="G268" s="226"/>
      <c r="H268" s="177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1:33" x14ac:dyDescent="0.2">
      <c r="A269" s="263" t="s">
        <v>22</v>
      </c>
      <c r="B269" s="259"/>
      <c r="C269" s="175">
        <f>C264+C268</f>
        <v>42000</v>
      </c>
      <c r="D269" s="185"/>
      <c r="E269" s="176"/>
      <c r="F269" s="176"/>
      <c r="G269" s="176"/>
      <c r="H269" s="177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1:33" x14ac:dyDescent="0.2">
      <c r="A270" s="263" t="s">
        <v>299</v>
      </c>
      <c r="B270" s="259"/>
      <c r="C270" s="188">
        <v>1200</v>
      </c>
      <c r="D270" s="170" t="s">
        <v>300</v>
      </c>
      <c r="E270" s="176"/>
      <c r="F270" s="176"/>
      <c r="G270" s="176"/>
      <c r="H270" s="177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1:33" x14ac:dyDescent="0.2">
      <c r="A271" s="263" t="s">
        <v>28</v>
      </c>
      <c r="B271" s="259"/>
      <c r="C271" s="189" t="s">
        <v>154</v>
      </c>
      <c r="D271" s="176"/>
      <c r="E271" s="176"/>
      <c r="F271" s="176"/>
      <c r="G271" s="176"/>
      <c r="H271" s="177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1:33" x14ac:dyDescent="0.2">
      <c r="A272" s="190" t="s">
        <v>31</v>
      </c>
      <c r="B272" s="183" t="s">
        <v>106</v>
      </c>
      <c r="C272" s="182" t="s">
        <v>33</v>
      </c>
      <c r="D272" s="182" t="s">
        <v>34</v>
      </c>
      <c r="E272" s="182" t="s">
        <v>35</v>
      </c>
      <c r="F272" s="182" t="s">
        <v>36</v>
      </c>
      <c r="G272" s="182" t="s">
        <v>37</v>
      </c>
      <c r="H272" s="177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1:33" x14ac:dyDescent="0.2">
      <c r="A273" s="190">
        <v>0</v>
      </c>
      <c r="B273" s="191"/>
      <c r="C273" s="191"/>
      <c r="D273" s="191"/>
      <c r="E273" s="191"/>
      <c r="F273" s="191"/>
      <c r="G273" s="64">
        <f>C269</f>
        <v>42000</v>
      </c>
      <c r="H273" s="177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1:33" x14ac:dyDescent="0.2">
      <c r="A274" s="190">
        <v>1</v>
      </c>
      <c r="B274" s="227">
        <v>45740</v>
      </c>
      <c r="C274" s="64">
        <v>4800</v>
      </c>
      <c r="D274" s="64">
        <f t="shared" ref="D274:D283" si="25">C274/1.4</f>
        <v>3428.5714285714289</v>
      </c>
      <c r="E274" s="64">
        <f t="shared" ref="E274:E283" si="26">C274-D274</f>
        <v>1371.4285714285711</v>
      </c>
      <c r="F274" s="64" t="s">
        <v>41</v>
      </c>
      <c r="G274" s="64">
        <f t="shared" ref="G274:G281" si="27">(G273-C274)</f>
        <v>37200</v>
      </c>
      <c r="H274" s="177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1:33" x14ac:dyDescent="0.2">
      <c r="A275" s="190">
        <v>2</v>
      </c>
      <c r="B275" s="227">
        <v>45747</v>
      </c>
      <c r="C275" s="64">
        <v>6000</v>
      </c>
      <c r="D275" s="64">
        <f t="shared" si="25"/>
        <v>4285.7142857142862</v>
      </c>
      <c r="E275" s="64">
        <f t="shared" si="26"/>
        <v>1714.2857142857138</v>
      </c>
      <c r="F275" s="64" t="s">
        <v>41</v>
      </c>
      <c r="G275" s="64">
        <f t="shared" si="27"/>
        <v>31200</v>
      </c>
      <c r="H275" s="177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1:33" x14ac:dyDescent="0.2">
      <c r="A276" s="190">
        <v>3</v>
      </c>
      <c r="B276" s="228">
        <v>45754</v>
      </c>
      <c r="C276" s="64">
        <v>3600</v>
      </c>
      <c r="D276" s="64">
        <f t="shared" si="25"/>
        <v>2571.4285714285716</v>
      </c>
      <c r="E276" s="64">
        <f t="shared" si="26"/>
        <v>1028.5714285714284</v>
      </c>
      <c r="F276" s="64" t="s">
        <v>41</v>
      </c>
      <c r="G276" s="64">
        <f t="shared" si="27"/>
        <v>27600</v>
      </c>
      <c r="H276" s="177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1:33" x14ac:dyDescent="0.2">
      <c r="A277" s="190">
        <v>4</v>
      </c>
      <c r="B277" s="228">
        <v>45761</v>
      </c>
      <c r="C277" s="64">
        <v>2400</v>
      </c>
      <c r="D277" s="64">
        <f t="shared" si="25"/>
        <v>1714.2857142857144</v>
      </c>
      <c r="E277" s="64">
        <f t="shared" si="26"/>
        <v>685.71428571428555</v>
      </c>
      <c r="F277" s="64" t="s">
        <v>41</v>
      </c>
      <c r="G277" s="64">
        <f t="shared" si="27"/>
        <v>25200</v>
      </c>
      <c r="H277" s="177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1:33" x14ac:dyDescent="0.2">
      <c r="A278" s="190">
        <v>5</v>
      </c>
      <c r="B278" s="228">
        <v>45768</v>
      </c>
      <c r="C278" s="64">
        <v>1200</v>
      </c>
      <c r="D278" s="64">
        <f t="shared" si="25"/>
        <v>857.14285714285722</v>
      </c>
      <c r="E278" s="64">
        <f t="shared" si="26"/>
        <v>342.85714285714278</v>
      </c>
      <c r="F278" s="64" t="s">
        <v>41</v>
      </c>
      <c r="G278" s="64">
        <f t="shared" si="27"/>
        <v>24000</v>
      </c>
      <c r="H278" s="177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1:33" x14ac:dyDescent="0.2">
      <c r="A279" s="190">
        <v>6</v>
      </c>
      <c r="B279" s="228">
        <v>45775</v>
      </c>
      <c r="C279" s="64">
        <v>0</v>
      </c>
      <c r="D279" s="64">
        <f t="shared" si="25"/>
        <v>0</v>
      </c>
      <c r="E279" s="64">
        <f t="shared" si="26"/>
        <v>0</v>
      </c>
      <c r="F279" s="64" t="s">
        <v>168</v>
      </c>
      <c r="G279" s="64">
        <f t="shared" si="27"/>
        <v>24000</v>
      </c>
      <c r="H279" s="177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1:33" x14ac:dyDescent="0.2">
      <c r="A280" s="190">
        <v>7</v>
      </c>
      <c r="B280" s="228">
        <v>45782</v>
      </c>
      <c r="C280" s="64">
        <v>1200</v>
      </c>
      <c r="D280" s="64">
        <f t="shared" si="25"/>
        <v>857.14285714285722</v>
      </c>
      <c r="E280" s="64">
        <f t="shared" si="26"/>
        <v>342.85714285714278</v>
      </c>
      <c r="F280" s="64" t="s">
        <v>41</v>
      </c>
      <c r="G280" s="64">
        <f t="shared" si="27"/>
        <v>22800</v>
      </c>
      <c r="H280" s="177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1:33" x14ac:dyDescent="0.2">
      <c r="A281" s="190">
        <v>8</v>
      </c>
      <c r="B281" s="228">
        <v>45789</v>
      </c>
      <c r="C281" s="64">
        <v>2400</v>
      </c>
      <c r="D281" s="64">
        <f t="shared" si="25"/>
        <v>1714.2857142857144</v>
      </c>
      <c r="E281" s="64">
        <f t="shared" si="26"/>
        <v>685.71428571428555</v>
      </c>
      <c r="F281" s="64" t="s">
        <v>107</v>
      </c>
      <c r="G281" s="64">
        <f t="shared" si="27"/>
        <v>20400</v>
      </c>
      <c r="H281" s="177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1:33" x14ac:dyDescent="0.2">
      <c r="A282" s="229"/>
      <c r="B282" s="228"/>
      <c r="C282" s="191"/>
      <c r="D282" s="64">
        <f t="shared" si="25"/>
        <v>0</v>
      </c>
      <c r="E282" s="64">
        <f t="shared" si="26"/>
        <v>0</v>
      </c>
      <c r="F282" s="191"/>
      <c r="G282" s="191"/>
      <c r="H282" s="177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1:33" x14ac:dyDescent="0.2">
      <c r="A283" s="229"/>
      <c r="B283" s="228"/>
      <c r="C283" s="191"/>
      <c r="D283" s="64">
        <f t="shared" si="25"/>
        <v>0</v>
      </c>
      <c r="E283" s="64">
        <f t="shared" si="26"/>
        <v>0</v>
      </c>
      <c r="F283" s="191"/>
      <c r="G283" s="191"/>
      <c r="H283" s="177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1:33" x14ac:dyDescent="0.2">
      <c r="A284" s="192"/>
      <c r="B284" s="193"/>
      <c r="C284" s="194"/>
      <c r="D284" s="142">
        <f>SUMIFS(D274:D283, F274:F283, "Y")</f>
        <v>13714.285714285714</v>
      </c>
      <c r="E284" s="142">
        <f>SUMIFS(E274:E283, F274:F283, "Y")</f>
        <v>5485.7142857142853</v>
      </c>
      <c r="F284" s="143">
        <f>(SUMIFS(D274:D283, F274:F283, "Y") + SUMIFS(E274:E283, F274:F283, "Y"))</f>
        <v>19200</v>
      </c>
      <c r="G284" s="194"/>
      <c r="H284" s="195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1:33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1:33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1:33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1:33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1:33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1:33" x14ac:dyDescent="0.2">
      <c r="A290" s="256">
        <v>11</v>
      </c>
      <c r="B290" s="257"/>
      <c r="C290" s="119"/>
      <c r="D290" s="119"/>
      <c r="E290" s="119"/>
      <c r="F290" s="119"/>
      <c r="G290" s="119"/>
      <c r="H290" s="12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1:33" x14ac:dyDescent="0.2">
      <c r="A291" s="258" t="s">
        <v>7</v>
      </c>
      <c r="B291" s="259"/>
      <c r="C291" s="148">
        <v>50000</v>
      </c>
      <c r="D291" s="30" t="s">
        <v>147</v>
      </c>
      <c r="E291" s="30"/>
      <c r="F291" s="30"/>
      <c r="G291" s="30"/>
      <c r="H291" s="123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1:33" x14ac:dyDescent="0.2">
      <c r="A292" s="258" t="s">
        <v>8</v>
      </c>
      <c r="B292" s="259"/>
      <c r="C292" s="82">
        <v>45710</v>
      </c>
      <c r="D292" s="30"/>
      <c r="E292" s="49"/>
      <c r="F292" s="49"/>
      <c r="G292" s="49"/>
      <c r="H292" s="125" t="s">
        <v>10</v>
      </c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1:33" x14ac:dyDescent="0.2">
      <c r="A293" s="258" t="s">
        <v>103</v>
      </c>
      <c r="B293" s="259"/>
      <c r="C293" s="135">
        <v>10000</v>
      </c>
      <c r="D293" s="66"/>
      <c r="E293" s="260" t="s">
        <v>14</v>
      </c>
      <c r="F293" s="126" t="s">
        <v>15</v>
      </c>
      <c r="G293" s="135">
        <v>1800</v>
      </c>
      <c r="H293" s="127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1:33" x14ac:dyDescent="0.2">
      <c r="A294" s="258" t="s">
        <v>17</v>
      </c>
      <c r="B294" s="259"/>
      <c r="C294" s="50">
        <v>1</v>
      </c>
      <c r="D294" s="66"/>
      <c r="E294" s="261"/>
      <c r="F294" s="126" t="s">
        <v>18</v>
      </c>
      <c r="G294" s="50">
        <v>48200</v>
      </c>
      <c r="H294" s="127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1:33" x14ac:dyDescent="0.2">
      <c r="A295" s="258" t="s">
        <v>20</v>
      </c>
      <c r="B295" s="259"/>
      <c r="C295" s="50">
        <f>C293*C294</f>
        <v>10000</v>
      </c>
      <c r="D295" s="30"/>
      <c r="E295" s="128"/>
      <c r="F295" s="30"/>
      <c r="G295" s="66"/>
      <c r="H295" s="123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1:33" x14ac:dyDescent="0.2">
      <c r="A296" s="258" t="s">
        <v>22</v>
      </c>
      <c r="B296" s="259"/>
      <c r="C296" s="121">
        <f>C291+C295</f>
        <v>60000</v>
      </c>
      <c r="D296" s="30"/>
      <c r="E296" s="30"/>
      <c r="F296" s="30"/>
      <c r="G296" s="30"/>
      <c r="H296" s="123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1:33" x14ac:dyDescent="0.2">
      <c r="A297" s="258" t="s">
        <v>301</v>
      </c>
      <c r="B297" s="259"/>
      <c r="C297" s="121">
        <v>30000</v>
      </c>
      <c r="D297" s="30"/>
      <c r="E297" s="30"/>
      <c r="F297" s="30"/>
      <c r="G297" s="30"/>
      <c r="H297" s="123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1:33" x14ac:dyDescent="0.2">
      <c r="A298" s="258" t="s">
        <v>28</v>
      </c>
      <c r="B298" s="259"/>
      <c r="C298" s="130" t="s">
        <v>188</v>
      </c>
      <c r="D298" s="30"/>
      <c r="E298" s="30"/>
      <c r="F298" s="30"/>
      <c r="G298" s="30"/>
      <c r="H298" s="123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1:33" x14ac:dyDescent="0.2">
      <c r="A299" s="131" t="s">
        <v>31</v>
      </c>
      <c r="B299" s="132" t="s">
        <v>106</v>
      </c>
      <c r="C299" s="133" t="s">
        <v>33</v>
      </c>
      <c r="D299" s="133" t="s">
        <v>34</v>
      </c>
      <c r="E299" s="133" t="s">
        <v>35</v>
      </c>
      <c r="F299" s="133" t="s">
        <v>36</v>
      </c>
      <c r="G299" s="133" t="s">
        <v>37</v>
      </c>
      <c r="H299" s="123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1:33" x14ac:dyDescent="0.2">
      <c r="A300" s="134">
        <v>0</v>
      </c>
      <c r="B300" s="135"/>
      <c r="C300" s="135"/>
      <c r="D300" s="135"/>
      <c r="E300" s="135"/>
      <c r="F300" s="135"/>
      <c r="G300" s="50">
        <f>C296</f>
        <v>60000</v>
      </c>
      <c r="H300" s="123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1:33" x14ac:dyDescent="0.2">
      <c r="A301" s="134">
        <v>1</v>
      </c>
      <c r="B301" s="126" t="s">
        <v>302</v>
      </c>
      <c r="C301" s="135">
        <v>30000</v>
      </c>
      <c r="D301" s="135">
        <f t="shared" ref="D301:D310" si="28">C301/1.45</f>
        <v>20689.655172413793</v>
      </c>
      <c r="E301" s="135">
        <f t="shared" ref="E301:E310" si="29">C301-D301</f>
        <v>9310.3448275862065</v>
      </c>
      <c r="F301" s="50" t="s">
        <v>41</v>
      </c>
      <c r="G301" s="50">
        <f t="shared" ref="G301:G310" si="30">(G300-C301)</f>
        <v>30000</v>
      </c>
      <c r="H301" s="123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1:33" x14ac:dyDescent="0.2">
      <c r="A302" s="230">
        <v>2</v>
      </c>
      <c r="B302" s="231">
        <v>45740</v>
      </c>
      <c r="C302" s="232">
        <v>0</v>
      </c>
      <c r="D302" s="232">
        <f t="shared" si="28"/>
        <v>0</v>
      </c>
      <c r="E302" s="232">
        <f t="shared" si="29"/>
        <v>0</v>
      </c>
      <c r="F302" s="233" t="s">
        <v>168</v>
      </c>
      <c r="G302" s="233">
        <f t="shared" si="30"/>
        <v>30000</v>
      </c>
      <c r="H302" s="123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1:33" x14ac:dyDescent="0.2">
      <c r="A303" s="134">
        <v>3</v>
      </c>
      <c r="B303" s="136">
        <v>45747</v>
      </c>
      <c r="C303" s="135">
        <v>18000</v>
      </c>
      <c r="D303" s="135">
        <f t="shared" si="28"/>
        <v>12413.793103448275</v>
      </c>
      <c r="E303" s="135">
        <f t="shared" si="29"/>
        <v>5586.2068965517246</v>
      </c>
      <c r="F303" s="50" t="s">
        <v>41</v>
      </c>
      <c r="G303" s="50">
        <f t="shared" si="30"/>
        <v>12000</v>
      </c>
      <c r="H303" s="123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1:33" x14ac:dyDescent="0.2">
      <c r="A304" s="230">
        <v>4</v>
      </c>
      <c r="B304" s="231">
        <v>45754</v>
      </c>
      <c r="C304" s="232"/>
      <c r="D304" s="232">
        <f t="shared" si="28"/>
        <v>0</v>
      </c>
      <c r="E304" s="232">
        <f t="shared" si="29"/>
        <v>0</v>
      </c>
      <c r="F304" s="233" t="s">
        <v>168</v>
      </c>
      <c r="G304" s="233">
        <f t="shared" si="30"/>
        <v>12000</v>
      </c>
      <c r="H304" s="123" t="s">
        <v>303</v>
      </c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1:33" x14ac:dyDescent="0.2">
      <c r="A305" s="230">
        <v>5</v>
      </c>
      <c r="B305" s="234">
        <v>45761</v>
      </c>
      <c r="C305" s="232">
        <v>0</v>
      </c>
      <c r="D305" s="232">
        <f t="shared" si="28"/>
        <v>0</v>
      </c>
      <c r="E305" s="232">
        <f t="shared" si="29"/>
        <v>0</v>
      </c>
      <c r="F305" s="233" t="s">
        <v>168</v>
      </c>
      <c r="G305" s="233">
        <f t="shared" si="30"/>
        <v>12000</v>
      </c>
      <c r="H305" s="123" t="s">
        <v>304</v>
      </c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1:33" x14ac:dyDescent="0.2">
      <c r="A306" s="230">
        <v>6</v>
      </c>
      <c r="B306" s="234">
        <v>45768</v>
      </c>
      <c r="C306" s="232">
        <v>0</v>
      </c>
      <c r="D306" s="232">
        <f t="shared" si="28"/>
        <v>0</v>
      </c>
      <c r="E306" s="232">
        <f t="shared" si="29"/>
        <v>0</v>
      </c>
      <c r="F306" s="233" t="s">
        <v>168</v>
      </c>
      <c r="G306" s="233">
        <f t="shared" si="30"/>
        <v>12000</v>
      </c>
      <c r="H306" s="123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1:33" x14ac:dyDescent="0.2">
      <c r="A307" s="134">
        <v>7</v>
      </c>
      <c r="B307" s="137">
        <v>45775</v>
      </c>
      <c r="C307" s="135">
        <v>1000</v>
      </c>
      <c r="D307" s="135">
        <f t="shared" si="28"/>
        <v>689.65517241379314</v>
      </c>
      <c r="E307" s="135">
        <f t="shared" si="29"/>
        <v>310.34482758620686</v>
      </c>
      <c r="F307" s="50" t="s">
        <v>41</v>
      </c>
      <c r="G307" s="50">
        <f t="shared" si="30"/>
        <v>11000</v>
      </c>
      <c r="H307" s="123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1:33" x14ac:dyDescent="0.2">
      <c r="A308" s="134">
        <v>8</v>
      </c>
      <c r="B308" s="137">
        <v>45782</v>
      </c>
      <c r="C308" s="135">
        <v>1000</v>
      </c>
      <c r="D308" s="135">
        <f t="shared" si="28"/>
        <v>689.65517241379314</v>
      </c>
      <c r="E308" s="135">
        <f t="shared" si="29"/>
        <v>310.34482758620686</v>
      </c>
      <c r="F308" s="50" t="s">
        <v>41</v>
      </c>
      <c r="G308" s="50">
        <f t="shared" si="30"/>
        <v>10000</v>
      </c>
      <c r="H308" s="123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1:33" x14ac:dyDescent="0.2">
      <c r="A309" s="235"/>
      <c r="B309" s="137">
        <v>45789</v>
      </c>
      <c r="C309" s="135">
        <v>1500</v>
      </c>
      <c r="D309" s="135">
        <f t="shared" si="28"/>
        <v>1034.4827586206898</v>
      </c>
      <c r="E309" s="135">
        <f t="shared" si="29"/>
        <v>465.51724137931024</v>
      </c>
      <c r="F309" s="50" t="s">
        <v>107</v>
      </c>
      <c r="G309" s="50">
        <f t="shared" si="30"/>
        <v>8500</v>
      </c>
      <c r="H309" s="123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1:33" x14ac:dyDescent="0.2">
      <c r="A310" s="235"/>
      <c r="B310" s="94"/>
      <c r="C310" s="135"/>
      <c r="D310" s="135">
        <f t="shared" si="28"/>
        <v>0</v>
      </c>
      <c r="E310" s="135">
        <f t="shared" si="29"/>
        <v>0</v>
      </c>
      <c r="F310" s="50" t="s">
        <v>107</v>
      </c>
      <c r="G310" s="50">
        <f t="shared" si="30"/>
        <v>8500</v>
      </c>
      <c r="H310" s="123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1:33" x14ac:dyDescent="0.2">
      <c r="A311" s="138"/>
      <c r="B311" s="139"/>
      <c r="C311" s="140"/>
      <c r="D311" s="141">
        <f>SUMIFS(D301:D310, F301:F310, "Y")</f>
        <v>34482.758620689652</v>
      </c>
      <c r="E311" s="142">
        <f>SUMIFS(E301:E310, F301:F310, "Y")</f>
        <v>15517.241379310344</v>
      </c>
      <c r="F311" s="143">
        <f>(SUMIFS(D301:D310, F301:F310, "Y") + SUMIFS(E301:E310, F301:F310, "Y"))</f>
        <v>50000</v>
      </c>
      <c r="G311" s="140"/>
      <c r="H311" s="144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1:33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1:33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1:33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1:33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1:33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1:33" x14ac:dyDescent="0.2">
      <c r="A317" s="256">
        <v>12</v>
      </c>
      <c r="B317" s="257"/>
      <c r="C317" s="119"/>
      <c r="D317" s="119"/>
      <c r="E317" s="119"/>
      <c r="F317" s="119"/>
      <c r="G317" s="119"/>
      <c r="H317" s="12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1:33" x14ac:dyDescent="0.2">
      <c r="A318" s="258" t="s">
        <v>7</v>
      </c>
      <c r="B318" s="259"/>
      <c r="C318" s="148">
        <v>30000</v>
      </c>
      <c r="D318" s="30" t="s">
        <v>305</v>
      </c>
      <c r="E318" s="30"/>
      <c r="F318" s="30"/>
      <c r="G318" s="30"/>
      <c r="H318" s="123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1:33" x14ac:dyDescent="0.2">
      <c r="A319" s="258" t="s">
        <v>8</v>
      </c>
      <c r="B319" s="259"/>
      <c r="C319" s="82">
        <v>45719</v>
      </c>
      <c r="D319" s="30"/>
      <c r="E319" s="49"/>
      <c r="F319" s="49"/>
      <c r="G319" s="49"/>
      <c r="H319" s="125" t="s">
        <v>10</v>
      </c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1:33" x14ac:dyDescent="0.2">
      <c r="A320" s="258" t="s">
        <v>103</v>
      </c>
      <c r="B320" s="259"/>
      <c r="C320" s="135">
        <v>6000</v>
      </c>
      <c r="D320" s="66"/>
      <c r="E320" s="260" t="s">
        <v>14</v>
      </c>
      <c r="F320" s="126" t="s">
        <v>15</v>
      </c>
      <c r="G320" s="50">
        <v>0</v>
      </c>
      <c r="H320" s="127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1:33" x14ac:dyDescent="0.2">
      <c r="A321" s="258" t="s">
        <v>17</v>
      </c>
      <c r="B321" s="259"/>
      <c r="C321" s="50">
        <v>2</v>
      </c>
      <c r="D321" s="66"/>
      <c r="E321" s="261"/>
      <c r="F321" s="126" t="s">
        <v>18</v>
      </c>
      <c r="G321" s="135">
        <v>30000</v>
      </c>
      <c r="H321" s="236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1:33" x14ac:dyDescent="0.2">
      <c r="A322" s="258" t="s">
        <v>20</v>
      </c>
      <c r="B322" s="259"/>
      <c r="C322" s="50">
        <f>C320*C321</f>
        <v>12000</v>
      </c>
      <c r="D322" s="30"/>
      <c r="E322" s="128"/>
      <c r="F322" s="30"/>
      <c r="G322" s="66"/>
      <c r="H322" s="123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1:33" x14ac:dyDescent="0.2">
      <c r="A323" s="258" t="s">
        <v>22</v>
      </c>
      <c r="B323" s="259"/>
      <c r="C323" s="121">
        <f>C318+C322</f>
        <v>42000</v>
      </c>
      <c r="D323" s="30"/>
      <c r="E323" s="30"/>
      <c r="F323" s="30"/>
      <c r="G323" s="30"/>
      <c r="H323" s="123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1:33" x14ac:dyDescent="0.2">
      <c r="A324" s="258" t="s">
        <v>24</v>
      </c>
      <c r="B324" s="259"/>
      <c r="C324" s="146">
        <v>720</v>
      </c>
      <c r="D324" s="152">
        <v>1200</v>
      </c>
      <c r="E324" s="30"/>
      <c r="F324" s="30" t="s">
        <v>183</v>
      </c>
      <c r="G324" s="30"/>
      <c r="H324" s="123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1:33" x14ac:dyDescent="0.2">
      <c r="A325" s="258" t="s">
        <v>28</v>
      </c>
      <c r="B325" s="259"/>
      <c r="C325" s="130" t="s">
        <v>154</v>
      </c>
      <c r="D325" s="30"/>
      <c r="E325" s="30"/>
      <c r="F325" s="30"/>
      <c r="G325" s="30"/>
      <c r="H325" s="123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1:33" x14ac:dyDescent="0.2">
      <c r="A326" s="131" t="s">
        <v>31</v>
      </c>
      <c r="B326" s="132" t="s">
        <v>106</v>
      </c>
      <c r="C326" s="133" t="s">
        <v>33</v>
      </c>
      <c r="D326" s="133" t="s">
        <v>34</v>
      </c>
      <c r="E326" s="133" t="s">
        <v>35</v>
      </c>
      <c r="F326" s="133" t="s">
        <v>36</v>
      </c>
      <c r="G326" s="133" t="s">
        <v>37</v>
      </c>
      <c r="H326" s="123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1:33" x14ac:dyDescent="0.2">
      <c r="A327" s="134">
        <v>0</v>
      </c>
      <c r="B327" s="135"/>
      <c r="C327" s="135"/>
      <c r="D327" s="135"/>
      <c r="E327" s="135"/>
      <c r="F327" s="135"/>
      <c r="G327" s="50">
        <f>C323</f>
        <v>42000</v>
      </c>
      <c r="H327" s="123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1:33" x14ac:dyDescent="0.2">
      <c r="A328" s="134">
        <v>1</v>
      </c>
      <c r="B328" s="126" t="s">
        <v>306</v>
      </c>
      <c r="C328" s="135">
        <v>3600</v>
      </c>
      <c r="D328" s="135">
        <f t="shared" ref="D328:D337" si="31">C328/1.4</f>
        <v>2571.4285714285716</v>
      </c>
      <c r="E328" s="135">
        <f t="shared" ref="E328:E337" si="32">C328-D328</f>
        <v>1028.5714285714284</v>
      </c>
      <c r="F328" s="50" t="s">
        <v>41</v>
      </c>
      <c r="G328" s="50">
        <f t="shared" ref="G328:G337" si="33">(G327-C328)</f>
        <v>38400</v>
      </c>
      <c r="H328" s="123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1:33" x14ac:dyDescent="0.2">
      <c r="A329" s="134">
        <v>2</v>
      </c>
      <c r="B329" s="126" t="s">
        <v>307</v>
      </c>
      <c r="C329" s="135">
        <v>4320</v>
      </c>
      <c r="D329" s="135">
        <f t="shared" si="31"/>
        <v>3085.7142857142858</v>
      </c>
      <c r="E329" s="135">
        <f t="shared" si="32"/>
        <v>1234.2857142857142</v>
      </c>
      <c r="F329" s="50" t="s">
        <v>41</v>
      </c>
      <c r="G329" s="50">
        <f t="shared" si="33"/>
        <v>34080</v>
      </c>
      <c r="H329" s="123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1:33" x14ac:dyDescent="0.2">
      <c r="A330" s="134">
        <v>3</v>
      </c>
      <c r="B330" s="126" t="s">
        <v>308</v>
      </c>
      <c r="C330" s="135">
        <v>2160</v>
      </c>
      <c r="D330" s="135">
        <f t="shared" si="31"/>
        <v>1542.8571428571429</v>
      </c>
      <c r="E330" s="135">
        <f t="shared" si="32"/>
        <v>617.14285714285711</v>
      </c>
      <c r="F330" s="50" t="s">
        <v>41</v>
      </c>
      <c r="G330" s="50">
        <f t="shared" si="33"/>
        <v>31920</v>
      </c>
      <c r="H330" s="123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1:33" x14ac:dyDescent="0.2">
      <c r="A331" s="134">
        <v>4</v>
      </c>
      <c r="B331" s="126" t="s">
        <v>309</v>
      </c>
      <c r="C331" s="135">
        <v>2880</v>
      </c>
      <c r="D331" s="135">
        <f t="shared" si="31"/>
        <v>2057.1428571428573</v>
      </c>
      <c r="E331" s="135">
        <f t="shared" si="32"/>
        <v>822.85714285714266</v>
      </c>
      <c r="F331" s="50" t="s">
        <v>41</v>
      </c>
      <c r="G331" s="50">
        <f t="shared" si="33"/>
        <v>29040</v>
      </c>
      <c r="H331" s="123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1:33" x14ac:dyDescent="0.2">
      <c r="A332" s="134">
        <v>5</v>
      </c>
      <c r="B332" s="126" t="s">
        <v>310</v>
      </c>
      <c r="C332" s="135">
        <v>2880</v>
      </c>
      <c r="D332" s="135">
        <f t="shared" si="31"/>
        <v>2057.1428571428573</v>
      </c>
      <c r="E332" s="135">
        <f t="shared" si="32"/>
        <v>822.85714285714266</v>
      </c>
      <c r="F332" s="50" t="s">
        <v>41</v>
      </c>
      <c r="G332" s="50">
        <f t="shared" si="33"/>
        <v>26160</v>
      </c>
      <c r="H332" s="123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1:33" x14ac:dyDescent="0.2">
      <c r="A333" s="134">
        <v>6</v>
      </c>
      <c r="B333" s="126" t="s">
        <v>311</v>
      </c>
      <c r="C333" s="135">
        <v>2880</v>
      </c>
      <c r="D333" s="135">
        <f t="shared" si="31"/>
        <v>2057.1428571428573</v>
      </c>
      <c r="E333" s="135">
        <f t="shared" si="32"/>
        <v>822.85714285714266</v>
      </c>
      <c r="F333" s="50" t="s">
        <v>41</v>
      </c>
      <c r="G333" s="50">
        <f t="shared" si="33"/>
        <v>23280</v>
      </c>
      <c r="H333" s="123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1:33" x14ac:dyDescent="0.2">
      <c r="A334" s="134">
        <v>7</v>
      </c>
      <c r="B334" s="126" t="s">
        <v>312</v>
      </c>
      <c r="C334" s="135">
        <v>2160</v>
      </c>
      <c r="D334" s="135">
        <f t="shared" si="31"/>
        <v>1542.8571428571429</v>
      </c>
      <c r="E334" s="135">
        <f t="shared" si="32"/>
        <v>617.14285714285711</v>
      </c>
      <c r="F334" s="50" t="s">
        <v>41</v>
      </c>
      <c r="G334" s="50">
        <f t="shared" si="33"/>
        <v>21120</v>
      </c>
      <c r="H334" s="123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1:33" x14ac:dyDescent="0.2">
      <c r="A335" s="134">
        <v>8</v>
      </c>
      <c r="B335" s="126" t="s">
        <v>295</v>
      </c>
      <c r="C335" s="135">
        <v>2880</v>
      </c>
      <c r="D335" s="135">
        <f t="shared" si="31"/>
        <v>2057.1428571428573</v>
      </c>
      <c r="E335" s="135">
        <f t="shared" si="32"/>
        <v>822.85714285714266</v>
      </c>
      <c r="F335" s="50" t="s">
        <v>41</v>
      </c>
      <c r="G335" s="50">
        <f t="shared" si="33"/>
        <v>18240</v>
      </c>
      <c r="H335" s="123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1:33" x14ac:dyDescent="0.2">
      <c r="A336" s="134">
        <v>9</v>
      </c>
      <c r="B336" s="126" t="s">
        <v>313</v>
      </c>
      <c r="C336" s="135">
        <v>2160</v>
      </c>
      <c r="D336" s="135">
        <f t="shared" si="31"/>
        <v>1542.8571428571429</v>
      </c>
      <c r="E336" s="135">
        <f t="shared" si="32"/>
        <v>617.14285714285711</v>
      </c>
      <c r="F336" s="50" t="s">
        <v>41</v>
      </c>
      <c r="G336" s="50">
        <f t="shared" si="33"/>
        <v>16080</v>
      </c>
      <c r="H336" s="123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1:33" x14ac:dyDescent="0.2">
      <c r="A337" s="134">
        <v>10</v>
      </c>
      <c r="B337" s="126" t="s">
        <v>297</v>
      </c>
      <c r="C337" s="135">
        <v>2880</v>
      </c>
      <c r="D337" s="135">
        <f t="shared" si="31"/>
        <v>2057.1428571428573</v>
      </c>
      <c r="E337" s="135">
        <f t="shared" si="32"/>
        <v>822.85714285714266</v>
      </c>
      <c r="F337" s="50"/>
      <c r="G337" s="50">
        <f t="shared" si="33"/>
        <v>13200</v>
      </c>
      <c r="H337" s="123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1:33" x14ac:dyDescent="0.2">
      <c r="A338" s="138"/>
      <c r="B338" s="139"/>
      <c r="C338" s="140"/>
      <c r="D338" s="141">
        <f>SUMIFS(D328:D337, F328:F337, "Y")</f>
        <v>18514.285714285714</v>
      </c>
      <c r="E338" s="142">
        <f>SUMIFS(E328:E337, F328:F337, "Y")</f>
        <v>7405.7142857142844</v>
      </c>
      <c r="F338" s="143">
        <f>(SUMIFS(D328:D337, F328:F337, "Y") + SUMIFS(E328:E337, F328:F337, "Y"))</f>
        <v>25920</v>
      </c>
      <c r="G338" s="140"/>
      <c r="H338" s="144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1:33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1:33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1:33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1:33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1:33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1:33" x14ac:dyDescent="0.2">
      <c r="A344" s="256">
        <v>13</v>
      </c>
      <c r="B344" s="257"/>
      <c r="C344" s="31"/>
      <c r="D344" s="31"/>
      <c r="E344" s="31"/>
      <c r="F344" s="31"/>
      <c r="G344" s="31"/>
      <c r="H344" s="32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1:33" x14ac:dyDescent="0.2">
      <c r="A345" s="265" t="s">
        <v>7</v>
      </c>
      <c r="B345" s="259"/>
      <c r="C345" s="149">
        <v>50000</v>
      </c>
      <c r="D345" s="35"/>
      <c r="E345" s="35"/>
      <c r="F345" s="35"/>
      <c r="G345" s="35"/>
      <c r="H345" s="36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1:33" x14ac:dyDescent="0.2">
      <c r="A346" s="265" t="s">
        <v>8</v>
      </c>
      <c r="B346" s="259"/>
      <c r="C346" s="113">
        <v>45726</v>
      </c>
      <c r="D346" s="35"/>
      <c r="E346" s="38"/>
      <c r="F346" s="38"/>
      <c r="G346" s="38"/>
      <c r="H346" s="39" t="s">
        <v>10</v>
      </c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1:33" x14ac:dyDescent="0.2">
      <c r="A347" s="265" t="s">
        <v>103</v>
      </c>
      <c r="B347" s="259"/>
      <c r="C347" s="65">
        <v>10000</v>
      </c>
      <c r="D347" s="44"/>
      <c r="E347" s="266" t="s">
        <v>14</v>
      </c>
      <c r="F347" s="45" t="s">
        <v>15</v>
      </c>
      <c r="G347" s="65">
        <v>11050</v>
      </c>
      <c r="H347" s="46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1:33" x14ac:dyDescent="0.2">
      <c r="A348" s="265" t="s">
        <v>17</v>
      </c>
      <c r="B348" s="259"/>
      <c r="C348" s="43">
        <v>2</v>
      </c>
      <c r="D348" s="44"/>
      <c r="E348" s="261"/>
      <c r="F348" s="45" t="s">
        <v>18</v>
      </c>
      <c r="G348" s="43">
        <v>38950</v>
      </c>
      <c r="H348" s="46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1:33" x14ac:dyDescent="0.2">
      <c r="A349" s="265" t="s">
        <v>20</v>
      </c>
      <c r="B349" s="259"/>
      <c r="C349" s="43">
        <f>C347*C348</f>
        <v>20000</v>
      </c>
      <c r="D349" s="35"/>
      <c r="E349" s="54"/>
      <c r="F349" s="35"/>
      <c r="G349" s="44"/>
      <c r="H349" s="36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1:33" x14ac:dyDescent="0.2">
      <c r="A350" s="265" t="s">
        <v>22</v>
      </c>
      <c r="B350" s="259"/>
      <c r="C350" s="33">
        <f>C345+C349</f>
        <v>70000</v>
      </c>
      <c r="D350" s="35"/>
      <c r="E350" s="35"/>
      <c r="F350" s="35"/>
      <c r="G350" s="35"/>
      <c r="H350" s="36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1:33" x14ac:dyDescent="0.2">
      <c r="A351" s="265" t="s">
        <v>104</v>
      </c>
      <c r="B351" s="259"/>
      <c r="C351" s="57">
        <v>8750</v>
      </c>
      <c r="D351" s="35"/>
      <c r="E351" s="35"/>
      <c r="F351" s="35"/>
      <c r="G351" s="35"/>
      <c r="H351" s="36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1:33" x14ac:dyDescent="0.2">
      <c r="A352" s="265" t="s">
        <v>28</v>
      </c>
      <c r="B352" s="259"/>
      <c r="C352" s="58" t="s">
        <v>154</v>
      </c>
      <c r="D352" s="35"/>
      <c r="E352" s="35"/>
      <c r="F352" s="35"/>
      <c r="G352" s="35"/>
      <c r="H352" s="36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1:33" x14ac:dyDescent="0.2">
      <c r="A353" s="62" t="s">
        <v>31</v>
      </c>
      <c r="B353" s="63" t="s">
        <v>106</v>
      </c>
      <c r="C353" s="45" t="s">
        <v>33</v>
      </c>
      <c r="D353" s="45" t="s">
        <v>34</v>
      </c>
      <c r="E353" s="45" t="s">
        <v>35</v>
      </c>
      <c r="F353" s="45" t="s">
        <v>36</v>
      </c>
      <c r="G353" s="45" t="s">
        <v>37</v>
      </c>
      <c r="H353" s="36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1:33" x14ac:dyDescent="0.2">
      <c r="A354" s="62">
        <v>0</v>
      </c>
      <c r="B354" s="65"/>
      <c r="C354" s="65"/>
      <c r="D354" s="65"/>
      <c r="E354" s="65"/>
      <c r="F354" s="65"/>
      <c r="G354" s="43">
        <f>C350</f>
        <v>70000</v>
      </c>
      <c r="H354" s="36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1:33" x14ac:dyDescent="0.2">
      <c r="A355" s="62">
        <v>1</v>
      </c>
      <c r="B355" s="100">
        <v>45733</v>
      </c>
      <c r="C355" s="65">
        <v>8750</v>
      </c>
      <c r="D355" s="65">
        <f t="shared" ref="D355:D364" si="34">C355/1.4</f>
        <v>6250</v>
      </c>
      <c r="E355" s="65">
        <f t="shared" ref="E355:E364" si="35">C355-D355</f>
        <v>2500</v>
      </c>
      <c r="F355" s="43" t="s">
        <v>41</v>
      </c>
      <c r="G355" s="43">
        <f t="shared" ref="G355:G364" si="36">(G354-C355)</f>
        <v>61250</v>
      </c>
      <c r="H355" s="36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1:33" x14ac:dyDescent="0.2">
      <c r="A356" s="62">
        <v>2</v>
      </c>
      <c r="B356" s="103">
        <v>45740</v>
      </c>
      <c r="C356" s="65">
        <v>8750</v>
      </c>
      <c r="D356" s="65">
        <f t="shared" si="34"/>
        <v>6250</v>
      </c>
      <c r="E356" s="65">
        <f t="shared" si="35"/>
        <v>2500</v>
      </c>
      <c r="F356" s="43" t="s">
        <v>41</v>
      </c>
      <c r="G356" s="43">
        <f t="shared" si="36"/>
        <v>52500</v>
      </c>
      <c r="H356" s="36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1:33" x14ac:dyDescent="0.2">
      <c r="A357" s="62">
        <v>3</v>
      </c>
      <c r="B357" s="103">
        <v>45747</v>
      </c>
      <c r="C357" s="65">
        <v>8750</v>
      </c>
      <c r="D357" s="65">
        <f t="shared" si="34"/>
        <v>6250</v>
      </c>
      <c r="E357" s="65">
        <f t="shared" si="35"/>
        <v>2500</v>
      </c>
      <c r="F357" s="43" t="s">
        <v>41</v>
      </c>
      <c r="G357" s="43">
        <f t="shared" si="36"/>
        <v>43750</v>
      </c>
      <c r="H357" s="36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1:33" x14ac:dyDescent="0.2">
      <c r="A358" s="62">
        <v>4</v>
      </c>
      <c r="B358" s="103">
        <v>45754</v>
      </c>
      <c r="C358" s="65">
        <v>8750</v>
      </c>
      <c r="D358" s="65">
        <f t="shared" si="34"/>
        <v>6250</v>
      </c>
      <c r="E358" s="65">
        <f t="shared" si="35"/>
        <v>2500</v>
      </c>
      <c r="F358" s="43" t="s">
        <v>41</v>
      </c>
      <c r="G358" s="43">
        <f t="shared" si="36"/>
        <v>35000</v>
      </c>
      <c r="H358" s="36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1:33" x14ac:dyDescent="0.2">
      <c r="A359" s="62">
        <v>5</v>
      </c>
      <c r="B359" s="103">
        <v>45761</v>
      </c>
      <c r="C359" s="65">
        <v>8750</v>
      </c>
      <c r="D359" s="65">
        <f t="shared" si="34"/>
        <v>6250</v>
      </c>
      <c r="E359" s="65">
        <f t="shared" si="35"/>
        <v>2500</v>
      </c>
      <c r="F359" s="43" t="s">
        <v>41</v>
      </c>
      <c r="G359" s="43">
        <f t="shared" si="36"/>
        <v>26250</v>
      </c>
      <c r="H359" s="36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1:33" x14ac:dyDescent="0.2">
      <c r="A360" s="62">
        <v>6</v>
      </c>
      <c r="B360" s="103">
        <v>45768</v>
      </c>
      <c r="C360" s="65">
        <v>8750</v>
      </c>
      <c r="D360" s="65">
        <f t="shared" si="34"/>
        <v>6250</v>
      </c>
      <c r="E360" s="65">
        <f t="shared" si="35"/>
        <v>2500</v>
      </c>
      <c r="F360" s="43" t="s">
        <v>41</v>
      </c>
      <c r="G360" s="43">
        <f t="shared" si="36"/>
        <v>17500</v>
      </c>
      <c r="H360" s="237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1:33" x14ac:dyDescent="0.2">
      <c r="A361" s="62">
        <v>7</v>
      </c>
      <c r="B361" s="103">
        <v>45775</v>
      </c>
      <c r="C361" s="65">
        <v>8750</v>
      </c>
      <c r="D361" s="65">
        <f t="shared" si="34"/>
        <v>6250</v>
      </c>
      <c r="E361" s="65">
        <f t="shared" si="35"/>
        <v>2500</v>
      </c>
      <c r="F361" s="43" t="s">
        <v>41</v>
      </c>
      <c r="G361" s="43">
        <f t="shared" si="36"/>
        <v>8750</v>
      </c>
      <c r="H361" s="36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1:33" x14ac:dyDescent="0.2">
      <c r="A362" s="62">
        <v>8</v>
      </c>
      <c r="B362" s="103">
        <v>45782</v>
      </c>
      <c r="C362" s="65">
        <v>8750</v>
      </c>
      <c r="D362" s="65">
        <f t="shared" si="34"/>
        <v>6250</v>
      </c>
      <c r="E362" s="65">
        <f t="shared" si="35"/>
        <v>2500</v>
      </c>
      <c r="F362" s="43" t="s">
        <v>41</v>
      </c>
      <c r="G362" s="43">
        <f t="shared" si="36"/>
        <v>0</v>
      </c>
      <c r="H362" s="36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1:33" x14ac:dyDescent="0.2">
      <c r="A363" s="62">
        <v>9</v>
      </c>
      <c r="B363" s="103">
        <v>45789</v>
      </c>
      <c r="C363" s="65"/>
      <c r="D363" s="65">
        <f t="shared" si="34"/>
        <v>0</v>
      </c>
      <c r="E363" s="65">
        <f t="shared" si="35"/>
        <v>0</v>
      </c>
      <c r="F363" s="65"/>
      <c r="G363" s="43">
        <f t="shared" si="36"/>
        <v>0</v>
      </c>
      <c r="H363" s="36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1:33" x14ac:dyDescent="0.2">
      <c r="A364" s="62">
        <v>10</v>
      </c>
      <c r="B364" s="103">
        <v>45796</v>
      </c>
      <c r="C364" s="65"/>
      <c r="D364" s="65">
        <f t="shared" si="34"/>
        <v>0</v>
      </c>
      <c r="E364" s="65">
        <f t="shared" si="35"/>
        <v>0</v>
      </c>
      <c r="F364" s="65"/>
      <c r="G364" s="43">
        <f t="shared" si="36"/>
        <v>0</v>
      </c>
      <c r="H364" s="36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1:33" x14ac:dyDescent="0.2">
      <c r="A365" s="89"/>
      <c r="B365" s="90"/>
      <c r="C365" s="91"/>
      <c r="D365" s="111">
        <f>SUMIFS(D355:D364, F355:F364, "Y")</f>
        <v>50000</v>
      </c>
      <c r="E365" s="111">
        <f>SUMIFS(E355:E364, F355:F364, "Y")</f>
        <v>20000</v>
      </c>
      <c r="F365" s="92">
        <f>(SUMIFS(D355:D364, F355:F364, "Y") + SUMIFS(E355:E364, F355:F364, "Y"))</f>
        <v>70000</v>
      </c>
      <c r="G365" s="91"/>
      <c r="H365" s="93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1:33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1:33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1:33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1:33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1:33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1:33" x14ac:dyDescent="0.2">
      <c r="A371" s="256">
        <v>14</v>
      </c>
      <c r="B371" s="257"/>
      <c r="C371" s="118"/>
      <c r="D371" s="119"/>
      <c r="E371" s="119"/>
      <c r="F371" s="119"/>
      <c r="G371" s="119"/>
      <c r="H371" s="12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1:33" x14ac:dyDescent="0.2">
      <c r="A372" s="258" t="s">
        <v>7</v>
      </c>
      <c r="B372" s="259"/>
      <c r="C372" s="121">
        <v>30000</v>
      </c>
      <c r="D372" s="152"/>
      <c r="E372" s="30"/>
      <c r="F372" s="30"/>
      <c r="G372" s="30"/>
      <c r="H372" s="123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1:33" x14ac:dyDescent="0.2">
      <c r="A373" s="258" t="s">
        <v>8</v>
      </c>
      <c r="B373" s="259"/>
      <c r="C373" s="124" t="s">
        <v>314</v>
      </c>
      <c r="D373" s="30"/>
      <c r="E373" s="49"/>
      <c r="F373" s="49"/>
      <c r="G373" s="49"/>
      <c r="H373" s="125" t="s">
        <v>10</v>
      </c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1:33" x14ac:dyDescent="0.2">
      <c r="A374" s="258" t="s">
        <v>103</v>
      </c>
      <c r="B374" s="259"/>
      <c r="C374" s="50">
        <v>6000</v>
      </c>
      <c r="D374" s="107">
        <v>1.2</v>
      </c>
      <c r="E374" s="260" t="s">
        <v>14</v>
      </c>
      <c r="F374" s="126" t="s">
        <v>15</v>
      </c>
      <c r="G374" s="50">
        <v>0</v>
      </c>
      <c r="H374" s="127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1:33" x14ac:dyDescent="0.2">
      <c r="A375" s="258" t="s">
        <v>17</v>
      </c>
      <c r="B375" s="259"/>
      <c r="C375" s="50">
        <v>2</v>
      </c>
      <c r="D375" s="66"/>
      <c r="E375" s="261"/>
      <c r="F375" s="126" t="s">
        <v>18</v>
      </c>
      <c r="G375" s="50">
        <v>30000</v>
      </c>
      <c r="H375" s="127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1:33" x14ac:dyDescent="0.2">
      <c r="A376" s="258" t="s">
        <v>20</v>
      </c>
      <c r="B376" s="259"/>
      <c r="C376" s="50">
        <f>C374*C375</f>
        <v>12000</v>
      </c>
      <c r="D376" s="30"/>
      <c r="E376" s="128"/>
      <c r="F376" s="30"/>
      <c r="G376" s="66"/>
      <c r="H376" s="123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1:33" x14ac:dyDescent="0.2">
      <c r="A377" s="258" t="s">
        <v>22</v>
      </c>
      <c r="B377" s="259"/>
      <c r="C377" s="121">
        <f>C372+C376</f>
        <v>42000</v>
      </c>
      <c r="D377" s="30"/>
      <c r="E377" s="30"/>
      <c r="F377" s="30"/>
      <c r="G377" s="30"/>
      <c r="H377" s="123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1:33" x14ac:dyDescent="0.2">
      <c r="A378" s="258" t="s">
        <v>24</v>
      </c>
      <c r="B378" s="259"/>
      <c r="C378" s="129">
        <v>700</v>
      </c>
      <c r="D378" s="122" t="s">
        <v>315</v>
      </c>
      <c r="E378" s="30"/>
      <c r="F378" s="30"/>
      <c r="G378" s="30"/>
      <c r="H378" s="123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1:33" x14ac:dyDescent="0.2">
      <c r="A379" s="258" t="s">
        <v>28</v>
      </c>
      <c r="B379" s="259"/>
      <c r="C379" s="130" t="s">
        <v>154</v>
      </c>
      <c r="D379" s="30"/>
      <c r="E379" s="30"/>
      <c r="F379" s="30"/>
      <c r="G379" s="30"/>
      <c r="H379" s="123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1:33" x14ac:dyDescent="0.2">
      <c r="A380" s="134" t="s">
        <v>31</v>
      </c>
      <c r="B380" s="166" t="s">
        <v>106</v>
      </c>
      <c r="C380" s="126" t="s">
        <v>33</v>
      </c>
      <c r="D380" s="126" t="s">
        <v>34</v>
      </c>
      <c r="E380" s="126" t="s">
        <v>35</v>
      </c>
      <c r="F380" s="126" t="s">
        <v>36</v>
      </c>
      <c r="G380" s="126" t="s">
        <v>37</v>
      </c>
      <c r="H380" s="123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1:33" x14ac:dyDescent="0.2">
      <c r="A381" s="134">
        <v>0</v>
      </c>
      <c r="B381" s="135"/>
      <c r="C381" s="135"/>
      <c r="D381" s="135"/>
      <c r="E381" s="135"/>
      <c r="F381" s="135"/>
      <c r="G381" s="50">
        <f>C377</f>
        <v>42000</v>
      </c>
      <c r="H381" s="123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1:33" x14ac:dyDescent="0.2">
      <c r="A382" s="134">
        <v>1</v>
      </c>
      <c r="B382" s="136">
        <v>45733</v>
      </c>
      <c r="C382" s="50">
        <v>1400</v>
      </c>
      <c r="D382" s="50">
        <f t="shared" ref="D382:D391" si="37">C382/1.4</f>
        <v>1000.0000000000001</v>
      </c>
      <c r="E382" s="50">
        <f t="shared" ref="E382:E391" si="38">C382-D382</f>
        <v>399.99999999999989</v>
      </c>
      <c r="F382" s="50" t="s">
        <v>41</v>
      </c>
      <c r="G382" s="50">
        <f t="shared" ref="G382:G391" si="39">(G381-C382)</f>
        <v>40600</v>
      </c>
      <c r="H382" s="123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1:33" x14ac:dyDescent="0.2">
      <c r="A383" s="134">
        <v>2</v>
      </c>
      <c r="B383" s="137">
        <v>45740</v>
      </c>
      <c r="C383" s="50">
        <v>4200</v>
      </c>
      <c r="D383" s="50">
        <f t="shared" si="37"/>
        <v>3000</v>
      </c>
      <c r="E383" s="50">
        <f t="shared" si="38"/>
        <v>1200</v>
      </c>
      <c r="F383" s="50" t="s">
        <v>41</v>
      </c>
      <c r="G383" s="50">
        <f t="shared" si="39"/>
        <v>36400</v>
      </c>
      <c r="H383" s="123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1:33" x14ac:dyDescent="0.2">
      <c r="A384" s="134">
        <v>3</v>
      </c>
      <c r="B384" s="137">
        <v>45747</v>
      </c>
      <c r="C384" s="50">
        <v>3500</v>
      </c>
      <c r="D384" s="50">
        <f t="shared" si="37"/>
        <v>2500</v>
      </c>
      <c r="E384" s="50">
        <f t="shared" si="38"/>
        <v>1000</v>
      </c>
      <c r="F384" s="50" t="s">
        <v>41</v>
      </c>
      <c r="G384" s="50">
        <f t="shared" si="39"/>
        <v>32900</v>
      </c>
      <c r="H384" s="123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1:33" x14ac:dyDescent="0.2">
      <c r="A385" s="134">
        <v>4</v>
      </c>
      <c r="B385" s="137">
        <v>45754</v>
      </c>
      <c r="C385" s="50">
        <v>3500</v>
      </c>
      <c r="D385" s="50">
        <f t="shared" si="37"/>
        <v>2500</v>
      </c>
      <c r="E385" s="50">
        <f t="shared" si="38"/>
        <v>1000</v>
      </c>
      <c r="F385" s="50" t="s">
        <v>41</v>
      </c>
      <c r="G385" s="50">
        <f t="shared" si="39"/>
        <v>29400</v>
      </c>
      <c r="H385" s="123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1:33" x14ac:dyDescent="0.2">
      <c r="A386" s="134">
        <v>5</v>
      </c>
      <c r="B386" s="137">
        <v>45761</v>
      </c>
      <c r="C386" s="50">
        <v>2800</v>
      </c>
      <c r="D386" s="50">
        <f t="shared" si="37"/>
        <v>2000.0000000000002</v>
      </c>
      <c r="E386" s="50">
        <f t="shared" si="38"/>
        <v>799.99999999999977</v>
      </c>
      <c r="F386" s="50" t="s">
        <v>41</v>
      </c>
      <c r="G386" s="50">
        <f t="shared" si="39"/>
        <v>26600</v>
      </c>
      <c r="H386" s="123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1:33" x14ac:dyDescent="0.2">
      <c r="A387" s="134">
        <v>6</v>
      </c>
      <c r="B387" s="137">
        <v>45768</v>
      </c>
      <c r="C387" s="50">
        <v>1400</v>
      </c>
      <c r="D387" s="50">
        <f t="shared" si="37"/>
        <v>1000.0000000000001</v>
      </c>
      <c r="E387" s="50">
        <f t="shared" si="38"/>
        <v>399.99999999999989</v>
      </c>
      <c r="F387" s="50" t="s">
        <v>41</v>
      </c>
      <c r="G387" s="50">
        <f t="shared" si="39"/>
        <v>25200</v>
      </c>
      <c r="H387" s="123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1:33" x14ac:dyDescent="0.2">
      <c r="A388" s="134">
        <v>7</v>
      </c>
      <c r="B388" s="137">
        <v>45775</v>
      </c>
      <c r="C388" s="135">
        <v>2100</v>
      </c>
      <c r="D388" s="50">
        <f t="shared" si="37"/>
        <v>1500</v>
      </c>
      <c r="E388" s="50">
        <f t="shared" si="38"/>
        <v>600</v>
      </c>
      <c r="F388" s="50" t="s">
        <v>41</v>
      </c>
      <c r="G388" s="50">
        <f t="shared" si="39"/>
        <v>23100</v>
      </c>
      <c r="H388" s="123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1:33" x14ac:dyDescent="0.2">
      <c r="A389" s="134">
        <v>8</v>
      </c>
      <c r="B389" s="137">
        <v>45782</v>
      </c>
      <c r="C389" s="135">
        <v>2100</v>
      </c>
      <c r="D389" s="50">
        <f t="shared" si="37"/>
        <v>1500</v>
      </c>
      <c r="E389" s="50">
        <f t="shared" si="38"/>
        <v>600</v>
      </c>
      <c r="F389" s="50" t="s">
        <v>41</v>
      </c>
      <c r="G389" s="50">
        <f t="shared" si="39"/>
        <v>21000</v>
      </c>
      <c r="H389" s="123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1:33" x14ac:dyDescent="0.2">
      <c r="A390" s="134">
        <v>9</v>
      </c>
      <c r="B390" s="137">
        <v>45789</v>
      </c>
      <c r="C390" s="135">
        <v>2800</v>
      </c>
      <c r="D390" s="50">
        <f t="shared" si="37"/>
        <v>2000.0000000000002</v>
      </c>
      <c r="E390" s="50">
        <f t="shared" si="38"/>
        <v>799.99999999999977</v>
      </c>
      <c r="F390" s="135"/>
      <c r="G390" s="50">
        <f t="shared" si="39"/>
        <v>18200</v>
      </c>
      <c r="H390" s="123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1:33" x14ac:dyDescent="0.2">
      <c r="A391" s="134">
        <v>10</v>
      </c>
      <c r="B391" s="137">
        <v>45796</v>
      </c>
      <c r="C391" s="135"/>
      <c r="D391" s="50">
        <f t="shared" si="37"/>
        <v>0</v>
      </c>
      <c r="E391" s="50">
        <f t="shared" si="38"/>
        <v>0</v>
      </c>
      <c r="F391" s="135"/>
      <c r="G391" s="50">
        <f t="shared" si="39"/>
        <v>18200</v>
      </c>
      <c r="H391" s="123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1:33" x14ac:dyDescent="0.2">
      <c r="A392" s="138"/>
      <c r="B392" s="139"/>
      <c r="C392" s="140"/>
      <c r="D392" s="141">
        <f>SUMIFS(D382:D391, F382:F391, "Y")</f>
        <v>15000</v>
      </c>
      <c r="E392" s="141">
        <f>SUMIFS(E382:E391, F382:F391, "Y")</f>
        <v>6000</v>
      </c>
      <c r="F392" s="167">
        <f>(SUMIFS(D382:D391, F382:F391, "Y") + SUMIFS(E382:E391, F382:F391, "Y"))</f>
        <v>21000</v>
      </c>
      <c r="G392" s="140"/>
      <c r="H392" s="144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1:33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1:33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1:33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1:33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1:33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1:33" x14ac:dyDescent="0.2">
      <c r="A398" s="256">
        <v>15</v>
      </c>
      <c r="B398" s="257"/>
      <c r="C398" s="173"/>
      <c r="D398" s="173"/>
      <c r="E398" s="173"/>
      <c r="F398" s="173"/>
      <c r="G398" s="173"/>
      <c r="H398" s="174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1:33" x14ac:dyDescent="0.2">
      <c r="A399" s="263" t="s">
        <v>7</v>
      </c>
      <c r="B399" s="259"/>
      <c r="C399" s="238">
        <v>50000</v>
      </c>
      <c r="D399" s="176"/>
      <c r="E399" s="176"/>
      <c r="F399" s="176"/>
      <c r="G399" s="176"/>
      <c r="H399" s="177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1:33" x14ac:dyDescent="0.2">
      <c r="A400" s="263" t="s">
        <v>8</v>
      </c>
      <c r="B400" s="259"/>
      <c r="C400" s="239">
        <v>45733</v>
      </c>
      <c r="D400" s="176"/>
      <c r="E400" s="179"/>
      <c r="F400" s="179"/>
      <c r="G400" s="179"/>
      <c r="H400" s="180" t="s">
        <v>10</v>
      </c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1:33" x14ac:dyDescent="0.2">
      <c r="A401" s="263" t="s">
        <v>103</v>
      </c>
      <c r="B401" s="259"/>
      <c r="C401" s="191">
        <v>10000</v>
      </c>
      <c r="D401" s="226"/>
      <c r="E401" s="264" t="s">
        <v>14</v>
      </c>
      <c r="F401" s="182" t="s">
        <v>15</v>
      </c>
      <c r="G401" s="191">
        <v>0</v>
      </c>
      <c r="H401" s="224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1:33" x14ac:dyDescent="0.2">
      <c r="A402" s="263" t="s">
        <v>17</v>
      </c>
      <c r="B402" s="259"/>
      <c r="C402" s="64">
        <v>2</v>
      </c>
      <c r="D402" s="226"/>
      <c r="E402" s="261"/>
      <c r="F402" s="182" t="s">
        <v>18</v>
      </c>
      <c r="G402" s="64">
        <v>50000</v>
      </c>
      <c r="H402" s="224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1:33" x14ac:dyDescent="0.2">
      <c r="A403" s="263" t="s">
        <v>20</v>
      </c>
      <c r="B403" s="259"/>
      <c r="C403" s="64">
        <f>C401*C402</f>
        <v>20000</v>
      </c>
      <c r="D403" s="176"/>
      <c r="E403" s="225"/>
      <c r="F403" s="176"/>
      <c r="G403" s="226"/>
      <c r="H403" s="177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1:33" x14ac:dyDescent="0.2">
      <c r="A404" s="263" t="s">
        <v>22</v>
      </c>
      <c r="B404" s="259"/>
      <c r="C404" s="175">
        <f>C399+C403</f>
        <v>70000</v>
      </c>
      <c r="D404" s="176"/>
      <c r="E404" s="176"/>
      <c r="F404" s="176"/>
      <c r="G404" s="176"/>
      <c r="H404" s="177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1:33" x14ac:dyDescent="0.2">
      <c r="A405" s="263" t="s">
        <v>24</v>
      </c>
      <c r="B405" s="259"/>
      <c r="C405" s="240">
        <v>1200</v>
      </c>
      <c r="D405" s="176" t="s">
        <v>196</v>
      </c>
      <c r="E405" s="176"/>
      <c r="F405" s="176"/>
      <c r="G405" s="176"/>
      <c r="H405" s="177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1:33" x14ac:dyDescent="0.2">
      <c r="A406" s="263" t="s">
        <v>28</v>
      </c>
      <c r="B406" s="259"/>
      <c r="C406" s="189" t="s">
        <v>154</v>
      </c>
      <c r="D406" s="176"/>
      <c r="E406" s="176"/>
      <c r="F406" s="176"/>
      <c r="G406" s="176"/>
      <c r="H406" s="177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1:33" x14ac:dyDescent="0.2">
      <c r="A407" s="190" t="s">
        <v>31</v>
      </c>
      <c r="B407" s="183" t="s">
        <v>106</v>
      </c>
      <c r="C407" s="182" t="s">
        <v>33</v>
      </c>
      <c r="D407" s="182" t="s">
        <v>34</v>
      </c>
      <c r="E407" s="182" t="s">
        <v>35</v>
      </c>
      <c r="F407" s="182" t="s">
        <v>36</v>
      </c>
      <c r="G407" s="182" t="s">
        <v>37</v>
      </c>
      <c r="H407" s="177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1:33" x14ac:dyDescent="0.2">
      <c r="A408" s="190">
        <v>0</v>
      </c>
      <c r="B408" s="191"/>
      <c r="C408" s="191"/>
      <c r="D408" s="191"/>
      <c r="E408" s="191"/>
      <c r="F408" s="191"/>
      <c r="G408" s="64">
        <f>C404</f>
        <v>70000</v>
      </c>
      <c r="H408" s="177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1:33" x14ac:dyDescent="0.2">
      <c r="A409" s="190">
        <v>1</v>
      </c>
      <c r="B409" s="137">
        <v>45740</v>
      </c>
      <c r="C409" s="191">
        <v>4800</v>
      </c>
      <c r="D409" s="191">
        <f t="shared" ref="D409:D418" si="40">C409/1.4</f>
        <v>3428.5714285714289</v>
      </c>
      <c r="E409" s="191">
        <f t="shared" ref="E409:E418" si="41">C409-D409</f>
        <v>1371.4285714285711</v>
      </c>
      <c r="F409" s="64" t="s">
        <v>41</v>
      </c>
      <c r="G409" s="64">
        <f t="shared" ref="G409:G418" si="42">(G408-C409)</f>
        <v>65200</v>
      </c>
      <c r="H409" s="177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1:33" x14ac:dyDescent="0.2">
      <c r="A410" s="190">
        <v>2</v>
      </c>
      <c r="B410" s="137">
        <v>45747</v>
      </c>
      <c r="C410" s="191">
        <v>4800</v>
      </c>
      <c r="D410" s="191">
        <f t="shared" si="40"/>
        <v>3428.5714285714289</v>
      </c>
      <c r="E410" s="191">
        <f t="shared" si="41"/>
        <v>1371.4285714285711</v>
      </c>
      <c r="F410" s="64" t="s">
        <v>41</v>
      </c>
      <c r="G410" s="64">
        <f t="shared" si="42"/>
        <v>60400</v>
      </c>
      <c r="H410" s="177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1:33" x14ac:dyDescent="0.2">
      <c r="A411" s="190">
        <v>3</v>
      </c>
      <c r="B411" s="137">
        <v>45754</v>
      </c>
      <c r="C411" s="191">
        <v>3600</v>
      </c>
      <c r="D411" s="191">
        <f t="shared" si="40"/>
        <v>2571.4285714285716</v>
      </c>
      <c r="E411" s="191">
        <f t="shared" si="41"/>
        <v>1028.5714285714284</v>
      </c>
      <c r="F411" s="64" t="s">
        <v>41</v>
      </c>
      <c r="G411" s="64">
        <f t="shared" si="42"/>
        <v>56800</v>
      </c>
      <c r="H411" s="177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1:33" x14ac:dyDescent="0.2">
      <c r="A412" s="190">
        <v>4</v>
      </c>
      <c r="B412" s="137">
        <v>45761</v>
      </c>
      <c r="C412" s="191">
        <v>2400</v>
      </c>
      <c r="D412" s="191">
        <f t="shared" si="40"/>
        <v>1714.2857142857144</v>
      </c>
      <c r="E412" s="191">
        <f t="shared" si="41"/>
        <v>685.71428571428555</v>
      </c>
      <c r="F412" s="64" t="s">
        <v>41</v>
      </c>
      <c r="G412" s="64">
        <f t="shared" si="42"/>
        <v>54400</v>
      </c>
      <c r="H412" s="177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1:33" x14ac:dyDescent="0.2">
      <c r="A413" s="190">
        <v>5</v>
      </c>
      <c r="B413" s="137">
        <v>45768</v>
      </c>
      <c r="C413" s="191">
        <v>2400</v>
      </c>
      <c r="D413" s="191">
        <f t="shared" si="40"/>
        <v>1714.2857142857144</v>
      </c>
      <c r="E413" s="191">
        <f t="shared" si="41"/>
        <v>685.71428571428555</v>
      </c>
      <c r="F413" s="64" t="s">
        <v>41</v>
      </c>
      <c r="G413" s="64">
        <f t="shared" si="42"/>
        <v>52000</v>
      </c>
      <c r="H413" s="177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1:33" x14ac:dyDescent="0.2">
      <c r="A414" s="190">
        <v>6</v>
      </c>
      <c r="B414" s="137">
        <v>45775</v>
      </c>
      <c r="C414" s="191">
        <v>0</v>
      </c>
      <c r="D414" s="191">
        <f t="shared" si="40"/>
        <v>0</v>
      </c>
      <c r="E414" s="191">
        <f t="shared" si="41"/>
        <v>0</v>
      </c>
      <c r="F414" s="64" t="s">
        <v>168</v>
      </c>
      <c r="G414" s="64">
        <f t="shared" si="42"/>
        <v>52000</v>
      </c>
      <c r="H414" s="177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1:33" x14ac:dyDescent="0.2">
      <c r="A415" s="190">
        <v>7</v>
      </c>
      <c r="B415" s="137">
        <v>45782</v>
      </c>
      <c r="C415" s="191">
        <v>3600</v>
      </c>
      <c r="D415" s="191">
        <f t="shared" si="40"/>
        <v>2571.4285714285716</v>
      </c>
      <c r="E415" s="191">
        <f t="shared" si="41"/>
        <v>1028.5714285714284</v>
      </c>
      <c r="F415" s="64" t="s">
        <v>41</v>
      </c>
      <c r="G415" s="64">
        <f t="shared" si="42"/>
        <v>48400</v>
      </c>
      <c r="H415" s="177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1:33" x14ac:dyDescent="0.2">
      <c r="A416" s="190">
        <v>8</v>
      </c>
      <c r="B416" s="137">
        <v>45789</v>
      </c>
      <c r="C416" s="191">
        <v>4800</v>
      </c>
      <c r="D416" s="191">
        <f t="shared" si="40"/>
        <v>3428.5714285714289</v>
      </c>
      <c r="E416" s="191">
        <f t="shared" si="41"/>
        <v>1371.4285714285711</v>
      </c>
      <c r="F416" s="64" t="s">
        <v>107</v>
      </c>
      <c r="G416" s="64">
        <f t="shared" si="42"/>
        <v>43600</v>
      </c>
      <c r="H416" s="177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1:33" x14ac:dyDescent="0.2">
      <c r="A417" s="190">
        <v>9</v>
      </c>
      <c r="B417" s="137">
        <v>45796</v>
      </c>
      <c r="C417" s="191"/>
      <c r="D417" s="191">
        <f t="shared" si="40"/>
        <v>0</v>
      </c>
      <c r="E417" s="191">
        <f t="shared" si="41"/>
        <v>0</v>
      </c>
      <c r="F417" s="64" t="s">
        <v>107</v>
      </c>
      <c r="G417" s="64">
        <f t="shared" si="42"/>
        <v>43600</v>
      </c>
      <c r="H417" s="177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1:33" x14ac:dyDescent="0.2">
      <c r="A418" s="190">
        <v>10</v>
      </c>
      <c r="B418" s="228"/>
      <c r="C418" s="191"/>
      <c r="D418" s="191">
        <f t="shared" si="40"/>
        <v>0</v>
      </c>
      <c r="E418" s="191">
        <f t="shared" si="41"/>
        <v>0</v>
      </c>
      <c r="F418" s="64"/>
      <c r="G418" s="64">
        <f t="shared" si="42"/>
        <v>43600</v>
      </c>
      <c r="H418" s="177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1:33" x14ac:dyDescent="0.2">
      <c r="A419" s="192"/>
      <c r="B419" s="193"/>
      <c r="C419" s="194"/>
      <c r="D419" s="142">
        <f>SUMIFS(D409:D418, F409:F418, "Y")</f>
        <v>15428.571428571428</v>
      </c>
      <c r="E419" s="142">
        <f>SUMIFS(E409:E418, F409:F418, "Y")</f>
        <v>6171.4285714285697</v>
      </c>
      <c r="F419" s="143">
        <f>(SUMIFS(D409:D418, F409:F418, "Y") + SUMIFS(E409:E418, F409:F418, "Y"))</f>
        <v>21599.999999999996</v>
      </c>
      <c r="G419" s="194"/>
      <c r="H419" s="195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1:33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1:33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1:33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1:33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1:33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1:33" x14ac:dyDescent="0.2">
      <c r="A425" s="256">
        <v>16</v>
      </c>
      <c r="B425" s="257"/>
      <c r="C425" s="173"/>
      <c r="D425" s="173"/>
      <c r="E425" s="173"/>
      <c r="F425" s="173"/>
      <c r="G425" s="173"/>
      <c r="H425" s="174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1:33" x14ac:dyDescent="0.2">
      <c r="A426" s="263" t="s">
        <v>7</v>
      </c>
      <c r="B426" s="259"/>
      <c r="C426" s="238">
        <v>50000</v>
      </c>
      <c r="D426" s="176"/>
      <c r="E426" s="176"/>
      <c r="F426" s="176"/>
      <c r="G426" s="176"/>
      <c r="H426" s="177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1:33" x14ac:dyDescent="0.2">
      <c r="A427" s="263" t="s">
        <v>8</v>
      </c>
      <c r="B427" s="259"/>
      <c r="C427" s="239">
        <v>45740</v>
      </c>
      <c r="D427" s="176"/>
      <c r="E427" s="179"/>
      <c r="F427" s="179"/>
      <c r="G427" s="179"/>
      <c r="H427" s="180" t="s">
        <v>10</v>
      </c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1:33" x14ac:dyDescent="0.2">
      <c r="A428" s="263" t="s">
        <v>103</v>
      </c>
      <c r="B428" s="259"/>
      <c r="C428" s="191">
        <v>10000</v>
      </c>
      <c r="D428" s="226"/>
      <c r="E428" s="264" t="s">
        <v>14</v>
      </c>
      <c r="F428" s="182" t="s">
        <v>15</v>
      </c>
      <c r="G428" s="191">
        <v>0</v>
      </c>
      <c r="H428" s="224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1:33" x14ac:dyDescent="0.2">
      <c r="A429" s="263" t="s">
        <v>17</v>
      </c>
      <c r="B429" s="259"/>
      <c r="C429" s="64">
        <v>3</v>
      </c>
      <c r="D429" s="226" t="s">
        <v>153</v>
      </c>
      <c r="E429" s="261"/>
      <c r="F429" s="182" t="s">
        <v>18</v>
      </c>
      <c r="G429" s="64">
        <v>50000</v>
      </c>
      <c r="H429" s="224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1:33" x14ac:dyDescent="0.2">
      <c r="A430" s="263" t="s">
        <v>20</v>
      </c>
      <c r="B430" s="259"/>
      <c r="C430" s="64">
        <f>C428*C429</f>
        <v>30000</v>
      </c>
      <c r="D430" s="176"/>
      <c r="E430" s="225"/>
      <c r="F430" s="176"/>
      <c r="G430" s="226"/>
      <c r="H430" s="177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1:33" x14ac:dyDescent="0.2">
      <c r="A431" s="263" t="s">
        <v>22</v>
      </c>
      <c r="B431" s="259"/>
      <c r="C431" s="175">
        <f>C426+C430</f>
        <v>80000</v>
      </c>
      <c r="D431" s="176"/>
      <c r="E431" s="176"/>
      <c r="F431" s="176"/>
      <c r="G431" s="176"/>
      <c r="H431" s="177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 spans="1:33" x14ac:dyDescent="0.2">
      <c r="A432" s="263" t="s">
        <v>24</v>
      </c>
      <c r="B432" s="259"/>
      <c r="C432" s="240">
        <v>800</v>
      </c>
      <c r="D432" s="176" t="s">
        <v>198</v>
      </c>
      <c r="E432" s="176"/>
      <c r="F432" s="176"/>
      <c r="G432" s="176"/>
      <c r="H432" s="177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  <row r="433" spans="1:33" x14ac:dyDescent="0.2">
      <c r="A433" s="263" t="s">
        <v>28</v>
      </c>
      <c r="B433" s="259"/>
      <c r="C433" s="189" t="s">
        <v>154</v>
      </c>
      <c r="D433" s="176"/>
      <c r="E433" s="176"/>
      <c r="F433" s="176"/>
      <c r="G433" s="176"/>
      <c r="H433" s="177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</row>
    <row r="434" spans="1:33" x14ac:dyDescent="0.2">
      <c r="A434" s="190" t="s">
        <v>31</v>
      </c>
      <c r="B434" s="183" t="s">
        <v>106</v>
      </c>
      <c r="C434" s="182" t="s">
        <v>33</v>
      </c>
      <c r="D434" s="182" t="s">
        <v>34</v>
      </c>
      <c r="E434" s="182" t="s">
        <v>35</v>
      </c>
      <c r="F434" s="182" t="s">
        <v>36</v>
      </c>
      <c r="G434" s="182" t="s">
        <v>37</v>
      </c>
      <c r="H434" s="177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</row>
    <row r="435" spans="1:33" x14ac:dyDescent="0.2">
      <c r="A435" s="190">
        <v>0</v>
      </c>
      <c r="B435" s="191"/>
      <c r="C435" s="191"/>
      <c r="D435" s="191"/>
      <c r="E435" s="191"/>
      <c r="F435" s="191"/>
      <c r="G435" s="64">
        <f>C431</f>
        <v>80000</v>
      </c>
      <c r="H435" s="177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</row>
    <row r="436" spans="1:33" x14ac:dyDescent="0.2">
      <c r="A436" s="190">
        <v>1</v>
      </c>
      <c r="B436" s="137">
        <v>45747</v>
      </c>
      <c r="C436" s="191">
        <v>4000</v>
      </c>
      <c r="D436" s="191">
        <f t="shared" ref="D436:D445" si="43">C436/1.4</f>
        <v>2857.1428571428573</v>
      </c>
      <c r="E436" s="191">
        <f t="shared" ref="E436:E445" si="44">C436-D436</f>
        <v>1142.8571428571427</v>
      </c>
      <c r="F436" s="64" t="s">
        <v>41</v>
      </c>
      <c r="G436" s="64">
        <f t="shared" ref="G436:G445" si="45">(G435-C436)</f>
        <v>76000</v>
      </c>
      <c r="H436" s="177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</row>
    <row r="437" spans="1:33" x14ac:dyDescent="0.2">
      <c r="A437" s="190">
        <v>2</v>
      </c>
      <c r="B437" s="137">
        <v>45754</v>
      </c>
      <c r="C437" s="191">
        <v>4800</v>
      </c>
      <c r="D437" s="191">
        <f t="shared" si="43"/>
        <v>3428.5714285714289</v>
      </c>
      <c r="E437" s="191">
        <f t="shared" si="44"/>
        <v>1371.4285714285711</v>
      </c>
      <c r="F437" s="64" t="s">
        <v>41</v>
      </c>
      <c r="G437" s="64">
        <f t="shared" si="45"/>
        <v>71200</v>
      </c>
      <c r="H437" s="177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</row>
    <row r="438" spans="1:33" x14ac:dyDescent="0.2">
      <c r="A438" s="190">
        <v>3</v>
      </c>
      <c r="B438" s="137">
        <v>45761</v>
      </c>
      <c r="C438" s="191">
        <v>4000</v>
      </c>
      <c r="D438" s="191">
        <f t="shared" si="43"/>
        <v>2857.1428571428573</v>
      </c>
      <c r="E438" s="191">
        <f t="shared" si="44"/>
        <v>1142.8571428571427</v>
      </c>
      <c r="F438" s="64" t="s">
        <v>41</v>
      </c>
      <c r="G438" s="64">
        <f t="shared" si="45"/>
        <v>67200</v>
      </c>
      <c r="H438" s="177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</row>
    <row r="439" spans="1:33" x14ac:dyDescent="0.2">
      <c r="A439" s="190">
        <v>4</v>
      </c>
      <c r="B439" s="137">
        <v>45768</v>
      </c>
      <c r="C439" s="191">
        <v>2400</v>
      </c>
      <c r="D439" s="191">
        <f t="shared" si="43"/>
        <v>1714.2857142857144</v>
      </c>
      <c r="E439" s="191">
        <f t="shared" si="44"/>
        <v>685.71428571428555</v>
      </c>
      <c r="F439" s="64" t="s">
        <v>41</v>
      </c>
      <c r="G439" s="64">
        <f t="shared" si="45"/>
        <v>64800</v>
      </c>
      <c r="H439" s="177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</row>
    <row r="440" spans="1:33" x14ac:dyDescent="0.2">
      <c r="A440" s="190">
        <v>5</v>
      </c>
      <c r="B440" s="137">
        <v>45775</v>
      </c>
      <c r="C440" s="191">
        <v>3200</v>
      </c>
      <c r="D440" s="191">
        <f t="shared" si="43"/>
        <v>2285.7142857142858</v>
      </c>
      <c r="E440" s="191">
        <f t="shared" si="44"/>
        <v>914.28571428571422</v>
      </c>
      <c r="F440" s="64" t="s">
        <v>41</v>
      </c>
      <c r="G440" s="64">
        <f t="shared" si="45"/>
        <v>61600</v>
      </c>
      <c r="H440" s="177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</row>
    <row r="441" spans="1:33" x14ac:dyDescent="0.2">
      <c r="A441" s="190">
        <v>6</v>
      </c>
      <c r="B441" s="137">
        <v>45782</v>
      </c>
      <c r="C441" s="191">
        <v>3200</v>
      </c>
      <c r="D441" s="191">
        <f t="shared" si="43"/>
        <v>2285.7142857142858</v>
      </c>
      <c r="E441" s="191">
        <f t="shared" si="44"/>
        <v>914.28571428571422</v>
      </c>
      <c r="F441" s="64" t="s">
        <v>41</v>
      </c>
      <c r="G441" s="64">
        <f t="shared" si="45"/>
        <v>58400</v>
      </c>
      <c r="H441" s="177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</row>
    <row r="442" spans="1:33" x14ac:dyDescent="0.2">
      <c r="A442" s="190">
        <v>7</v>
      </c>
      <c r="B442" s="137">
        <v>45789</v>
      </c>
      <c r="C442" s="191">
        <v>4000</v>
      </c>
      <c r="D442" s="191">
        <f t="shared" si="43"/>
        <v>2857.1428571428573</v>
      </c>
      <c r="E442" s="191">
        <f t="shared" si="44"/>
        <v>1142.8571428571427</v>
      </c>
      <c r="F442" s="64" t="s">
        <v>107</v>
      </c>
      <c r="G442" s="64">
        <f t="shared" si="45"/>
        <v>54400</v>
      </c>
      <c r="H442" s="177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</row>
    <row r="443" spans="1:33" x14ac:dyDescent="0.2">
      <c r="A443" s="190">
        <v>8</v>
      </c>
      <c r="B443" s="137">
        <v>45796</v>
      </c>
      <c r="C443" s="191"/>
      <c r="D443" s="191">
        <f t="shared" si="43"/>
        <v>0</v>
      </c>
      <c r="E443" s="191">
        <f t="shared" si="44"/>
        <v>0</v>
      </c>
      <c r="F443" s="64" t="s">
        <v>107</v>
      </c>
      <c r="G443" s="64">
        <f t="shared" si="45"/>
        <v>54400</v>
      </c>
      <c r="H443" s="177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</row>
    <row r="444" spans="1:33" x14ac:dyDescent="0.2">
      <c r="A444" s="190">
        <v>9</v>
      </c>
      <c r="B444" s="137">
        <v>45803</v>
      </c>
      <c r="C444" s="191"/>
      <c r="D444" s="191">
        <f t="shared" si="43"/>
        <v>0</v>
      </c>
      <c r="E444" s="191">
        <f t="shared" si="44"/>
        <v>0</v>
      </c>
      <c r="F444" s="64" t="s">
        <v>107</v>
      </c>
      <c r="G444" s="64">
        <f t="shared" si="45"/>
        <v>54400</v>
      </c>
      <c r="H444" s="177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</row>
    <row r="445" spans="1:33" x14ac:dyDescent="0.2">
      <c r="A445" s="190">
        <v>10</v>
      </c>
      <c r="B445" s="137">
        <v>45810</v>
      </c>
      <c r="C445" s="191"/>
      <c r="D445" s="191">
        <f t="shared" si="43"/>
        <v>0</v>
      </c>
      <c r="E445" s="191">
        <f t="shared" si="44"/>
        <v>0</v>
      </c>
      <c r="F445" s="64"/>
      <c r="G445" s="64">
        <f t="shared" si="45"/>
        <v>54400</v>
      </c>
      <c r="H445" s="177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</row>
    <row r="446" spans="1:33" x14ac:dyDescent="0.2">
      <c r="A446" s="192"/>
      <c r="B446" s="193"/>
      <c r="C446" s="194"/>
      <c r="D446" s="142">
        <f>SUMIFS(D436:D445, F436:F445, "Y")</f>
        <v>15428.571428571429</v>
      </c>
      <c r="E446" s="142">
        <f>SUMIFS(E436:E445, F436:F445, "Y")</f>
        <v>6171.4285714285706</v>
      </c>
      <c r="F446" s="143">
        <f>(SUMIFS(D436:D445, F436:F445, "Y") + SUMIFS(E436:E445, F436:F445, "Y"))</f>
        <v>21600</v>
      </c>
      <c r="G446" s="194"/>
      <c r="H446" s="195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</row>
    <row r="447" spans="1:33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</row>
    <row r="448" spans="1:33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</row>
    <row r="449" spans="1:33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</row>
    <row r="450" spans="1:33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</row>
    <row r="451" spans="1:33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</row>
    <row r="452" spans="1:33" x14ac:dyDescent="0.2">
      <c r="A452" s="256">
        <v>17</v>
      </c>
      <c r="B452" s="257"/>
      <c r="C452" s="173"/>
      <c r="D452" s="173"/>
      <c r="E452" s="173"/>
      <c r="F452" s="173"/>
      <c r="G452" s="173"/>
      <c r="H452" s="174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</row>
    <row r="453" spans="1:33" x14ac:dyDescent="0.2">
      <c r="A453" s="263" t="s">
        <v>7</v>
      </c>
      <c r="B453" s="259"/>
      <c r="C453" s="238">
        <v>60000</v>
      </c>
      <c r="D453" s="176"/>
      <c r="E453" s="176"/>
      <c r="F453" s="176"/>
      <c r="G453" s="176"/>
      <c r="H453" s="177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</row>
    <row r="454" spans="1:33" x14ac:dyDescent="0.2">
      <c r="A454" s="263" t="s">
        <v>8</v>
      </c>
      <c r="B454" s="259"/>
      <c r="C454" s="239">
        <v>45747</v>
      </c>
      <c r="D454" s="176"/>
      <c r="E454" s="179"/>
      <c r="F454" s="179"/>
      <c r="G454" s="179"/>
      <c r="H454" s="180" t="s">
        <v>10</v>
      </c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</row>
    <row r="455" spans="1:33" x14ac:dyDescent="0.2">
      <c r="A455" s="263" t="s">
        <v>152</v>
      </c>
      <c r="B455" s="259"/>
      <c r="C455" s="191">
        <v>9000</v>
      </c>
      <c r="D455" s="226"/>
      <c r="E455" s="264" t="s">
        <v>14</v>
      </c>
      <c r="F455" s="182" t="s">
        <v>15</v>
      </c>
      <c r="G455" s="191">
        <v>0</v>
      </c>
      <c r="H455" s="224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</row>
    <row r="456" spans="1:33" x14ac:dyDescent="0.2">
      <c r="A456" s="263" t="s">
        <v>17</v>
      </c>
      <c r="B456" s="259"/>
      <c r="C456" s="64">
        <v>2</v>
      </c>
      <c r="D456" s="226"/>
      <c r="E456" s="261"/>
      <c r="F456" s="182" t="s">
        <v>18</v>
      </c>
      <c r="G456" s="64">
        <v>60000</v>
      </c>
      <c r="H456" s="224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</row>
    <row r="457" spans="1:33" x14ac:dyDescent="0.2">
      <c r="A457" s="263" t="s">
        <v>20</v>
      </c>
      <c r="B457" s="259"/>
      <c r="C457" s="64">
        <f>C455*C456</f>
        <v>18000</v>
      </c>
      <c r="D457" s="176"/>
      <c r="E457" s="225"/>
      <c r="F457" s="176"/>
      <c r="G457" s="226"/>
      <c r="H457" s="177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</row>
    <row r="458" spans="1:33" x14ac:dyDescent="0.2">
      <c r="A458" s="263" t="s">
        <v>22</v>
      </c>
      <c r="B458" s="259"/>
      <c r="C458" s="175">
        <f>C453+C457</f>
        <v>78000</v>
      </c>
      <c r="D458" s="176"/>
      <c r="E458" s="176"/>
      <c r="F458" s="176"/>
      <c r="G458" s="176"/>
      <c r="H458" s="177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</row>
    <row r="459" spans="1:33" x14ac:dyDescent="0.2">
      <c r="A459" s="263" t="s">
        <v>104</v>
      </c>
      <c r="B459" s="259"/>
      <c r="C459" s="240">
        <v>800</v>
      </c>
      <c r="D459" s="176"/>
      <c r="E459" s="176"/>
      <c r="F459" s="176"/>
      <c r="G459" s="176"/>
      <c r="H459" s="177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</row>
    <row r="460" spans="1:33" x14ac:dyDescent="0.2">
      <c r="A460" s="263" t="s">
        <v>28</v>
      </c>
      <c r="B460" s="259"/>
      <c r="C460" s="189" t="s">
        <v>124</v>
      </c>
      <c r="D460" s="176"/>
      <c r="E460" s="176"/>
      <c r="F460" s="176"/>
      <c r="G460" s="176"/>
      <c r="H460" s="177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</row>
    <row r="461" spans="1:33" x14ac:dyDescent="0.2">
      <c r="A461" s="190" t="s">
        <v>31</v>
      </c>
      <c r="B461" s="183" t="s">
        <v>106</v>
      </c>
      <c r="C461" s="182" t="s">
        <v>33</v>
      </c>
      <c r="D461" s="182" t="s">
        <v>34</v>
      </c>
      <c r="E461" s="182" t="s">
        <v>35</v>
      </c>
      <c r="F461" s="182" t="s">
        <v>36</v>
      </c>
      <c r="G461" s="182" t="s">
        <v>37</v>
      </c>
      <c r="H461" s="177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</row>
    <row r="462" spans="1:33" x14ac:dyDescent="0.2">
      <c r="A462" s="190">
        <v>0</v>
      </c>
      <c r="B462" s="191"/>
      <c r="C462" s="191"/>
      <c r="D462" s="191"/>
      <c r="E462" s="191"/>
      <c r="F462" s="191"/>
      <c r="G462" s="64">
        <f>C458</f>
        <v>78000</v>
      </c>
      <c r="H462" s="177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</row>
    <row r="463" spans="1:33" x14ac:dyDescent="0.2">
      <c r="A463" s="190">
        <v>1</v>
      </c>
      <c r="B463" s="137">
        <v>45754</v>
      </c>
      <c r="C463" s="191">
        <v>9750</v>
      </c>
      <c r="D463" s="191">
        <f t="shared" ref="D463:D472" si="46">C463/1.4</f>
        <v>6964.2857142857147</v>
      </c>
      <c r="E463" s="191">
        <f t="shared" ref="E463:E472" si="47">C463-D463</f>
        <v>2785.7142857142853</v>
      </c>
      <c r="F463" s="64" t="s">
        <v>41</v>
      </c>
      <c r="G463" s="64">
        <f t="shared" ref="G463:G472" si="48">(G462-C463)</f>
        <v>68250</v>
      </c>
      <c r="H463" s="177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</row>
    <row r="464" spans="1:33" x14ac:dyDescent="0.2">
      <c r="A464" s="190">
        <v>2</v>
      </c>
      <c r="B464" s="137">
        <v>45761</v>
      </c>
      <c r="C464" s="191">
        <v>9750</v>
      </c>
      <c r="D464" s="191">
        <f t="shared" si="46"/>
        <v>6964.2857142857147</v>
      </c>
      <c r="E464" s="191">
        <f t="shared" si="47"/>
        <v>2785.7142857142853</v>
      </c>
      <c r="F464" s="64" t="s">
        <v>41</v>
      </c>
      <c r="G464" s="64">
        <f t="shared" si="48"/>
        <v>58500</v>
      </c>
      <c r="H464" s="177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</row>
    <row r="465" spans="1:33" x14ac:dyDescent="0.2">
      <c r="A465" s="190">
        <v>3</v>
      </c>
      <c r="B465" s="137">
        <v>45768</v>
      </c>
      <c r="C465" s="191">
        <v>9750</v>
      </c>
      <c r="D465" s="191">
        <f t="shared" si="46"/>
        <v>6964.2857142857147</v>
      </c>
      <c r="E465" s="191">
        <f t="shared" si="47"/>
        <v>2785.7142857142853</v>
      </c>
      <c r="F465" s="64" t="s">
        <v>41</v>
      </c>
      <c r="G465" s="64">
        <f t="shared" si="48"/>
        <v>48750</v>
      </c>
      <c r="H465" s="177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</row>
    <row r="466" spans="1:33" x14ac:dyDescent="0.2">
      <c r="A466" s="190">
        <v>4</v>
      </c>
      <c r="B466" s="137">
        <v>45775</v>
      </c>
      <c r="C466" s="191">
        <v>9750</v>
      </c>
      <c r="D466" s="191">
        <f t="shared" si="46"/>
        <v>6964.2857142857147</v>
      </c>
      <c r="E466" s="191">
        <f t="shared" si="47"/>
        <v>2785.7142857142853</v>
      </c>
      <c r="F466" s="64" t="s">
        <v>41</v>
      </c>
      <c r="G466" s="64">
        <f t="shared" si="48"/>
        <v>39000</v>
      </c>
      <c r="H466" s="177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</row>
    <row r="467" spans="1:33" x14ac:dyDescent="0.2">
      <c r="A467" s="190">
        <v>5</v>
      </c>
      <c r="B467" s="137">
        <v>45782</v>
      </c>
      <c r="C467" s="191">
        <v>9750</v>
      </c>
      <c r="D467" s="191">
        <f t="shared" si="46"/>
        <v>6964.2857142857147</v>
      </c>
      <c r="E467" s="191">
        <f t="shared" si="47"/>
        <v>2785.7142857142853</v>
      </c>
      <c r="F467" s="64" t="s">
        <v>41</v>
      </c>
      <c r="G467" s="64">
        <f t="shared" si="48"/>
        <v>29250</v>
      </c>
      <c r="H467" s="177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</row>
    <row r="468" spans="1:33" x14ac:dyDescent="0.2">
      <c r="A468" s="190">
        <v>6</v>
      </c>
      <c r="B468" s="137">
        <v>45789</v>
      </c>
      <c r="C468" s="191">
        <v>9750</v>
      </c>
      <c r="D468" s="191">
        <f t="shared" si="46"/>
        <v>6964.2857142857147</v>
      </c>
      <c r="E468" s="191">
        <f t="shared" si="47"/>
        <v>2785.7142857142853</v>
      </c>
      <c r="F468" s="64" t="s">
        <v>107</v>
      </c>
      <c r="G468" s="64">
        <f t="shared" si="48"/>
        <v>19500</v>
      </c>
      <c r="H468" s="177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</row>
    <row r="469" spans="1:33" x14ac:dyDescent="0.2">
      <c r="A469" s="190">
        <v>7</v>
      </c>
      <c r="B469" s="137">
        <v>45796</v>
      </c>
      <c r="C469" s="191">
        <v>9750</v>
      </c>
      <c r="D469" s="191">
        <f t="shared" si="46"/>
        <v>6964.2857142857147</v>
      </c>
      <c r="E469" s="191">
        <f t="shared" si="47"/>
        <v>2785.7142857142853</v>
      </c>
      <c r="F469" s="64" t="s">
        <v>107</v>
      </c>
      <c r="G469" s="64">
        <f t="shared" si="48"/>
        <v>9750</v>
      </c>
      <c r="H469" s="177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</row>
    <row r="470" spans="1:33" x14ac:dyDescent="0.2">
      <c r="A470" s="190">
        <v>8</v>
      </c>
      <c r="B470" s="137">
        <v>45803</v>
      </c>
      <c r="C470" s="191">
        <v>9750</v>
      </c>
      <c r="D470" s="191">
        <f t="shared" si="46"/>
        <v>6964.2857142857147</v>
      </c>
      <c r="E470" s="191">
        <f t="shared" si="47"/>
        <v>2785.7142857142853</v>
      </c>
      <c r="F470" s="64" t="s">
        <v>107</v>
      </c>
      <c r="G470" s="64">
        <f t="shared" si="48"/>
        <v>0</v>
      </c>
      <c r="H470" s="177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</row>
    <row r="471" spans="1:33" x14ac:dyDescent="0.2">
      <c r="A471" s="190">
        <v>9</v>
      </c>
      <c r="B471" s="137">
        <v>45810</v>
      </c>
      <c r="C471" s="191"/>
      <c r="D471" s="191">
        <f t="shared" si="46"/>
        <v>0</v>
      </c>
      <c r="E471" s="191">
        <f t="shared" si="47"/>
        <v>0</v>
      </c>
      <c r="F471" s="64" t="s">
        <v>107</v>
      </c>
      <c r="G471" s="64">
        <f t="shared" si="48"/>
        <v>0</v>
      </c>
      <c r="H471" s="177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</row>
    <row r="472" spans="1:33" x14ac:dyDescent="0.2">
      <c r="A472" s="190">
        <v>10</v>
      </c>
      <c r="B472" s="137"/>
      <c r="C472" s="191"/>
      <c r="D472" s="191">
        <f t="shared" si="46"/>
        <v>0</v>
      </c>
      <c r="E472" s="191">
        <f t="shared" si="47"/>
        <v>0</v>
      </c>
      <c r="F472" s="64"/>
      <c r="G472" s="64">
        <f t="shared" si="48"/>
        <v>0</v>
      </c>
      <c r="H472" s="177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</row>
    <row r="473" spans="1:33" x14ac:dyDescent="0.2">
      <c r="A473" s="192"/>
      <c r="B473" s="193"/>
      <c r="C473" s="194"/>
      <c r="D473" s="142">
        <f>SUMIFS(D463:D472, F463:F472, "Y")</f>
        <v>34821.428571428572</v>
      </c>
      <c r="E473" s="142">
        <f>SUMIFS(E463:E472, F463:F472, "Y")</f>
        <v>13928.571428571428</v>
      </c>
      <c r="F473" s="143">
        <f>(SUMIFS(D463:D472, F463:F472, "Y") + SUMIFS(E463:E472, F463:F472, "Y"))</f>
        <v>48750</v>
      </c>
      <c r="G473" s="194"/>
      <c r="H473" s="195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</row>
    <row r="474" spans="1:33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</row>
    <row r="475" spans="1:33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</row>
    <row r="476" spans="1:33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</row>
    <row r="477" spans="1:33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</row>
    <row r="478" spans="1:33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</row>
    <row r="479" spans="1:33" x14ac:dyDescent="0.2">
      <c r="A479" s="256">
        <v>18</v>
      </c>
      <c r="B479" s="257"/>
      <c r="C479" s="118"/>
      <c r="D479" s="119"/>
      <c r="E479" s="119"/>
      <c r="F479" s="119"/>
      <c r="G479" s="119"/>
      <c r="H479" s="12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</row>
    <row r="480" spans="1:33" x14ac:dyDescent="0.2">
      <c r="A480" s="258" t="s">
        <v>7</v>
      </c>
      <c r="B480" s="259"/>
      <c r="C480" s="121">
        <v>30000</v>
      </c>
      <c r="D480" s="152"/>
      <c r="E480" s="30"/>
      <c r="F480" s="30"/>
      <c r="G480" s="30"/>
      <c r="H480" s="123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</row>
    <row r="481" spans="1:33" x14ac:dyDescent="0.2">
      <c r="A481" s="258" t="s">
        <v>8</v>
      </c>
      <c r="B481" s="259"/>
      <c r="C481" s="124" t="s">
        <v>316</v>
      </c>
      <c r="D481" s="30"/>
      <c r="E481" s="49"/>
      <c r="F481" s="49"/>
      <c r="G481" s="49"/>
      <c r="H481" s="125" t="s">
        <v>10</v>
      </c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</row>
    <row r="482" spans="1:33" x14ac:dyDescent="0.2">
      <c r="A482" s="258" t="s">
        <v>103</v>
      </c>
      <c r="B482" s="259"/>
      <c r="C482" s="50">
        <v>6000</v>
      </c>
      <c r="D482" s="107"/>
      <c r="E482" s="260" t="s">
        <v>14</v>
      </c>
      <c r="F482" s="126" t="s">
        <v>15</v>
      </c>
      <c r="G482" s="50">
        <v>0</v>
      </c>
      <c r="H482" s="127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</row>
    <row r="483" spans="1:33" x14ac:dyDescent="0.2">
      <c r="A483" s="258" t="s">
        <v>17</v>
      </c>
      <c r="B483" s="259"/>
      <c r="C483" s="50">
        <v>2</v>
      </c>
      <c r="D483" s="66"/>
      <c r="E483" s="261"/>
      <c r="F483" s="126" t="s">
        <v>18</v>
      </c>
      <c r="G483" s="50">
        <v>30000</v>
      </c>
      <c r="H483" s="127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</row>
    <row r="484" spans="1:33" x14ac:dyDescent="0.2">
      <c r="A484" s="258" t="s">
        <v>20</v>
      </c>
      <c r="B484" s="259"/>
      <c r="C484" s="50">
        <f>C482*C483</f>
        <v>12000</v>
      </c>
      <c r="D484" s="30"/>
      <c r="E484" s="128"/>
      <c r="F484" s="30"/>
      <c r="G484" s="66"/>
      <c r="H484" s="123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</row>
    <row r="485" spans="1:33" x14ac:dyDescent="0.2">
      <c r="A485" s="258" t="s">
        <v>22</v>
      </c>
      <c r="B485" s="259"/>
      <c r="C485" s="121">
        <f>C480+C484</f>
        <v>42000</v>
      </c>
      <c r="D485" s="30"/>
      <c r="E485" s="30"/>
      <c r="F485" s="30"/>
      <c r="G485" s="30"/>
      <c r="H485" s="123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</row>
    <row r="486" spans="1:33" x14ac:dyDescent="0.2">
      <c r="A486" s="258" t="s">
        <v>24</v>
      </c>
      <c r="B486" s="259"/>
      <c r="C486" s="129">
        <v>700</v>
      </c>
      <c r="D486" s="152" t="s">
        <v>208</v>
      </c>
      <c r="E486" s="30"/>
      <c r="F486" s="30"/>
      <c r="G486" s="30"/>
      <c r="H486" s="123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</row>
    <row r="487" spans="1:33" x14ac:dyDescent="0.2">
      <c r="A487" s="258" t="s">
        <v>28</v>
      </c>
      <c r="B487" s="259"/>
      <c r="C487" s="130" t="s">
        <v>154</v>
      </c>
      <c r="D487" s="30"/>
      <c r="E487" s="30"/>
      <c r="F487" s="30"/>
      <c r="G487" s="30"/>
      <c r="H487" s="123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</row>
    <row r="488" spans="1:33" x14ac:dyDescent="0.2">
      <c r="A488" s="134" t="s">
        <v>31</v>
      </c>
      <c r="B488" s="166" t="s">
        <v>106</v>
      </c>
      <c r="C488" s="126" t="s">
        <v>33</v>
      </c>
      <c r="D488" s="126" t="s">
        <v>34</v>
      </c>
      <c r="E488" s="126" t="s">
        <v>35</v>
      </c>
      <c r="F488" s="126" t="s">
        <v>36</v>
      </c>
      <c r="G488" s="126" t="s">
        <v>37</v>
      </c>
      <c r="H488" s="123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</row>
    <row r="489" spans="1:33" x14ac:dyDescent="0.2">
      <c r="A489" s="134">
        <v>0</v>
      </c>
      <c r="B489" s="135"/>
      <c r="C489" s="135"/>
      <c r="D489" s="135"/>
      <c r="E489" s="135"/>
      <c r="F489" s="135"/>
      <c r="G489" s="50">
        <f>C485</f>
        <v>42000</v>
      </c>
      <c r="H489" s="123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</row>
    <row r="490" spans="1:33" x14ac:dyDescent="0.2">
      <c r="A490" s="134">
        <v>1</v>
      </c>
      <c r="B490" s="137">
        <v>45761</v>
      </c>
      <c r="C490" s="50">
        <v>3500</v>
      </c>
      <c r="D490" s="50">
        <f t="shared" ref="D490:D499" si="49">C490/1.4</f>
        <v>2500</v>
      </c>
      <c r="E490" s="50">
        <f t="shared" ref="E490:E499" si="50">C490-D490</f>
        <v>1000</v>
      </c>
      <c r="F490" s="50" t="s">
        <v>41</v>
      </c>
      <c r="G490" s="50">
        <f t="shared" ref="G490:G499" si="51">(G489-C490)</f>
        <v>38500</v>
      </c>
      <c r="H490" s="123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</row>
    <row r="491" spans="1:33" x14ac:dyDescent="0.2">
      <c r="A491" s="134">
        <v>2</v>
      </c>
      <c r="B491" s="137">
        <v>45768</v>
      </c>
      <c r="C491" s="50">
        <v>2800</v>
      </c>
      <c r="D491" s="50">
        <f t="shared" si="49"/>
        <v>2000.0000000000002</v>
      </c>
      <c r="E491" s="50">
        <f t="shared" si="50"/>
        <v>799.99999999999977</v>
      </c>
      <c r="F491" s="50" t="s">
        <v>41</v>
      </c>
      <c r="G491" s="50">
        <f t="shared" si="51"/>
        <v>35700</v>
      </c>
      <c r="H491" s="123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</row>
    <row r="492" spans="1:33" x14ac:dyDescent="0.2">
      <c r="A492" s="134">
        <v>3</v>
      </c>
      <c r="B492" s="137">
        <v>45775</v>
      </c>
      <c r="C492" s="50">
        <v>2800</v>
      </c>
      <c r="D492" s="50">
        <f t="shared" si="49"/>
        <v>2000.0000000000002</v>
      </c>
      <c r="E492" s="50">
        <f t="shared" si="50"/>
        <v>799.99999999999977</v>
      </c>
      <c r="F492" s="50" t="s">
        <v>41</v>
      </c>
      <c r="G492" s="50">
        <f t="shared" si="51"/>
        <v>32900</v>
      </c>
      <c r="H492" s="123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</row>
    <row r="493" spans="1:33" x14ac:dyDescent="0.2">
      <c r="A493" s="134">
        <v>4</v>
      </c>
      <c r="B493" s="137">
        <v>45782</v>
      </c>
      <c r="C493" s="50">
        <v>2800</v>
      </c>
      <c r="D493" s="50">
        <f t="shared" si="49"/>
        <v>2000.0000000000002</v>
      </c>
      <c r="E493" s="50">
        <f t="shared" si="50"/>
        <v>799.99999999999977</v>
      </c>
      <c r="F493" s="50" t="s">
        <v>41</v>
      </c>
      <c r="G493" s="50">
        <f t="shared" si="51"/>
        <v>30100</v>
      </c>
      <c r="H493" s="123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</row>
    <row r="494" spans="1:33" x14ac:dyDescent="0.2">
      <c r="A494" s="134">
        <v>5</v>
      </c>
      <c r="B494" s="137">
        <v>45789</v>
      </c>
      <c r="C494" s="50">
        <v>2800</v>
      </c>
      <c r="D494" s="50">
        <f t="shared" si="49"/>
        <v>2000.0000000000002</v>
      </c>
      <c r="E494" s="50">
        <f t="shared" si="50"/>
        <v>799.99999999999977</v>
      </c>
      <c r="F494" s="50" t="s">
        <v>107</v>
      </c>
      <c r="G494" s="50">
        <f t="shared" si="51"/>
        <v>27300</v>
      </c>
      <c r="H494" s="123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</row>
    <row r="495" spans="1:33" x14ac:dyDescent="0.2">
      <c r="A495" s="134">
        <v>6</v>
      </c>
      <c r="B495" s="137">
        <v>45796</v>
      </c>
      <c r="C495" s="50"/>
      <c r="D495" s="50">
        <f t="shared" si="49"/>
        <v>0</v>
      </c>
      <c r="E495" s="50">
        <f t="shared" si="50"/>
        <v>0</v>
      </c>
      <c r="F495" s="50" t="s">
        <v>107</v>
      </c>
      <c r="G495" s="50">
        <f t="shared" si="51"/>
        <v>27300</v>
      </c>
      <c r="H495" s="123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</row>
    <row r="496" spans="1:33" x14ac:dyDescent="0.2">
      <c r="A496" s="134">
        <v>7</v>
      </c>
      <c r="B496" s="137">
        <v>45803</v>
      </c>
      <c r="C496" s="135"/>
      <c r="D496" s="50">
        <f t="shared" si="49"/>
        <v>0</v>
      </c>
      <c r="E496" s="50">
        <f t="shared" si="50"/>
        <v>0</v>
      </c>
      <c r="F496" s="50" t="s">
        <v>107</v>
      </c>
      <c r="G496" s="50">
        <f t="shared" si="51"/>
        <v>27300</v>
      </c>
      <c r="H496" s="123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</row>
    <row r="497" spans="1:33" x14ac:dyDescent="0.2">
      <c r="A497" s="134">
        <v>8</v>
      </c>
      <c r="B497" s="137">
        <v>45810</v>
      </c>
      <c r="C497" s="135"/>
      <c r="D497" s="50">
        <f t="shared" si="49"/>
        <v>0</v>
      </c>
      <c r="E497" s="50">
        <f t="shared" si="50"/>
        <v>0</v>
      </c>
      <c r="F497" s="50" t="s">
        <v>107</v>
      </c>
      <c r="G497" s="50">
        <f t="shared" si="51"/>
        <v>27300</v>
      </c>
      <c r="H497" s="123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</row>
    <row r="498" spans="1:33" x14ac:dyDescent="0.2">
      <c r="A498" s="134">
        <v>9</v>
      </c>
      <c r="B498" s="137"/>
      <c r="C498" s="135"/>
      <c r="D498" s="50">
        <f t="shared" si="49"/>
        <v>0</v>
      </c>
      <c r="E498" s="50">
        <f t="shared" si="50"/>
        <v>0</v>
      </c>
      <c r="F498" s="135"/>
      <c r="G498" s="50">
        <f t="shared" si="51"/>
        <v>27300</v>
      </c>
      <c r="H498" s="123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</row>
    <row r="499" spans="1:33" x14ac:dyDescent="0.2">
      <c r="A499" s="134">
        <v>10</v>
      </c>
      <c r="B499" s="137"/>
      <c r="C499" s="135"/>
      <c r="D499" s="50">
        <f t="shared" si="49"/>
        <v>0</v>
      </c>
      <c r="E499" s="50">
        <f t="shared" si="50"/>
        <v>0</v>
      </c>
      <c r="F499" s="135"/>
      <c r="G499" s="50">
        <f t="shared" si="51"/>
        <v>27300</v>
      </c>
      <c r="H499" s="123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</row>
    <row r="500" spans="1:33" x14ac:dyDescent="0.2">
      <c r="A500" s="138"/>
      <c r="B500" s="139"/>
      <c r="C500" s="140"/>
      <c r="D500" s="141">
        <f>SUMIFS(D490:D499, F490:F499, "Y")</f>
        <v>8500</v>
      </c>
      <c r="E500" s="141">
        <f>SUMIFS(E490:E499, F490:F499, "Y")</f>
        <v>3399.9999999999991</v>
      </c>
      <c r="F500" s="167">
        <f>(SUMIFS(D490:D499, F490:F499, "Y") + SUMIFS(E490:E499, F490:F499, "Y"))</f>
        <v>11900</v>
      </c>
      <c r="G500" s="140"/>
      <c r="H500" s="144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</row>
    <row r="501" spans="1:33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</row>
    <row r="502" spans="1:33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</row>
    <row r="503" spans="1:33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</row>
    <row r="504" spans="1:33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</row>
    <row r="505" spans="1:33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</row>
    <row r="506" spans="1:33" x14ac:dyDescent="0.2">
      <c r="A506" s="256">
        <v>19</v>
      </c>
      <c r="B506" s="257"/>
      <c r="C506" s="119"/>
      <c r="D506" s="119"/>
      <c r="E506" s="119"/>
      <c r="F506" s="119"/>
      <c r="G506" s="119"/>
      <c r="H506" s="12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</row>
    <row r="507" spans="1:33" x14ac:dyDescent="0.2">
      <c r="A507" s="258" t="s">
        <v>7</v>
      </c>
      <c r="B507" s="259"/>
      <c r="C507" s="148">
        <v>20000</v>
      </c>
      <c r="D507" s="30"/>
      <c r="E507" s="30"/>
      <c r="F507" s="30"/>
      <c r="G507" s="30"/>
      <c r="H507" s="123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</row>
    <row r="508" spans="1:33" x14ac:dyDescent="0.2">
      <c r="A508" s="258" t="s">
        <v>8</v>
      </c>
      <c r="B508" s="259"/>
      <c r="C508" s="82">
        <v>45754</v>
      </c>
      <c r="D508" s="30"/>
      <c r="E508" s="49"/>
      <c r="F508" s="49"/>
      <c r="G508" s="49"/>
      <c r="H508" s="125" t="s">
        <v>10</v>
      </c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</row>
    <row r="509" spans="1:33" x14ac:dyDescent="0.2">
      <c r="A509" s="258" t="s">
        <v>103</v>
      </c>
      <c r="B509" s="259"/>
      <c r="C509" s="135">
        <v>4000</v>
      </c>
      <c r="D509" s="66"/>
      <c r="E509" s="260" t="s">
        <v>14</v>
      </c>
      <c r="F509" s="126" t="s">
        <v>15</v>
      </c>
      <c r="G509" s="135">
        <v>360</v>
      </c>
      <c r="H509" s="127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</row>
    <row r="510" spans="1:33" x14ac:dyDescent="0.2">
      <c r="A510" s="258" t="s">
        <v>17</v>
      </c>
      <c r="B510" s="259"/>
      <c r="C510" s="50">
        <v>2</v>
      </c>
      <c r="D510" s="66"/>
      <c r="E510" s="261"/>
      <c r="F510" s="126" t="s">
        <v>18</v>
      </c>
      <c r="G510" s="50">
        <v>19640</v>
      </c>
      <c r="H510" s="127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</row>
    <row r="511" spans="1:33" x14ac:dyDescent="0.2">
      <c r="A511" s="258" t="s">
        <v>20</v>
      </c>
      <c r="B511" s="259"/>
      <c r="C511" s="50">
        <f>C509*C510</f>
        <v>8000</v>
      </c>
      <c r="D511" s="30"/>
      <c r="E511" s="128"/>
      <c r="F511" s="30"/>
      <c r="G511" s="66"/>
      <c r="H511" s="123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</row>
    <row r="512" spans="1:33" x14ac:dyDescent="0.2">
      <c r="A512" s="258" t="s">
        <v>22</v>
      </c>
      <c r="B512" s="259"/>
      <c r="C512" s="121">
        <f>C507+C511</f>
        <v>28000</v>
      </c>
      <c r="D512" s="30"/>
      <c r="E512" s="30"/>
      <c r="F512" s="30"/>
      <c r="G512" s="30"/>
      <c r="H512" s="123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</row>
    <row r="513" spans="1:33" x14ac:dyDescent="0.2">
      <c r="A513" s="258" t="s">
        <v>154</v>
      </c>
      <c r="B513" s="259"/>
      <c r="C513" s="146">
        <v>500</v>
      </c>
      <c r="D513" s="66" t="s">
        <v>208</v>
      </c>
      <c r="E513" s="30"/>
      <c r="F513" s="30"/>
      <c r="G513" s="30"/>
      <c r="H513" s="123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</row>
    <row r="514" spans="1:33" x14ac:dyDescent="0.2">
      <c r="A514" s="258" t="s">
        <v>28</v>
      </c>
      <c r="B514" s="259"/>
      <c r="C514" s="130" t="s">
        <v>29</v>
      </c>
      <c r="D514" s="30"/>
      <c r="E514" s="30"/>
      <c r="F514" s="30"/>
      <c r="G514" s="30"/>
      <c r="H514" s="123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</row>
    <row r="515" spans="1:33" x14ac:dyDescent="0.2">
      <c r="A515" s="134" t="s">
        <v>31</v>
      </c>
      <c r="B515" s="166" t="s">
        <v>106</v>
      </c>
      <c r="C515" s="126" t="s">
        <v>33</v>
      </c>
      <c r="D515" s="126" t="s">
        <v>34</v>
      </c>
      <c r="E515" s="126" t="s">
        <v>35</v>
      </c>
      <c r="F515" s="126" t="s">
        <v>36</v>
      </c>
      <c r="G515" s="126" t="s">
        <v>37</v>
      </c>
      <c r="H515" s="123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</row>
    <row r="516" spans="1:33" x14ac:dyDescent="0.2">
      <c r="A516" s="134">
        <v>0</v>
      </c>
      <c r="B516" s="135"/>
      <c r="C516" s="135"/>
      <c r="D516" s="135"/>
      <c r="E516" s="135"/>
      <c r="F516" s="135"/>
      <c r="G516" s="50">
        <f>C512</f>
        <v>28000</v>
      </c>
      <c r="H516" s="123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</row>
    <row r="517" spans="1:33" x14ac:dyDescent="0.2">
      <c r="A517" s="134">
        <v>1</v>
      </c>
      <c r="B517" s="137">
        <v>45761</v>
      </c>
      <c r="C517" s="135">
        <v>2000</v>
      </c>
      <c r="D517" s="135">
        <f t="shared" ref="D517:D526" si="52">C517/1.4</f>
        <v>1428.5714285714287</v>
      </c>
      <c r="E517" s="135">
        <f t="shared" ref="E517:E526" si="53">C517-D517</f>
        <v>571.42857142857133</v>
      </c>
      <c r="F517" s="50" t="s">
        <v>41</v>
      </c>
      <c r="G517" s="50">
        <f t="shared" ref="G517:G526" si="54">(G516-C517)</f>
        <v>26000</v>
      </c>
      <c r="H517" s="123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</row>
    <row r="518" spans="1:33" x14ac:dyDescent="0.2">
      <c r="A518" s="134">
        <v>2</v>
      </c>
      <c r="B518" s="137">
        <v>45768</v>
      </c>
      <c r="C518" s="135">
        <v>2000</v>
      </c>
      <c r="D518" s="135">
        <f t="shared" si="52"/>
        <v>1428.5714285714287</v>
      </c>
      <c r="E518" s="135">
        <f t="shared" si="53"/>
        <v>571.42857142857133</v>
      </c>
      <c r="F518" s="50" t="s">
        <v>41</v>
      </c>
      <c r="G518" s="50">
        <f t="shared" si="54"/>
        <v>24000</v>
      </c>
      <c r="H518" s="123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</row>
    <row r="519" spans="1:33" x14ac:dyDescent="0.2">
      <c r="A519" s="134">
        <v>3</v>
      </c>
      <c r="B519" s="137">
        <v>45775</v>
      </c>
      <c r="C519" s="135">
        <v>2500</v>
      </c>
      <c r="D519" s="135">
        <f t="shared" si="52"/>
        <v>1785.7142857142858</v>
      </c>
      <c r="E519" s="135">
        <f t="shared" si="53"/>
        <v>714.28571428571422</v>
      </c>
      <c r="F519" s="50" t="s">
        <v>41</v>
      </c>
      <c r="G519" s="50">
        <f t="shared" si="54"/>
        <v>21500</v>
      </c>
      <c r="H519" s="123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</row>
    <row r="520" spans="1:33" x14ac:dyDescent="0.2">
      <c r="A520" s="134">
        <v>4</v>
      </c>
      <c r="B520" s="137">
        <v>45782</v>
      </c>
      <c r="C520" s="135">
        <v>3000</v>
      </c>
      <c r="D520" s="135">
        <f t="shared" si="52"/>
        <v>2142.8571428571431</v>
      </c>
      <c r="E520" s="135">
        <f t="shared" si="53"/>
        <v>857.14285714285688</v>
      </c>
      <c r="F520" s="50" t="s">
        <v>41</v>
      </c>
      <c r="G520" s="50">
        <f t="shared" si="54"/>
        <v>18500</v>
      </c>
      <c r="H520" s="123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</row>
    <row r="521" spans="1:33" x14ac:dyDescent="0.2">
      <c r="A521" s="134">
        <v>5</v>
      </c>
      <c r="B521" s="137">
        <v>45789</v>
      </c>
      <c r="C521" s="135">
        <v>3000</v>
      </c>
      <c r="D521" s="135">
        <f t="shared" si="52"/>
        <v>2142.8571428571431</v>
      </c>
      <c r="E521" s="135">
        <f t="shared" si="53"/>
        <v>857.14285714285688</v>
      </c>
      <c r="F521" s="50" t="s">
        <v>107</v>
      </c>
      <c r="G521" s="50">
        <f t="shared" si="54"/>
        <v>15500</v>
      </c>
      <c r="H521" s="123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</row>
    <row r="522" spans="1:33" x14ac:dyDescent="0.2">
      <c r="A522" s="134">
        <v>6</v>
      </c>
      <c r="B522" s="137">
        <v>45796</v>
      </c>
      <c r="C522" s="135">
        <v>3000</v>
      </c>
      <c r="D522" s="135">
        <f t="shared" si="52"/>
        <v>2142.8571428571431</v>
      </c>
      <c r="E522" s="135">
        <f t="shared" si="53"/>
        <v>857.14285714285688</v>
      </c>
      <c r="F522" s="50" t="s">
        <v>107</v>
      </c>
      <c r="G522" s="50">
        <f t="shared" si="54"/>
        <v>12500</v>
      </c>
      <c r="H522" s="123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</row>
    <row r="523" spans="1:33" x14ac:dyDescent="0.2">
      <c r="A523" s="134">
        <v>7</v>
      </c>
      <c r="B523" s="137">
        <v>45803</v>
      </c>
      <c r="C523" s="135">
        <v>3000</v>
      </c>
      <c r="D523" s="135">
        <f t="shared" si="52"/>
        <v>2142.8571428571431</v>
      </c>
      <c r="E523" s="135">
        <f t="shared" si="53"/>
        <v>857.14285714285688</v>
      </c>
      <c r="F523" s="50" t="s">
        <v>107</v>
      </c>
      <c r="G523" s="50">
        <f t="shared" si="54"/>
        <v>9500</v>
      </c>
      <c r="H523" s="123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</row>
    <row r="524" spans="1:33" x14ac:dyDescent="0.2">
      <c r="A524" s="134">
        <v>8</v>
      </c>
      <c r="B524" s="137">
        <v>45810</v>
      </c>
      <c r="C524" s="135">
        <v>3000</v>
      </c>
      <c r="D524" s="135">
        <f t="shared" si="52"/>
        <v>2142.8571428571431</v>
      </c>
      <c r="E524" s="135">
        <f t="shared" si="53"/>
        <v>857.14285714285688</v>
      </c>
      <c r="F524" s="50" t="s">
        <v>107</v>
      </c>
      <c r="G524" s="50">
        <f t="shared" si="54"/>
        <v>6500</v>
      </c>
      <c r="H524" s="123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</row>
    <row r="525" spans="1:33" x14ac:dyDescent="0.2">
      <c r="A525" s="134">
        <v>9</v>
      </c>
      <c r="B525" s="137">
        <v>45817</v>
      </c>
      <c r="C525" s="135">
        <v>3000</v>
      </c>
      <c r="D525" s="135">
        <f t="shared" si="52"/>
        <v>2142.8571428571431</v>
      </c>
      <c r="E525" s="135">
        <f t="shared" si="53"/>
        <v>857.14285714285688</v>
      </c>
      <c r="F525" s="50" t="s">
        <v>107</v>
      </c>
      <c r="G525" s="50">
        <f t="shared" si="54"/>
        <v>3500</v>
      </c>
      <c r="H525" s="123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</row>
    <row r="526" spans="1:33" x14ac:dyDescent="0.2">
      <c r="A526" s="134">
        <v>10</v>
      </c>
      <c r="B526" s="137">
        <v>45824</v>
      </c>
      <c r="C526" s="135">
        <v>3500</v>
      </c>
      <c r="D526" s="135">
        <f t="shared" si="52"/>
        <v>2500</v>
      </c>
      <c r="E526" s="135">
        <f t="shared" si="53"/>
        <v>1000</v>
      </c>
      <c r="F526" s="135"/>
      <c r="G526" s="50">
        <f t="shared" si="54"/>
        <v>0</v>
      </c>
      <c r="H526" s="123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</row>
    <row r="527" spans="1:33" x14ac:dyDescent="0.2">
      <c r="A527" s="138"/>
      <c r="B527" s="139"/>
      <c r="C527" s="140"/>
      <c r="D527" s="141">
        <f>SUMIFS(D517:D526, F517:F526, "Y")</f>
        <v>6785.7142857142862</v>
      </c>
      <c r="E527" s="141">
        <f>SUMIFS(E517:E526, F517:F526, "Y")</f>
        <v>2714.2857142857138</v>
      </c>
      <c r="F527" s="167">
        <f>(SUMIFS(D517:D526, F517:F526, "Y") + SUMIFS(E517:E526, F517:F526, "Y"))</f>
        <v>9500</v>
      </c>
      <c r="G527" s="140"/>
      <c r="H527" s="144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</row>
    <row r="528" spans="1:33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</row>
    <row r="529" spans="1:33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</row>
    <row r="530" spans="1:33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</row>
    <row r="531" spans="1:33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</row>
    <row r="532" spans="1:33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</row>
    <row r="533" spans="1:33" x14ac:dyDescent="0.2">
      <c r="A533" s="256">
        <v>20</v>
      </c>
      <c r="B533" s="257"/>
      <c r="C533" s="241" t="s">
        <v>185</v>
      </c>
      <c r="D533" s="223"/>
      <c r="E533" s="173"/>
      <c r="F533" s="173"/>
      <c r="G533" s="173"/>
      <c r="H533" s="174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</row>
    <row r="534" spans="1:33" x14ac:dyDescent="0.2">
      <c r="A534" s="263" t="s">
        <v>7</v>
      </c>
      <c r="B534" s="259"/>
      <c r="C534" s="175">
        <v>30000</v>
      </c>
      <c r="D534" s="185"/>
      <c r="E534" s="176"/>
      <c r="F534" s="176"/>
      <c r="G534" s="176"/>
      <c r="H534" s="177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</row>
    <row r="535" spans="1:33" x14ac:dyDescent="0.2">
      <c r="A535" s="263" t="s">
        <v>8</v>
      </c>
      <c r="B535" s="259"/>
      <c r="C535" s="178" t="s">
        <v>317</v>
      </c>
      <c r="D535" s="185"/>
      <c r="E535" s="179"/>
      <c r="F535" s="179"/>
      <c r="G535" s="179"/>
      <c r="H535" s="180" t="s">
        <v>10</v>
      </c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</row>
    <row r="536" spans="1:33" x14ac:dyDescent="0.2">
      <c r="A536" s="263" t="s">
        <v>103</v>
      </c>
      <c r="B536" s="259"/>
      <c r="C536" s="64">
        <v>6000</v>
      </c>
      <c r="D536" s="181"/>
      <c r="E536" s="264" t="s">
        <v>14</v>
      </c>
      <c r="F536" s="182" t="s">
        <v>15</v>
      </c>
      <c r="G536" s="64">
        <v>0</v>
      </c>
      <c r="H536" s="224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</row>
    <row r="537" spans="1:33" x14ac:dyDescent="0.2">
      <c r="A537" s="263" t="s">
        <v>17</v>
      </c>
      <c r="B537" s="259"/>
      <c r="C537" s="64">
        <v>1</v>
      </c>
      <c r="D537" s="181"/>
      <c r="E537" s="261"/>
      <c r="F537" s="182" t="s">
        <v>18</v>
      </c>
      <c r="G537" s="64">
        <v>30000</v>
      </c>
      <c r="H537" s="224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</row>
    <row r="538" spans="1:33" x14ac:dyDescent="0.2">
      <c r="A538" s="263" t="s">
        <v>20</v>
      </c>
      <c r="B538" s="259"/>
      <c r="C538" s="64">
        <f>C536*C537</f>
        <v>6000</v>
      </c>
      <c r="D538" s="185"/>
      <c r="E538" s="225"/>
      <c r="F538" s="176"/>
      <c r="G538" s="226"/>
      <c r="H538" s="177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</row>
    <row r="539" spans="1:33" x14ac:dyDescent="0.2">
      <c r="A539" s="263" t="s">
        <v>22</v>
      </c>
      <c r="B539" s="259"/>
      <c r="C539" s="175">
        <f>C534+C538</f>
        <v>36000</v>
      </c>
      <c r="D539" s="185"/>
      <c r="E539" s="176"/>
      <c r="F539" s="176"/>
      <c r="G539" s="176"/>
      <c r="H539" s="177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</row>
    <row r="540" spans="1:33" x14ac:dyDescent="0.2">
      <c r="A540" s="263" t="s">
        <v>187</v>
      </c>
      <c r="B540" s="259"/>
      <c r="C540" s="188"/>
      <c r="D540" s="170"/>
      <c r="E540" s="176"/>
      <c r="F540" s="176"/>
      <c r="G540" s="176"/>
      <c r="H540" s="177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</row>
    <row r="541" spans="1:33" x14ac:dyDescent="0.2">
      <c r="A541" s="263" t="s">
        <v>28</v>
      </c>
      <c r="B541" s="259"/>
      <c r="C541" s="189" t="s">
        <v>188</v>
      </c>
      <c r="D541" s="176"/>
      <c r="E541" s="176"/>
      <c r="F541" s="176"/>
      <c r="G541" s="176"/>
      <c r="H541" s="177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</row>
    <row r="542" spans="1:33" x14ac:dyDescent="0.2">
      <c r="A542" s="190" t="s">
        <v>31</v>
      </c>
      <c r="B542" s="183" t="s">
        <v>106</v>
      </c>
      <c r="C542" s="182" t="s">
        <v>33</v>
      </c>
      <c r="D542" s="182" t="s">
        <v>34</v>
      </c>
      <c r="E542" s="182" t="s">
        <v>35</v>
      </c>
      <c r="F542" s="182" t="s">
        <v>36</v>
      </c>
      <c r="G542" s="182" t="s">
        <v>37</v>
      </c>
      <c r="H542" s="177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</row>
    <row r="543" spans="1:33" x14ac:dyDescent="0.2">
      <c r="A543" s="190">
        <v>0</v>
      </c>
      <c r="B543" s="191"/>
      <c r="C543" s="191"/>
      <c r="D543" s="191"/>
      <c r="E543" s="191"/>
      <c r="F543" s="191"/>
      <c r="G543" s="64">
        <f>C539</f>
        <v>36000</v>
      </c>
      <c r="H543" s="177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</row>
    <row r="544" spans="1:33" x14ac:dyDescent="0.2">
      <c r="A544" s="190">
        <v>1</v>
      </c>
      <c r="B544" s="227">
        <v>45779</v>
      </c>
      <c r="C544" s="64">
        <v>0</v>
      </c>
      <c r="D544" s="64">
        <f t="shared" ref="D544:D545" si="55">C544/1.2</f>
        <v>0</v>
      </c>
      <c r="E544" s="64">
        <f t="shared" ref="E544:E553" si="56">C544-D544</f>
        <v>0</v>
      </c>
      <c r="F544" s="64" t="s">
        <v>168</v>
      </c>
      <c r="G544" s="64">
        <f t="shared" ref="G544:G551" si="57">(G543-C544)</f>
        <v>36000</v>
      </c>
      <c r="H544" s="177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</row>
    <row r="545" spans="1:33" x14ac:dyDescent="0.2">
      <c r="A545" s="134">
        <v>2</v>
      </c>
      <c r="B545" s="136">
        <v>45785</v>
      </c>
      <c r="C545" s="50">
        <v>18000</v>
      </c>
      <c r="D545" s="50">
        <f t="shared" si="55"/>
        <v>15000</v>
      </c>
      <c r="E545" s="50">
        <f t="shared" si="56"/>
        <v>3000</v>
      </c>
      <c r="F545" s="50" t="s">
        <v>107</v>
      </c>
      <c r="G545" s="50">
        <f t="shared" si="57"/>
        <v>18000</v>
      </c>
      <c r="H545" s="242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</row>
    <row r="546" spans="1:33" x14ac:dyDescent="0.2">
      <c r="A546" s="190">
        <v>3</v>
      </c>
      <c r="B546" s="136">
        <v>45794</v>
      </c>
      <c r="C546" s="50">
        <v>18000</v>
      </c>
      <c r="D546" s="64">
        <f t="shared" ref="D546:D553" si="58">C546/1.4</f>
        <v>12857.142857142859</v>
      </c>
      <c r="E546" s="64">
        <f t="shared" si="56"/>
        <v>5142.8571428571413</v>
      </c>
      <c r="F546" s="64" t="s">
        <v>107</v>
      </c>
      <c r="G546" s="64">
        <f t="shared" si="57"/>
        <v>0</v>
      </c>
      <c r="H546" s="177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</row>
    <row r="547" spans="1:33" x14ac:dyDescent="0.2">
      <c r="A547" s="190">
        <v>4</v>
      </c>
      <c r="B547" s="182"/>
      <c r="C547" s="64"/>
      <c r="D547" s="64">
        <f t="shared" si="58"/>
        <v>0</v>
      </c>
      <c r="E547" s="64">
        <f t="shared" si="56"/>
        <v>0</v>
      </c>
      <c r="F547" s="64" t="s">
        <v>107</v>
      </c>
      <c r="G547" s="64">
        <f t="shared" si="57"/>
        <v>0</v>
      </c>
      <c r="H547" s="177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</row>
    <row r="548" spans="1:33" x14ac:dyDescent="0.2">
      <c r="A548" s="190">
        <v>5</v>
      </c>
      <c r="B548" s="182"/>
      <c r="C548" s="64"/>
      <c r="D548" s="64">
        <f t="shared" si="58"/>
        <v>0</v>
      </c>
      <c r="E548" s="64">
        <f t="shared" si="56"/>
        <v>0</v>
      </c>
      <c r="F548" s="64" t="s">
        <v>107</v>
      </c>
      <c r="G548" s="64">
        <f t="shared" si="57"/>
        <v>0</v>
      </c>
      <c r="H548" s="177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</row>
    <row r="549" spans="1:33" x14ac:dyDescent="0.2">
      <c r="A549" s="190">
        <v>6</v>
      </c>
      <c r="B549" s="182"/>
      <c r="C549" s="64"/>
      <c r="D549" s="64">
        <f t="shared" si="58"/>
        <v>0</v>
      </c>
      <c r="E549" s="64">
        <f t="shared" si="56"/>
        <v>0</v>
      </c>
      <c r="F549" s="64" t="s">
        <v>107</v>
      </c>
      <c r="G549" s="64">
        <f t="shared" si="57"/>
        <v>0</v>
      </c>
      <c r="H549" s="177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</row>
    <row r="550" spans="1:33" x14ac:dyDescent="0.2">
      <c r="A550" s="190">
        <v>7</v>
      </c>
      <c r="B550" s="228"/>
      <c r="C550" s="64"/>
      <c r="D550" s="64">
        <f t="shared" si="58"/>
        <v>0</v>
      </c>
      <c r="E550" s="64">
        <f t="shared" si="56"/>
        <v>0</v>
      </c>
      <c r="F550" s="64" t="s">
        <v>107</v>
      </c>
      <c r="G550" s="64">
        <f t="shared" si="57"/>
        <v>0</v>
      </c>
      <c r="H550" s="177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</row>
    <row r="551" spans="1:33" x14ac:dyDescent="0.2">
      <c r="A551" s="190">
        <v>8</v>
      </c>
      <c r="B551" s="243"/>
      <c r="C551" s="64"/>
      <c r="D551" s="64">
        <f t="shared" si="58"/>
        <v>0</v>
      </c>
      <c r="E551" s="64">
        <f t="shared" si="56"/>
        <v>0</v>
      </c>
      <c r="F551" s="64" t="s">
        <v>107</v>
      </c>
      <c r="G551" s="64">
        <f t="shared" si="57"/>
        <v>0</v>
      </c>
      <c r="H551" s="177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</row>
    <row r="552" spans="1:33" x14ac:dyDescent="0.2">
      <c r="A552" s="190"/>
      <c r="B552" s="243"/>
      <c r="C552" s="191"/>
      <c r="D552" s="64">
        <f t="shared" si="58"/>
        <v>0</v>
      </c>
      <c r="E552" s="64">
        <f t="shared" si="56"/>
        <v>0</v>
      </c>
      <c r="F552" s="191"/>
      <c r="G552" s="191"/>
      <c r="H552" s="177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</row>
    <row r="553" spans="1:33" x14ac:dyDescent="0.2">
      <c r="A553" s="190"/>
      <c r="B553" s="243"/>
      <c r="C553" s="191"/>
      <c r="D553" s="64">
        <f t="shared" si="58"/>
        <v>0</v>
      </c>
      <c r="E553" s="64">
        <f t="shared" si="56"/>
        <v>0</v>
      </c>
      <c r="F553" s="191"/>
      <c r="G553" s="191"/>
      <c r="H553" s="177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</row>
    <row r="554" spans="1:33" x14ac:dyDescent="0.2">
      <c r="A554" s="192"/>
      <c r="B554" s="193"/>
      <c r="C554" s="194"/>
      <c r="D554" s="142">
        <f>SUMIFS(D544:D553, F544:F553, "Y")</f>
        <v>0</v>
      </c>
      <c r="E554" s="142">
        <f>SUMIFS(E544:E553, F544:F553, "Y")</f>
        <v>0</v>
      </c>
      <c r="F554" s="143">
        <f>(SUMIFS(D544:D553, F544:F553, "Y") + SUMIFS(E544:E553, F544:F553, "Y"))</f>
        <v>0</v>
      </c>
      <c r="G554" s="194"/>
      <c r="H554" s="195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</row>
    <row r="555" spans="1:33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</row>
    <row r="556" spans="1:33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</row>
    <row r="557" spans="1:33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</row>
    <row r="558" spans="1:33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</row>
    <row r="559" spans="1:33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</row>
    <row r="560" spans="1:33" x14ac:dyDescent="0.2">
      <c r="A560" s="256">
        <v>21</v>
      </c>
      <c r="B560" s="257"/>
      <c r="C560" s="119"/>
      <c r="D560" s="119"/>
      <c r="E560" s="119"/>
      <c r="F560" s="119"/>
      <c r="G560" s="119"/>
      <c r="H560" s="12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</row>
    <row r="561" spans="1:33" x14ac:dyDescent="0.2">
      <c r="A561" s="258" t="s">
        <v>7</v>
      </c>
      <c r="B561" s="259"/>
      <c r="C561" s="148">
        <v>20000</v>
      </c>
      <c r="D561" s="30"/>
      <c r="E561" s="30"/>
      <c r="F561" s="30"/>
      <c r="G561" s="30"/>
      <c r="H561" s="123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</row>
    <row r="562" spans="1:33" x14ac:dyDescent="0.2">
      <c r="A562" s="258" t="s">
        <v>8</v>
      </c>
      <c r="B562" s="259"/>
      <c r="C562" s="82">
        <v>45768</v>
      </c>
      <c r="D562" s="30"/>
      <c r="E562" s="49"/>
      <c r="F562" s="49"/>
      <c r="G562" s="49"/>
      <c r="H562" s="125" t="s">
        <v>10</v>
      </c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</row>
    <row r="563" spans="1:33" x14ac:dyDescent="0.2">
      <c r="A563" s="258" t="s">
        <v>103</v>
      </c>
      <c r="B563" s="259"/>
      <c r="C563" s="135">
        <v>4000</v>
      </c>
      <c r="D563" s="66"/>
      <c r="E563" s="260" t="s">
        <v>14</v>
      </c>
      <c r="F563" s="126" t="s">
        <v>15</v>
      </c>
      <c r="G563" s="135">
        <v>0</v>
      </c>
      <c r="H563" s="127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</row>
    <row r="564" spans="1:33" x14ac:dyDescent="0.2">
      <c r="A564" s="258" t="s">
        <v>17</v>
      </c>
      <c r="B564" s="259"/>
      <c r="C564" s="50">
        <v>2</v>
      </c>
      <c r="D564" s="66"/>
      <c r="E564" s="261"/>
      <c r="F564" s="126" t="s">
        <v>18</v>
      </c>
      <c r="G564" s="50">
        <v>20000</v>
      </c>
      <c r="H564" s="127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</row>
    <row r="565" spans="1:33" x14ac:dyDescent="0.2">
      <c r="A565" s="258" t="s">
        <v>20</v>
      </c>
      <c r="B565" s="259"/>
      <c r="C565" s="50">
        <f>C563*C564</f>
        <v>8000</v>
      </c>
      <c r="D565" s="30"/>
      <c r="E565" s="128"/>
      <c r="F565" s="30"/>
      <c r="G565" s="66"/>
      <c r="H565" s="123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</row>
    <row r="566" spans="1:33" x14ac:dyDescent="0.2">
      <c r="A566" s="258" t="s">
        <v>22</v>
      </c>
      <c r="B566" s="259"/>
      <c r="C566" s="121">
        <f>C561+C565</f>
        <v>28000</v>
      </c>
      <c r="D566" s="30"/>
      <c r="E566" s="30"/>
      <c r="F566" s="30"/>
      <c r="G566" s="30"/>
      <c r="H566" s="123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</row>
    <row r="567" spans="1:33" x14ac:dyDescent="0.2">
      <c r="A567" s="258" t="s">
        <v>154</v>
      </c>
      <c r="B567" s="259"/>
      <c r="C567" s="146">
        <v>500</v>
      </c>
      <c r="D567" s="66" t="s">
        <v>213</v>
      </c>
      <c r="E567" s="30"/>
      <c r="F567" s="30"/>
      <c r="G567" s="30"/>
      <c r="H567" s="123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</row>
    <row r="568" spans="1:33" x14ac:dyDescent="0.2">
      <c r="A568" s="258" t="s">
        <v>28</v>
      </c>
      <c r="B568" s="259"/>
      <c r="C568" s="130" t="s">
        <v>29</v>
      </c>
      <c r="D568" s="30"/>
      <c r="E568" s="30"/>
      <c r="F568" s="30"/>
      <c r="G568" s="30"/>
      <c r="H568" s="123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</row>
    <row r="569" spans="1:33" x14ac:dyDescent="0.2">
      <c r="A569" s="134" t="s">
        <v>31</v>
      </c>
      <c r="B569" s="166" t="s">
        <v>106</v>
      </c>
      <c r="C569" s="126" t="s">
        <v>33</v>
      </c>
      <c r="D569" s="126" t="s">
        <v>34</v>
      </c>
      <c r="E569" s="126" t="s">
        <v>35</v>
      </c>
      <c r="F569" s="126" t="s">
        <v>36</v>
      </c>
      <c r="G569" s="126" t="s">
        <v>37</v>
      </c>
      <c r="H569" s="123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</row>
    <row r="570" spans="1:33" x14ac:dyDescent="0.2">
      <c r="A570" s="134">
        <v>0</v>
      </c>
      <c r="B570" s="135"/>
      <c r="C570" s="135"/>
      <c r="D570" s="135"/>
      <c r="E570" s="135"/>
      <c r="F570" s="135"/>
      <c r="G570" s="50">
        <f>C566</f>
        <v>28000</v>
      </c>
      <c r="H570" s="123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</row>
    <row r="571" spans="1:33" x14ac:dyDescent="0.2">
      <c r="A571" s="134">
        <v>1</v>
      </c>
      <c r="B571" s="137">
        <v>45775</v>
      </c>
      <c r="C571" s="135">
        <v>2000</v>
      </c>
      <c r="D571" s="135">
        <f t="shared" ref="D571:D580" si="59">C571/1.4</f>
        <v>1428.5714285714287</v>
      </c>
      <c r="E571" s="135">
        <f t="shared" ref="E571:E580" si="60">C571-D571</f>
        <v>571.42857142857133</v>
      </c>
      <c r="F571" s="50" t="s">
        <v>41</v>
      </c>
      <c r="G571" s="50">
        <f t="shared" ref="G571:G579" si="61">(G570-C571)</f>
        <v>26000</v>
      </c>
      <c r="H571" s="123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</row>
    <row r="572" spans="1:33" x14ac:dyDescent="0.2">
      <c r="A572" s="134">
        <v>2</v>
      </c>
      <c r="B572" s="137">
        <v>45782</v>
      </c>
      <c r="C572" s="135">
        <v>2500</v>
      </c>
      <c r="D572" s="135">
        <f t="shared" si="59"/>
        <v>1785.7142857142858</v>
      </c>
      <c r="E572" s="135">
        <f t="shared" si="60"/>
        <v>714.28571428571422</v>
      </c>
      <c r="F572" s="50" t="s">
        <v>41</v>
      </c>
      <c r="G572" s="50">
        <f t="shared" si="61"/>
        <v>23500</v>
      </c>
      <c r="H572" s="123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</row>
    <row r="573" spans="1:33" x14ac:dyDescent="0.2">
      <c r="A573" s="134">
        <v>3</v>
      </c>
      <c r="B573" s="137">
        <v>45789</v>
      </c>
      <c r="C573" s="135">
        <v>2500</v>
      </c>
      <c r="D573" s="135">
        <f t="shared" si="59"/>
        <v>1785.7142857142858</v>
      </c>
      <c r="E573" s="135">
        <f t="shared" si="60"/>
        <v>714.28571428571422</v>
      </c>
      <c r="F573" s="50" t="s">
        <v>107</v>
      </c>
      <c r="G573" s="50">
        <f t="shared" si="61"/>
        <v>21000</v>
      </c>
      <c r="H573" s="123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</row>
    <row r="574" spans="1:33" x14ac:dyDescent="0.2">
      <c r="A574" s="134">
        <v>4</v>
      </c>
      <c r="B574" s="137">
        <v>45796</v>
      </c>
      <c r="C574" s="135"/>
      <c r="D574" s="135">
        <f t="shared" si="59"/>
        <v>0</v>
      </c>
      <c r="E574" s="135">
        <f t="shared" si="60"/>
        <v>0</v>
      </c>
      <c r="F574" s="50" t="s">
        <v>107</v>
      </c>
      <c r="G574" s="50">
        <f t="shared" si="61"/>
        <v>21000</v>
      </c>
      <c r="H574" s="123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</row>
    <row r="575" spans="1:33" x14ac:dyDescent="0.2">
      <c r="A575" s="134">
        <v>5</v>
      </c>
      <c r="B575" s="137">
        <v>45803</v>
      </c>
      <c r="C575" s="135"/>
      <c r="D575" s="135">
        <f t="shared" si="59"/>
        <v>0</v>
      </c>
      <c r="E575" s="135">
        <f t="shared" si="60"/>
        <v>0</v>
      </c>
      <c r="F575" s="50" t="s">
        <v>107</v>
      </c>
      <c r="G575" s="50">
        <f t="shared" si="61"/>
        <v>21000</v>
      </c>
      <c r="H575" s="123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</row>
    <row r="576" spans="1:33" x14ac:dyDescent="0.2">
      <c r="A576" s="134">
        <v>6</v>
      </c>
      <c r="B576" s="137">
        <v>45810</v>
      </c>
      <c r="C576" s="135"/>
      <c r="D576" s="135">
        <f t="shared" si="59"/>
        <v>0</v>
      </c>
      <c r="E576" s="135">
        <f t="shared" si="60"/>
        <v>0</v>
      </c>
      <c r="F576" s="50" t="s">
        <v>107</v>
      </c>
      <c r="G576" s="50">
        <f t="shared" si="61"/>
        <v>21000</v>
      </c>
      <c r="H576" s="123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</row>
    <row r="577" spans="1:33" x14ac:dyDescent="0.2">
      <c r="A577" s="134">
        <v>7</v>
      </c>
      <c r="B577" s="137"/>
      <c r="C577" s="135"/>
      <c r="D577" s="135">
        <f t="shared" si="59"/>
        <v>0</v>
      </c>
      <c r="E577" s="135">
        <f t="shared" si="60"/>
        <v>0</v>
      </c>
      <c r="F577" s="50" t="s">
        <v>107</v>
      </c>
      <c r="G577" s="50">
        <f t="shared" si="61"/>
        <v>21000</v>
      </c>
      <c r="H577" s="123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</row>
    <row r="578" spans="1:33" x14ac:dyDescent="0.2">
      <c r="A578" s="134">
        <v>8</v>
      </c>
      <c r="B578" s="137"/>
      <c r="C578" s="135"/>
      <c r="D578" s="135">
        <f t="shared" si="59"/>
        <v>0</v>
      </c>
      <c r="E578" s="135">
        <f t="shared" si="60"/>
        <v>0</v>
      </c>
      <c r="F578" s="50" t="s">
        <v>107</v>
      </c>
      <c r="G578" s="50">
        <f t="shared" si="61"/>
        <v>21000</v>
      </c>
      <c r="H578" s="123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</row>
    <row r="579" spans="1:33" x14ac:dyDescent="0.2">
      <c r="A579" s="134">
        <v>9</v>
      </c>
      <c r="B579" s="137"/>
      <c r="C579" s="135"/>
      <c r="D579" s="135">
        <f t="shared" si="59"/>
        <v>0</v>
      </c>
      <c r="E579" s="135">
        <f t="shared" si="60"/>
        <v>0</v>
      </c>
      <c r="F579" s="50" t="s">
        <v>107</v>
      </c>
      <c r="G579" s="50">
        <f t="shared" si="61"/>
        <v>21000</v>
      </c>
      <c r="H579" s="123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</row>
    <row r="580" spans="1:33" x14ac:dyDescent="0.2">
      <c r="A580" s="235"/>
      <c r="B580" s="94"/>
      <c r="C580" s="135"/>
      <c r="D580" s="135">
        <f t="shared" si="59"/>
        <v>0</v>
      </c>
      <c r="E580" s="135">
        <f t="shared" si="60"/>
        <v>0</v>
      </c>
      <c r="F580" s="135"/>
      <c r="G580" s="135"/>
      <c r="H580" s="123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</row>
    <row r="581" spans="1:33" x14ac:dyDescent="0.2">
      <c r="A581" s="138"/>
      <c r="B581" s="139"/>
      <c r="C581" s="140"/>
      <c r="D581" s="141">
        <f>SUMIFS(D571:D580, F571:F580, "Y")</f>
        <v>3214.2857142857147</v>
      </c>
      <c r="E581" s="141">
        <f>SUMIFS(E571:E580, F571:F580, "Y")</f>
        <v>1285.7142857142856</v>
      </c>
      <c r="F581" s="167">
        <f>(SUMIFS(D571:D580, F571:F580, "Y") + SUMIFS(E571:E580, F571:F580, "Y"))</f>
        <v>4500</v>
      </c>
      <c r="G581" s="140"/>
      <c r="H581" s="144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</row>
    <row r="582" spans="1:33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</row>
    <row r="583" spans="1:33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</row>
    <row r="584" spans="1:33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</row>
    <row r="585" spans="1:33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</row>
    <row r="586" spans="1:33" x14ac:dyDescent="0.2">
      <c r="A586" s="256">
        <v>22</v>
      </c>
      <c r="B586" s="257"/>
      <c r="C586" s="119"/>
      <c r="D586" s="119"/>
      <c r="E586" s="119"/>
      <c r="F586" s="119"/>
      <c r="G586" s="119"/>
      <c r="H586" s="12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</row>
    <row r="587" spans="1:33" x14ac:dyDescent="0.2">
      <c r="A587" s="258" t="s">
        <v>7</v>
      </c>
      <c r="B587" s="259"/>
      <c r="C587" s="148">
        <v>50000</v>
      </c>
      <c r="D587" s="30"/>
      <c r="E587" s="30"/>
      <c r="F587" s="30"/>
      <c r="G587" s="30"/>
      <c r="H587" s="123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</row>
    <row r="588" spans="1:33" x14ac:dyDescent="0.2">
      <c r="A588" s="258" t="s">
        <v>8</v>
      </c>
      <c r="B588" s="259"/>
      <c r="C588" s="82">
        <v>45782</v>
      </c>
      <c r="D588" s="30"/>
      <c r="E588" s="49"/>
      <c r="F588" s="49"/>
      <c r="G588" s="49"/>
      <c r="H588" s="125" t="s">
        <v>10</v>
      </c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</row>
    <row r="589" spans="1:33" x14ac:dyDescent="0.2">
      <c r="A589" s="258" t="s">
        <v>13</v>
      </c>
      <c r="B589" s="259"/>
      <c r="C589" s="135">
        <v>5000</v>
      </c>
      <c r="D589" s="66"/>
      <c r="E589" s="260" t="s">
        <v>14</v>
      </c>
      <c r="F589" s="126" t="s">
        <v>15</v>
      </c>
      <c r="G589" s="135">
        <v>0</v>
      </c>
      <c r="H589" s="127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</row>
    <row r="590" spans="1:33" x14ac:dyDescent="0.2">
      <c r="A590" s="258" t="s">
        <v>17</v>
      </c>
      <c r="B590" s="259"/>
      <c r="C590" s="50">
        <v>2</v>
      </c>
      <c r="D590" s="66"/>
      <c r="E590" s="261"/>
      <c r="F590" s="126" t="s">
        <v>18</v>
      </c>
      <c r="G590" s="50">
        <v>50000</v>
      </c>
      <c r="H590" s="127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</row>
    <row r="591" spans="1:33" x14ac:dyDescent="0.2">
      <c r="A591" s="258" t="s">
        <v>20</v>
      </c>
      <c r="B591" s="259"/>
      <c r="C591" s="50">
        <f>C589*C590</f>
        <v>10000</v>
      </c>
      <c r="D591" s="30"/>
      <c r="E591" s="128"/>
      <c r="F591" s="30"/>
      <c r="G591" s="66"/>
      <c r="H591" s="123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</row>
    <row r="592" spans="1:33" x14ac:dyDescent="0.2">
      <c r="A592" s="258" t="s">
        <v>22</v>
      </c>
      <c r="B592" s="259"/>
      <c r="C592" s="121">
        <f>C587+C591</f>
        <v>60000</v>
      </c>
      <c r="D592" s="30"/>
      <c r="E592" s="30"/>
      <c r="F592" s="30"/>
      <c r="G592" s="30"/>
      <c r="H592" s="123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</row>
    <row r="593" spans="1:33" x14ac:dyDescent="0.2">
      <c r="A593" s="258" t="s">
        <v>104</v>
      </c>
      <c r="B593" s="259"/>
      <c r="C593" s="146">
        <v>8750</v>
      </c>
      <c r="D593" s="30"/>
      <c r="E593" s="30"/>
      <c r="F593" s="30"/>
      <c r="G593" s="30"/>
      <c r="H593" s="123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</row>
    <row r="594" spans="1:33" x14ac:dyDescent="0.2">
      <c r="A594" s="258" t="s">
        <v>28</v>
      </c>
      <c r="B594" s="259"/>
      <c r="C594" s="130" t="s">
        <v>29</v>
      </c>
      <c r="D594" s="30"/>
      <c r="E594" s="30"/>
      <c r="F594" s="30"/>
      <c r="G594" s="30"/>
      <c r="H594" s="123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</row>
    <row r="595" spans="1:33" x14ac:dyDescent="0.2">
      <c r="A595" s="134" t="s">
        <v>31</v>
      </c>
      <c r="B595" s="166" t="s">
        <v>106</v>
      </c>
      <c r="C595" s="126" t="s">
        <v>33</v>
      </c>
      <c r="D595" s="126" t="s">
        <v>34</v>
      </c>
      <c r="E595" s="126" t="s">
        <v>35</v>
      </c>
      <c r="F595" s="126" t="s">
        <v>36</v>
      </c>
      <c r="G595" s="126" t="s">
        <v>37</v>
      </c>
      <c r="H595" s="123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</row>
    <row r="596" spans="1:33" x14ac:dyDescent="0.2">
      <c r="A596" s="134">
        <v>0</v>
      </c>
      <c r="B596" s="135"/>
      <c r="C596" s="135"/>
      <c r="D596" s="135"/>
      <c r="E596" s="135"/>
      <c r="F596" s="135"/>
      <c r="G596" s="50">
        <f>C592</f>
        <v>60000</v>
      </c>
      <c r="H596" s="123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</row>
    <row r="597" spans="1:33" x14ac:dyDescent="0.2">
      <c r="A597" s="134">
        <v>1</v>
      </c>
      <c r="B597" s="137">
        <v>45789</v>
      </c>
      <c r="C597" s="135">
        <v>8750</v>
      </c>
      <c r="D597" s="135">
        <f t="shared" ref="D597:D606" si="62">C597/1.4</f>
        <v>6250</v>
      </c>
      <c r="E597" s="135">
        <f t="shared" ref="E597:E606" si="63">C597-D597</f>
        <v>2500</v>
      </c>
      <c r="F597" s="50" t="s">
        <v>107</v>
      </c>
      <c r="G597" s="50">
        <f t="shared" ref="G597:G606" si="64">(G596-C597)</f>
        <v>51250</v>
      </c>
      <c r="H597" s="123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</row>
    <row r="598" spans="1:33" x14ac:dyDescent="0.2">
      <c r="A598" s="134">
        <v>2</v>
      </c>
      <c r="B598" s="137">
        <v>45796</v>
      </c>
      <c r="C598" s="135">
        <v>8750</v>
      </c>
      <c r="D598" s="135">
        <f t="shared" si="62"/>
        <v>6250</v>
      </c>
      <c r="E598" s="135">
        <f t="shared" si="63"/>
        <v>2500</v>
      </c>
      <c r="F598" s="50" t="s">
        <v>107</v>
      </c>
      <c r="G598" s="50">
        <f t="shared" si="64"/>
        <v>42500</v>
      </c>
      <c r="H598" s="123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</row>
    <row r="599" spans="1:33" x14ac:dyDescent="0.2">
      <c r="A599" s="134">
        <v>3</v>
      </c>
      <c r="B599" s="137">
        <v>45803</v>
      </c>
      <c r="C599" s="135">
        <v>8750</v>
      </c>
      <c r="D599" s="135">
        <f t="shared" si="62"/>
        <v>6250</v>
      </c>
      <c r="E599" s="135">
        <f t="shared" si="63"/>
        <v>2500</v>
      </c>
      <c r="F599" s="50" t="s">
        <v>107</v>
      </c>
      <c r="G599" s="50">
        <f t="shared" si="64"/>
        <v>33750</v>
      </c>
      <c r="H599" s="123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</row>
    <row r="600" spans="1:33" x14ac:dyDescent="0.2">
      <c r="A600" s="134">
        <v>4</v>
      </c>
      <c r="B600" s="137">
        <v>45810</v>
      </c>
      <c r="C600" s="135">
        <v>8750</v>
      </c>
      <c r="D600" s="135">
        <f t="shared" si="62"/>
        <v>6250</v>
      </c>
      <c r="E600" s="135">
        <f t="shared" si="63"/>
        <v>2500</v>
      </c>
      <c r="F600" s="50" t="s">
        <v>107</v>
      </c>
      <c r="G600" s="50">
        <f t="shared" si="64"/>
        <v>25000</v>
      </c>
      <c r="H600" s="123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</row>
    <row r="601" spans="1:33" x14ac:dyDescent="0.2">
      <c r="A601" s="134">
        <v>5</v>
      </c>
      <c r="B601" s="137">
        <v>45817</v>
      </c>
      <c r="C601" s="135">
        <v>8750</v>
      </c>
      <c r="D601" s="135">
        <f t="shared" si="62"/>
        <v>6250</v>
      </c>
      <c r="E601" s="135">
        <f t="shared" si="63"/>
        <v>2500</v>
      </c>
      <c r="F601" s="50" t="s">
        <v>107</v>
      </c>
      <c r="G601" s="50">
        <f t="shared" si="64"/>
        <v>16250</v>
      </c>
      <c r="H601" s="123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</row>
    <row r="602" spans="1:33" x14ac:dyDescent="0.2">
      <c r="A602" s="134">
        <v>6</v>
      </c>
      <c r="B602" s="137">
        <v>45824</v>
      </c>
      <c r="C602" s="135">
        <v>8750</v>
      </c>
      <c r="D602" s="135">
        <f t="shared" si="62"/>
        <v>6250</v>
      </c>
      <c r="E602" s="135">
        <f t="shared" si="63"/>
        <v>2500</v>
      </c>
      <c r="F602" s="50" t="s">
        <v>107</v>
      </c>
      <c r="G602" s="50">
        <f t="shared" si="64"/>
        <v>7500</v>
      </c>
      <c r="H602" s="244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</row>
    <row r="603" spans="1:33" x14ac:dyDescent="0.2">
      <c r="A603" s="134">
        <v>7</v>
      </c>
      <c r="B603" s="137">
        <v>45831</v>
      </c>
      <c r="C603" s="135">
        <v>8750</v>
      </c>
      <c r="D603" s="135">
        <f t="shared" si="62"/>
        <v>6250</v>
      </c>
      <c r="E603" s="135">
        <f t="shared" si="63"/>
        <v>2500</v>
      </c>
      <c r="F603" s="50" t="s">
        <v>107</v>
      </c>
      <c r="G603" s="50">
        <f t="shared" si="64"/>
        <v>-1250</v>
      </c>
      <c r="H603" s="123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</row>
    <row r="604" spans="1:33" x14ac:dyDescent="0.2">
      <c r="A604" s="134">
        <v>8</v>
      </c>
      <c r="B604" s="137">
        <v>45838</v>
      </c>
      <c r="C604" s="135">
        <v>8750</v>
      </c>
      <c r="D604" s="135">
        <f t="shared" si="62"/>
        <v>6250</v>
      </c>
      <c r="E604" s="135">
        <f t="shared" si="63"/>
        <v>2500</v>
      </c>
      <c r="F604" s="50" t="s">
        <v>107</v>
      </c>
      <c r="G604" s="50">
        <f t="shared" si="64"/>
        <v>-10000</v>
      </c>
      <c r="H604" s="123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</row>
    <row r="605" spans="1:33" x14ac:dyDescent="0.2">
      <c r="A605" s="134">
        <v>9</v>
      </c>
      <c r="B605" s="137"/>
      <c r="C605" s="135"/>
      <c r="D605" s="135">
        <f t="shared" si="62"/>
        <v>0</v>
      </c>
      <c r="E605" s="135">
        <f t="shared" si="63"/>
        <v>0</v>
      </c>
      <c r="F605" s="135"/>
      <c r="G605" s="50">
        <f t="shared" si="64"/>
        <v>-10000</v>
      </c>
      <c r="H605" s="123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</row>
    <row r="606" spans="1:33" x14ac:dyDescent="0.2">
      <c r="A606" s="134">
        <v>10</v>
      </c>
      <c r="B606" s="137"/>
      <c r="C606" s="135"/>
      <c r="D606" s="135">
        <f t="shared" si="62"/>
        <v>0</v>
      </c>
      <c r="E606" s="135">
        <f t="shared" si="63"/>
        <v>0</v>
      </c>
      <c r="F606" s="135"/>
      <c r="G606" s="50">
        <f t="shared" si="64"/>
        <v>-10000</v>
      </c>
      <c r="H606" s="123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</row>
    <row r="607" spans="1:33" x14ac:dyDescent="0.2">
      <c r="A607" s="138"/>
      <c r="B607" s="139"/>
      <c r="C607" s="140"/>
      <c r="D607" s="141">
        <f>SUMIFS(D597:D606, F597:F606, "Y")</f>
        <v>0</v>
      </c>
      <c r="E607" s="141">
        <f>SUMIFS(E597:E606, F597:F606, "Y")</f>
        <v>0</v>
      </c>
      <c r="F607" s="167">
        <f>(SUMIFS(D597:D606, F597:F606, "Y") + SUMIFS(E597:E606, F597:F606, "Y"))</f>
        <v>0</v>
      </c>
      <c r="G607" s="140"/>
      <c r="H607" s="144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</row>
    <row r="608" spans="1:33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</row>
    <row r="609" spans="1:33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</row>
    <row r="610" spans="1:33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</row>
    <row r="611" spans="1:33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</row>
    <row r="612" spans="1:33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</row>
    <row r="613" spans="1:33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</row>
    <row r="614" spans="1:33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</row>
    <row r="615" spans="1:33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</row>
    <row r="616" spans="1:33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</row>
    <row r="617" spans="1:33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</row>
    <row r="618" spans="1:33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</row>
    <row r="619" spans="1:33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</row>
    <row r="620" spans="1:33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</row>
    <row r="621" spans="1:33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</row>
    <row r="622" spans="1:33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</row>
    <row r="623" spans="1:33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</row>
    <row r="624" spans="1:33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</row>
    <row r="625" spans="1:33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</row>
    <row r="626" spans="1:33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</row>
    <row r="627" spans="1:33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</row>
    <row r="628" spans="1:33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</row>
    <row r="629" spans="1:33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</row>
    <row r="630" spans="1:33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</row>
    <row r="631" spans="1:33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</row>
    <row r="632" spans="1:33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</row>
    <row r="633" spans="1:33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</row>
    <row r="634" spans="1:33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</row>
    <row r="635" spans="1:33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</row>
    <row r="636" spans="1:33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</row>
    <row r="637" spans="1:33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</row>
    <row r="638" spans="1:33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</row>
    <row r="639" spans="1:33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</row>
    <row r="640" spans="1:33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</row>
    <row r="641" spans="1:33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</row>
    <row r="642" spans="1:33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</row>
    <row r="643" spans="1:33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</row>
    <row r="644" spans="1:33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</row>
    <row r="645" spans="1:33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</row>
    <row r="646" spans="1:33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</row>
    <row r="647" spans="1:33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</row>
    <row r="648" spans="1:33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</row>
    <row r="649" spans="1:33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</row>
    <row r="650" spans="1:33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</row>
    <row r="651" spans="1:33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</row>
    <row r="652" spans="1:33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</row>
    <row r="653" spans="1:33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</row>
    <row r="654" spans="1:33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</row>
    <row r="655" spans="1:33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</row>
    <row r="656" spans="1:33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</row>
    <row r="657" spans="1:33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</row>
    <row r="658" spans="1:33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</row>
    <row r="659" spans="1:33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</row>
    <row r="660" spans="1:33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</row>
    <row r="661" spans="1:33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</row>
    <row r="662" spans="1:33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</row>
    <row r="663" spans="1:33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</row>
    <row r="664" spans="1:33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</row>
    <row r="665" spans="1:33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</row>
    <row r="666" spans="1:33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</row>
    <row r="667" spans="1:33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</row>
    <row r="668" spans="1:33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</row>
    <row r="669" spans="1:33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</row>
    <row r="670" spans="1:33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</row>
    <row r="671" spans="1:33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</row>
    <row r="672" spans="1:33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</row>
    <row r="673" spans="1:33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</row>
    <row r="674" spans="1:33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</row>
    <row r="675" spans="1:33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</row>
    <row r="676" spans="1:33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</row>
    <row r="677" spans="1:33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</row>
    <row r="678" spans="1:33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</row>
    <row r="679" spans="1:33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</row>
    <row r="680" spans="1:33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</row>
    <row r="681" spans="1:33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</row>
    <row r="682" spans="1:33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</row>
    <row r="683" spans="1:33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</row>
    <row r="684" spans="1:33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</row>
    <row r="685" spans="1:33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</row>
    <row r="686" spans="1:33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</row>
    <row r="687" spans="1:33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</row>
    <row r="688" spans="1:33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</row>
    <row r="689" spans="1:33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</row>
    <row r="690" spans="1:33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</row>
    <row r="691" spans="1:33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</row>
    <row r="692" spans="1:33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</row>
    <row r="693" spans="1:33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</row>
    <row r="694" spans="1:33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</row>
    <row r="695" spans="1:33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</row>
    <row r="696" spans="1:33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</row>
    <row r="697" spans="1:33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</row>
    <row r="698" spans="1:33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</row>
    <row r="699" spans="1:33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</row>
    <row r="700" spans="1:33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</row>
    <row r="701" spans="1:33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</row>
    <row r="702" spans="1:33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</row>
    <row r="703" spans="1:33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</row>
    <row r="704" spans="1:33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</row>
    <row r="705" spans="1:33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</row>
    <row r="706" spans="1:33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</row>
    <row r="707" spans="1:33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</row>
    <row r="708" spans="1:33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</row>
    <row r="709" spans="1:33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</row>
    <row r="710" spans="1:33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</row>
    <row r="711" spans="1:33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</row>
    <row r="712" spans="1:33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</row>
    <row r="713" spans="1:33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</row>
    <row r="714" spans="1:33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</row>
    <row r="715" spans="1:33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</row>
    <row r="716" spans="1:33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</row>
    <row r="717" spans="1:33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</row>
    <row r="718" spans="1:33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</row>
    <row r="719" spans="1:33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</row>
    <row r="720" spans="1:33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</row>
    <row r="721" spans="1:33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</row>
    <row r="722" spans="1:33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</row>
    <row r="723" spans="1:33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</row>
    <row r="724" spans="1:33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</row>
    <row r="725" spans="1:33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</row>
    <row r="726" spans="1:33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</row>
    <row r="727" spans="1:33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</row>
    <row r="728" spans="1:33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</row>
    <row r="729" spans="1:33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</row>
    <row r="730" spans="1:33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</row>
    <row r="731" spans="1:33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</row>
    <row r="732" spans="1:33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</row>
    <row r="733" spans="1:33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</row>
    <row r="734" spans="1:33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</row>
    <row r="735" spans="1:33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</row>
    <row r="736" spans="1:33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</row>
    <row r="737" spans="1:33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</row>
    <row r="738" spans="1:33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</row>
    <row r="739" spans="1:33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</row>
    <row r="740" spans="1:33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</row>
    <row r="741" spans="1:33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</row>
    <row r="742" spans="1:33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</row>
    <row r="743" spans="1:33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</row>
    <row r="744" spans="1:33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</row>
    <row r="745" spans="1:33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</row>
    <row r="746" spans="1:33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</row>
    <row r="747" spans="1:33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</row>
    <row r="748" spans="1:33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</row>
    <row r="749" spans="1:33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</row>
    <row r="750" spans="1:33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</row>
    <row r="751" spans="1:33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</row>
    <row r="752" spans="1:33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</row>
    <row r="753" spans="1:33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</row>
    <row r="754" spans="1:33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</row>
    <row r="755" spans="1:33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</row>
    <row r="756" spans="1:33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</row>
    <row r="757" spans="1:33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</row>
    <row r="758" spans="1:33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</row>
    <row r="759" spans="1:33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</row>
    <row r="760" spans="1:33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</row>
    <row r="761" spans="1:33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</row>
    <row r="762" spans="1:33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</row>
    <row r="763" spans="1:33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</row>
    <row r="764" spans="1:33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</row>
    <row r="765" spans="1:33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</row>
    <row r="766" spans="1:33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</row>
    <row r="767" spans="1:33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</row>
    <row r="768" spans="1:33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</row>
    <row r="769" spans="1:33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</row>
    <row r="770" spans="1:33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</row>
    <row r="771" spans="1:33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</row>
    <row r="772" spans="1:33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</row>
    <row r="773" spans="1:33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</row>
    <row r="774" spans="1:33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</row>
    <row r="775" spans="1:33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</row>
    <row r="776" spans="1:33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</row>
    <row r="777" spans="1:33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</row>
    <row r="778" spans="1:33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</row>
    <row r="779" spans="1:33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</row>
    <row r="780" spans="1:33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</row>
    <row r="781" spans="1:33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</row>
    <row r="782" spans="1:33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</row>
    <row r="783" spans="1:33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</row>
    <row r="784" spans="1:33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</row>
    <row r="785" spans="1:33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</row>
    <row r="786" spans="1:33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</row>
    <row r="787" spans="1:33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</row>
    <row r="788" spans="1:33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</row>
    <row r="789" spans="1:33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</row>
    <row r="790" spans="1:33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</row>
    <row r="791" spans="1:33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</row>
    <row r="792" spans="1:33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</row>
    <row r="793" spans="1:33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</row>
    <row r="794" spans="1:33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</row>
    <row r="795" spans="1:33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</row>
    <row r="796" spans="1:33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</row>
    <row r="797" spans="1:33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</row>
    <row r="798" spans="1:33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</row>
    <row r="799" spans="1:33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</row>
    <row r="800" spans="1:33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</row>
    <row r="801" spans="1:33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</row>
    <row r="802" spans="1:33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</row>
    <row r="803" spans="1:33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</row>
    <row r="804" spans="1:33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</row>
    <row r="805" spans="1:33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</row>
    <row r="806" spans="1:33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</row>
    <row r="807" spans="1:33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</row>
    <row r="808" spans="1:33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</row>
    <row r="809" spans="1:33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</row>
    <row r="810" spans="1:33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</row>
    <row r="811" spans="1:33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</row>
    <row r="812" spans="1:33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</row>
    <row r="813" spans="1:33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</row>
    <row r="814" spans="1:33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</row>
    <row r="815" spans="1:33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</row>
    <row r="816" spans="1:33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</row>
    <row r="817" spans="1:33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</row>
    <row r="818" spans="1:33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</row>
    <row r="819" spans="1:33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</row>
    <row r="820" spans="1:33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</row>
    <row r="821" spans="1:33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</row>
    <row r="822" spans="1:33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</row>
    <row r="823" spans="1:33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</row>
    <row r="824" spans="1:33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</row>
    <row r="825" spans="1:33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</row>
    <row r="826" spans="1:33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</row>
    <row r="827" spans="1:33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</row>
    <row r="828" spans="1:33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</row>
    <row r="829" spans="1:33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</row>
    <row r="830" spans="1:33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</row>
    <row r="831" spans="1:33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</row>
    <row r="832" spans="1:33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</row>
    <row r="833" spans="1:33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</row>
    <row r="834" spans="1:33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</row>
    <row r="835" spans="1:33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</row>
    <row r="836" spans="1:33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</row>
    <row r="837" spans="1:33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</row>
    <row r="838" spans="1:33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</row>
    <row r="839" spans="1:33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</row>
    <row r="840" spans="1:33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</row>
    <row r="841" spans="1:33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</row>
    <row r="842" spans="1:33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</row>
    <row r="843" spans="1:33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</row>
    <row r="844" spans="1:33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</row>
    <row r="845" spans="1:33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</row>
    <row r="846" spans="1:33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</row>
    <row r="847" spans="1:33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</row>
    <row r="848" spans="1:33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</row>
    <row r="849" spans="1:33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</row>
    <row r="850" spans="1:33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</row>
    <row r="851" spans="1:33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</row>
    <row r="852" spans="1:33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</row>
    <row r="853" spans="1:33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</row>
    <row r="854" spans="1:33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</row>
    <row r="855" spans="1:33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</row>
    <row r="856" spans="1:33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</row>
    <row r="857" spans="1:33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</row>
    <row r="858" spans="1:33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</row>
    <row r="859" spans="1:33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</row>
    <row r="860" spans="1:33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</row>
    <row r="861" spans="1:33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</row>
    <row r="862" spans="1:33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</row>
    <row r="863" spans="1:33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</row>
    <row r="864" spans="1:33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</row>
    <row r="865" spans="1:33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</row>
    <row r="866" spans="1:33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</row>
    <row r="867" spans="1:33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</row>
    <row r="868" spans="1:33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</row>
    <row r="869" spans="1:33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</row>
    <row r="870" spans="1:33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</row>
    <row r="871" spans="1:33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</row>
    <row r="872" spans="1:33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</row>
    <row r="873" spans="1:33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</row>
    <row r="874" spans="1:33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</row>
    <row r="875" spans="1:33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</row>
    <row r="876" spans="1:33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</row>
    <row r="877" spans="1:33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</row>
    <row r="878" spans="1:33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</row>
    <row r="879" spans="1:33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</row>
    <row r="880" spans="1:33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</row>
    <row r="881" spans="1:33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</row>
    <row r="882" spans="1:33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</row>
    <row r="883" spans="1:33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</row>
    <row r="884" spans="1:33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</row>
    <row r="885" spans="1:33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</row>
    <row r="886" spans="1:33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</row>
    <row r="887" spans="1:33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</row>
    <row r="888" spans="1:33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</row>
    <row r="889" spans="1:33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</row>
    <row r="890" spans="1:33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</row>
    <row r="891" spans="1:33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</row>
    <row r="892" spans="1:33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</row>
    <row r="893" spans="1:33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</row>
    <row r="894" spans="1:33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</row>
    <row r="895" spans="1:33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</row>
    <row r="896" spans="1:33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</row>
    <row r="897" spans="1:33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</row>
    <row r="898" spans="1:33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</row>
    <row r="899" spans="1:33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</row>
    <row r="900" spans="1:33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</row>
    <row r="901" spans="1:33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</row>
    <row r="902" spans="1:33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</row>
    <row r="903" spans="1:33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</row>
    <row r="904" spans="1:33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</row>
    <row r="905" spans="1:33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</row>
    <row r="906" spans="1:33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</row>
    <row r="907" spans="1:33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</row>
    <row r="908" spans="1:33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</row>
    <row r="909" spans="1:33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</row>
    <row r="910" spans="1:33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</row>
    <row r="911" spans="1:33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</row>
    <row r="912" spans="1:33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</row>
    <row r="913" spans="1:33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</row>
    <row r="914" spans="1:33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</row>
    <row r="915" spans="1:33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</row>
    <row r="916" spans="1:33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</row>
    <row r="917" spans="1:33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</row>
    <row r="918" spans="1:33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</row>
    <row r="919" spans="1:33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</row>
    <row r="920" spans="1:33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</row>
    <row r="921" spans="1:33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</row>
    <row r="922" spans="1:33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</row>
    <row r="923" spans="1:33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</row>
    <row r="924" spans="1:33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</row>
    <row r="925" spans="1:33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</row>
    <row r="926" spans="1:33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</row>
    <row r="927" spans="1:33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</row>
    <row r="928" spans="1:33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</row>
    <row r="929" spans="1:33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</row>
    <row r="930" spans="1:33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</row>
    <row r="931" spans="1:33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</row>
    <row r="932" spans="1:33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</row>
    <row r="933" spans="1:33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</row>
    <row r="934" spans="1:33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</row>
    <row r="935" spans="1:33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</row>
    <row r="936" spans="1:33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</row>
    <row r="937" spans="1:33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</row>
    <row r="938" spans="1:33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</row>
    <row r="939" spans="1:33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</row>
    <row r="940" spans="1:33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</row>
    <row r="941" spans="1:33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</row>
    <row r="942" spans="1:33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</row>
    <row r="943" spans="1:33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</row>
    <row r="944" spans="1:33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</row>
    <row r="945" spans="1:33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</row>
    <row r="946" spans="1:33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</row>
    <row r="947" spans="1:33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</row>
    <row r="948" spans="1:33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</row>
    <row r="949" spans="1:33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</row>
    <row r="950" spans="1:33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</row>
    <row r="951" spans="1:33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</row>
    <row r="952" spans="1:33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</row>
    <row r="953" spans="1:33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</row>
    <row r="954" spans="1:33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</row>
    <row r="955" spans="1:33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</row>
    <row r="956" spans="1:33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</row>
    <row r="957" spans="1:33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</row>
    <row r="958" spans="1:33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</row>
    <row r="959" spans="1:33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</row>
    <row r="960" spans="1:33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</row>
    <row r="961" spans="1:33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</row>
    <row r="962" spans="1:33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</row>
  </sheetData>
  <mergeCells count="220">
    <mergeCell ref="A536:B536"/>
    <mergeCell ref="E536:E537"/>
    <mergeCell ref="A537:B537"/>
    <mergeCell ref="A538:B538"/>
    <mergeCell ref="A539:B539"/>
    <mergeCell ref="A540:B540"/>
    <mergeCell ref="A541:B541"/>
    <mergeCell ref="A510:B510"/>
    <mergeCell ref="A511:B511"/>
    <mergeCell ref="A512:B512"/>
    <mergeCell ref="A513:B513"/>
    <mergeCell ref="A514:B514"/>
    <mergeCell ref="A533:B533"/>
    <mergeCell ref="A534:B534"/>
    <mergeCell ref="A485:B485"/>
    <mergeCell ref="A486:B486"/>
    <mergeCell ref="A487:B487"/>
    <mergeCell ref="A506:B506"/>
    <mergeCell ref="A507:B507"/>
    <mergeCell ref="A508:B508"/>
    <mergeCell ref="A509:B509"/>
    <mergeCell ref="E509:E510"/>
    <mergeCell ref="A535:B535"/>
    <mergeCell ref="A459:B459"/>
    <mergeCell ref="A460:B460"/>
    <mergeCell ref="A479:B479"/>
    <mergeCell ref="A480:B480"/>
    <mergeCell ref="A481:B481"/>
    <mergeCell ref="A482:B482"/>
    <mergeCell ref="E482:E483"/>
    <mergeCell ref="A483:B483"/>
    <mergeCell ref="A484:B484"/>
    <mergeCell ref="A433:B433"/>
    <mergeCell ref="A452:B452"/>
    <mergeCell ref="A453:B453"/>
    <mergeCell ref="A454:B454"/>
    <mergeCell ref="E455:E456"/>
    <mergeCell ref="A455:B455"/>
    <mergeCell ref="A456:B456"/>
    <mergeCell ref="A457:B457"/>
    <mergeCell ref="A458:B458"/>
    <mergeCell ref="A425:B425"/>
    <mergeCell ref="A426:B426"/>
    <mergeCell ref="A427:B427"/>
    <mergeCell ref="A428:B428"/>
    <mergeCell ref="E428:E429"/>
    <mergeCell ref="A429:B429"/>
    <mergeCell ref="A430:B430"/>
    <mergeCell ref="A431:B431"/>
    <mergeCell ref="A432:B432"/>
    <mergeCell ref="A591:B591"/>
    <mergeCell ref="A592:B592"/>
    <mergeCell ref="A593:B593"/>
    <mergeCell ref="A594:B594"/>
    <mergeCell ref="A566:B566"/>
    <mergeCell ref="A567:B567"/>
    <mergeCell ref="A568:B568"/>
    <mergeCell ref="A586:B586"/>
    <mergeCell ref="A587:B587"/>
    <mergeCell ref="A588:B588"/>
    <mergeCell ref="A560:B560"/>
    <mergeCell ref="A561:B561"/>
    <mergeCell ref="A562:B562"/>
    <mergeCell ref="A563:B563"/>
    <mergeCell ref="E563:E564"/>
    <mergeCell ref="A564:B564"/>
    <mergeCell ref="A565:B565"/>
    <mergeCell ref="A589:B589"/>
    <mergeCell ref="A590:B590"/>
    <mergeCell ref="E589:E590"/>
    <mergeCell ref="A401:B401"/>
    <mergeCell ref="E401:E402"/>
    <mergeCell ref="A402:B402"/>
    <mergeCell ref="A403:B403"/>
    <mergeCell ref="A404:B404"/>
    <mergeCell ref="A405:B405"/>
    <mergeCell ref="A406:B406"/>
    <mergeCell ref="A375:B375"/>
    <mergeCell ref="A376:B376"/>
    <mergeCell ref="A377:B377"/>
    <mergeCell ref="A378:B378"/>
    <mergeCell ref="A379:B379"/>
    <mergeCell ref="A398:B398"/>
    <mergeCell ref="A399:B399"/>
    <mergeCell ref="A350:B350"/>
    <mergeCell ref="A351:B351"/>
    <mergeCell ref="A352:B352"/>
    <mergeCell ref="A371:B371"/>
    <mergeCell ref="A372:B372"/>
    <mergeCell ref="A373:B373"/>
    <mergeCell ref="A374:B374"/>
    <mergeCell ref="E374:E375"/>
    <mergeCell ref="A400:B400"/>
    <mergeCell ref="A324:B324"/>
    <mergeCell ref="A325:B325"/>
    <mergeCell ref="A344:B344"/>
    <mergeCell ref="A345:B345"/>
    <mergeCell ref="A346:B346"/>
    <mergeCell ref="A347:B347"/>
    <mergeCell ref="E347:E348"/>
    <mergeCell ref="A348:B348"/>
    <mergeCell ref="A349:B349"/>
    <mergeCell ref="A298:B298"/>
    <mergeCell ref="A317:B317"/>
    <mergeCell ref="A318:B318"/>
    <mergeCell ref="A319:B319"/>
    <mergeCell ref="E320:E321"/>
    <mergeCell ref="A320:B320"/>
    <mergeCell ref="A321:B321"/>
    <mergeCell ref="A322:B322"/>
    <mergeCell ref="A323:B323"/>
    <mergeCell ref="A290:B290"/>
    <mergeCell ref="A291:B291"/>
    <mergeCell ref="A292:B292"/>
    <mergeCell ref="A293:B293"/>
    <mergeCell ref="E293:E294"/>
    <mergeCell ref="A294:B294"/>
    <mergeCell ref="A295:B295"/>
    <mergeCell ref="A296:B296"/>
    <mergeCell ref="A297:B297"/>
    <mergeCell ref="A266:B266"/>
    <mergeCell ref="E266:E267"/>
    <mergeCell ref="A267:B267"/>
    <mergeCell ref="A268:B268"/>
    <mergeCell ref="A269:B269"/>
    <mergeCell ref="A270:B270"/>
    <mergeCell ref="A271:B271"/>
    <mergeCell ref="A240:B240"/>
    <mergeCell ref="A241:B241"/>
    <mergeCell ref="A242:B242"/>
    <mergeCell ref="A243:B243"/>
    <mergeCell ref="A244:B244"/>
    <mergeCell ref="A263:B263"/>
    <mergeCell ref="A264:B264"/>
    <mergeCell ref="A206:B206"/>
    <mergeCell ref="A207:B207"/>
    <mergeCell ref="A208:B208"/>
    <mergeCell ref="A236:B236"/>
    <mergeCell ref="A237:B237"/>
    <mergeCell ref="A238:B238"/>
    <mergeCell ref="A239:B239"/>
    <mergeCell ref="E239:E240"/>
    <mergeCell ref="A265:B265"/>
    <mergeCell ref="A173:B173"/>
    <mergeCell ref="A174:B174"/>
    <mergeCell ref="A200:B200"/>
    <mergeCell ref="A201:B201"/>
    <mergeCell ref="A202:B202"/>
    <mergeCell ref="A203:B203"/>
    <mergeCell ref="E203:E204"/>
    <mergeCell ref="A204:B204"/>
    <mergeCell ref="A205:B205"/>
    <mergeCell ref="A147:B147"/>
    <mergeCell ref="A166:B166"/>
    <mergeCell ref="A167:B167"/>
    <mergeCell ref="A168:B168"/>
    <mergeCell ref="E169:E170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E142:E143"/>
    <mergeCell ref="A143:B143"/>
    <mergeCell ref="A144:B144"/>
    <mergeCell ref="A145:B145"/>
    <mergeCell ref="A146:B146"/>
    <mergeCell ref="A115:B115"/>
    <mergeCell ref="E115:E116"/>
    <mergeCell ref="A116:B116"/>
    <mergeCell ref="A117:B117"/>
    <mergeCell ref="A118:B118"/>
    <mergeCell ref="A119:B119"/>
    <mergeCell ref="A120:B120"/>
    <mergeCell ref="A89:B89"/>
    <mergeCell ref="A90:B90"/>
    <mergeCell ref="A91:B91"/>
    <mergeCell ref="A92:B92"/>
    <mergeCell ref="A93:B93"/>
    <mergeCell ref="A112:B112"/>
    <mergeCell ref="A113:B113"/>
    <mergeCell ref="A64:B64"/>
    <mergeCell ref="A65:B65"/>
    <mergeCell ref="A66:B66"/>
    <mergeCell ref="A85:B85"/>
    <mergeCell ref="A86:B86"/>
    <mergeCell ref="A87:B87"/>
    <mergeCell ref="A88:B88"/>
    <mergeCell ref="E88:E89"/>
    <mergeCell ref="A114:B114"/>
    <mergeCell ref="A38:B38"/>
    <mergeCell ref="A39:B39"/>
    <mergeCell ref="A58:B58"/>
    <mergeCell ref="A59:B59"/>
    <mergeCell ref="A60:B60"/>
    <mergeCell ref="A61:B61"/>
    <mergeCell ref="E61:E62"/>
    <mergeCell ref="A62:B62"/>
    <mergeCell ref="A63:B63"/>
    <mergeCell ref="A10:B10"/>
    <mergeCell ref="A31:B31"/>
    <mergeCell ref="A32:B32"/>
    <mergeCell ref="A33:B33"/>
    <mergeCell ref="E34:E35"/>
    <mergeCell ref="A34:B34"/>
    <mergeCell ref="A35:B35"/>
    <mergeCell ref="A36:B36"/>
    <mergeCell ref="A37:B37"/>
    <mergeCell ref="A2:B2"/>
    <mergeCell ref="A3:B3"/>
    <mergeCell ref="A4:B4"/>
    <mergeCell ref="A5:B5"/>
    <mergeCell ref="E5:E6"/>
    <mergeCell ref="A6:B6"/>
    <mergeCell ref="A7:B7"/>
    <mergeCell ref="A8:B8"/>
    <mergeCell ref="A9:B9"/>
  </mergeCells>
  <dataValidations count="2">
    <dataValidation type="list" allowBlank="1" showErrorMessage="1" sqref="F544:F553" xr:uid="{00000000-0002-0000-0200-000000000000}">
      <formula1>"-,Y,N"</formula1>
    </dataValidation>
    <dataValidation type="list" allowBlank="1" showErrorMessage="1" sqref="F13:F24 F42:F51 F69:F78 F96:F105 F123:F132 F150:F159 F177:F193 F211:F229 F247:F256 F274:F283 F301:F310 F328:F337 F355:F364 F382:F391 F409:F418 F436:F445 F463:F472 F490:F499 F517:F526 F571:F580 F597:F606" xr:uid="{00000000-0002-0000-0200-000001000000}">
      <formula1>"Y,N,-"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941"/>
  <sheetViews>
    <sheetView topLeftCell="A7" workbookViewId="0"/>
  </sheetViews>
  <sheetFormatPr defaultColWidth="12.5703125" defaultRowHeight="15.75" customHeight="1" x14ac:dyDescent="0.2"/>
  <cols>
    <col min="1" max="1" width="9" customWidth="1"/>
    <col min="2" max="2" width="21.42578125" customWidth="1"/>
    <col min="3" max="3" width="14.140625" customWidth="1"/>
    <col min="6" max="6" width="16.28515625" customWidth="1"/>
    <col min="9" max="9" width="8.85546875" customWidth="1"/>
    <col min="10" max="10" width="27.42578125" customWidth="1"/>
    <col min="12" max="12" width="16.85546875" customWidth="1"/>
    <col min="14" max="14" width="14.42578125" customWidth="1"/>
    <col min="16" max="16" width="15" customWidth="1"/>
    <col min="18" max="18" width="15.42578125" customWidth="1"/>
    <col min="20" max="20" width="16.42578125" customWidth="1"/>
    <col min="22" max="22" width="15.5703125" customWidth="1"/>
    <col min="24" max="24" width="16" customWidth="1"/>
    <col min="26" max="26" width="14.28515625" customWidth="1"/>
    <col min="28" max="28" width="14.140625" customWidth="1"/>
    <col min="30" max="30" width="14.28515625" customWidth="1"/>
    <col min="32" max="32" width="14.42578125" customWidth="1"/>
  </cols>
  <sheetData>
    <row r="1" spans="1:33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x14ac:dyDescent="0.2">
      <c r="A2" s="267">
        <v>1</v>
      </c>
      <c r="B2" s="268"/>
      <c r="C2" s="31"/>
      <c r="D2" s="31"/>
      <c r="E2" s="31"/>
      <c r="F2" s="31"/>
      <c r="G2" s="31"/>
      <c r="H2" s="32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x14ac:dyDescent="0.2">
      <c r="A3" s="265" t="s">
        <v>7</v>
      </c>
      <c r="B3" s="259"/>
      <c r="C3" s="33">
        <v>20000</v>
      </c>
      <c r="D3" s="115" t="s">
        <v>318</v>
      </c>
      <c r="E3" s="35"/>
      <c r="F3" s="35"/>
      <c r="G3" s="35"/>
      <c r="H3" s="36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x14ac:dyDescent="0.2">
      <c r="A4" s="265" t="s">
        <v>8</v>
      </c>
      <c r="B4" s="259"/>
      <c r="C4" s="112">
        <v>45669</v>
      </c>
      <c r="D4" s="35"/>
      <c r="E4" s="38"/>
      <c r="F4" s="38"/>
      <c r="G4" s="38"/>
      <c r="H4" s="39" t="s">
        <v>10</v>
      </c>
      <c r="I4" s="30"/>
      <c r="J4" s="40" t="s">
        <v>11</v>
      </c>
      <c r="K4" s="41" t="s">
        <v>12</v>
      </c>
      <c r="L4" s="41" t="s">
        <v>10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">
      <c r="A5" s="265" t="s">
        <v>103</v>
      </c>
      <c r="B5" s="259"/>
      <c r="C5" s="43">
        <v>4000</v>
      </c>
      <c r="D5" s="44"/>
      <c r="E5" s="266" t="s">
        <v>14</v>
      </c>
      <c r="F5" s="45" t="s">
        <v>15</v>
      </c>
      <c r="G5" s="43">
        <v>20000</v>
      </c>
      <c r="H5" s="46"/>
      <c r="I5" s="30"/>
      <c r="J5" s="47" t="s">
        <v>16</v>
      </c>
      <c r="K5" s="48">
        <f>SUM(G5,G32,G59,G86,G120,G154,G191,G218,G249,G276,G305,G339,G366,G393,G420,G447,G474,G501,G528,G555)</f>
        <v>174750</v>
      </c>
      <c r="L5" s="49"/>
      <c r="M5" s="30"/>
      <c r="N5" s="30"/>
      <c r="O5" s="30">
        <f>8750+18000</f>
        <v>26750</v>
      </c>
      <c r="P5" s="30">
        <f>48860-O5</f>
        <v>22110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s="265" t="s">
        <v>17</v>
      </c>
      <c r="B6" s="259"/>
      <c r="C6" s="43">
        <v>2</v>
      </c>
      <c r="D6" s="44"/>
      <c r="E6" s="261"/>
      <c r="F6" s="45" t="s">
        <v>18</v>
      </c>
      <c r="G6" s="43">
        <v>0</v>
      </c>
      <c r="H6" s="46"/>
      <c r="I6" s="30"/>
      <c r="J6" s="47" t="s">
        <v>19</v>
      </c>
      <c r="K6" s="50"/>
      <c r="L6" s="49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">
      <c r="A7" s="265" t="s">
        <v>20</v>
      </c>
      <c r="B7" s="259"/>
      <c r="C7" s="43">
        <f>C5*C6</f>
        <v>8000</v>
      </c>
      <c r="D7" s="35"/>
      <c r="E7" s="54"/>
      <c r="F7" s="35"/>
      <c r="G7" s="44"/>
      <c r="H7" s="36"/>
      <c r="I7" s="30"/>
      <c r="J7" s="47" t="s">
        <v>21</v>
      </c>
      <c r="K7" s="50">
        <f>SUM(C8,C35,C62,C89,C123,C157,C194,C221,C252,C279,C308,C342,C369,C396,C423,C450,C477,C504,C531,C558)</f>
        <v>741500</v>
      </c>
      <c r="L7" s="49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x14ac:dyDescent="0.2">
      <c r="A8" s="265" t="s">
        <v>22</v>
      </c>
      <c r="B8" s="259"/>
      <c r="C8" s="33">
        <f>C3+C7</f>
        <v>28000</v>
      </c>
      <c r="D8" s="35"/>
      <c r="E8" s="35"/>
      <c r="F8" s="35"/>
      <c r="G8" s="35"/>
      <c r="H8" s="36"/>
      <c r="I8" s="30"/>
      <c r="J8" s="47" t="s">
        <v>23</v>
      </c>
      <c r="K8" s="50">
        <f>K7-SUM(F23,F50,F77,F111,F145,F182,F209,F240,F267,F296,F330,F357,F384,F411,F438,F465,F492,F519,F546,F573)</f>
        <v>330320</v>
      </c>
      <c r="L8" s="49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">
      <c r="A9" s="265" t="s">
        <v>104</v>
      </c>
      <c r="B9" s="259"/>
      <c r="C9" s="57">
        <v>3500</v>
      </c>
      <c r="D9" s="35" t="s">
        <v>125</v>
      </c>
      <c r="E9" s="35"/>
      <c r="F9" s="35"/>
      <c r="G9" s="35"/>
      <c r="H9" s="36"/>
      <c r="I9" s="30"/>
      <c r="J9" s="47" t="s">
        <v>27</v>
      </c>
      <c r="K9" s="50">
        <f>SUM(G6,G33,G60,G87,G121,G155,G192,G219,G250,G277,G306,G340,G367,G394,G421,G448,G475,G502,G529,G556)</f>
        <v>365250</v>
      </c>
      <c r="L9" s="49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x14ac:dyDescent="0.2">
      <c r="A10" s="265" t="s">
        <v>28</v>
      </c>
      <c r="B10" s="259"/>
      <c r="C10" s="58" t="s">
        <v>145</v>
      </c>
      <c r="D10" s="35"/>
      <c r="E10" s="35"/>
      <c r="F10" s="35"/>
      <c r="G10" s="35"/>
      <c r="H10" s="36"/>
      <c r="I10" s="30"/>
      <c r="J10" s="59" t="s">
        <v>30</v>
      </c>
      <c r="K10" s="60">
        <f>K7-K8-K9-K14</f>
        <v>870</v>
      </c>
      <c r="L10" s="49"/>
      <c r="M10" s="53">
        <v>24000</v>
      </c>
      <c r="N10" s="30">
        <v>1700</v>
      </c>
      <c r="O10" s="30" t="s">
        <v>319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">
      <c r="A11" s="62" t="s">
        <v>31</v>
      </c>
      <c r="B11" s="63" t="s">
        <v>106</v>
      </c>
      <c r="C11" s="45" t="s">
        <v>33</v>
      </c>
      <c r="D11" s="45" t="s">
        <v>34</v>
      </c>
      <c r="E11" s="45" t="s">
        <v>35</v>
      </c>
      <c r="F11" s="45" t="s">
        <v>36</v>
      </c>
      <c r="G11" s="45" t="s">
        <v>37</v>
      </c>
      <c r="H11" s="36"/>
      <c r="I11" s="30"/>
      <c r="J11" s="47" t="s">
        <v>38</v>
      </c>
      <c r="K11" s="64" t="e">
        <f ca="1">MINUS(K8,K5)</f>
        <v>#NAME?</v>
      </c>
      <c r="L11" s="49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x14ac:dyDescent="0.2">
      <c r="A12" s="62">
        <v>0</v>
      </c>
      <c r="B12" s="65"/>
      <c r="C12" s="65"/>
      <c r="D12" s="65"/>
      <c r="E12" s="65"/>
      <c r="F12" s="65"/>
      <c r="G12" s="43">
        <f>C8</f>
        <v>28000</v>
      </c>
      <c r="H12" s="36"/>
      <c r="I12" s="30"/>
      <c r="J12" s="47" t="s">
        <v>39</v>
      </c>
      <c r="K12" s="64">
        <f>SUM(E23,E50,E77,E111,E145,E182,E209,E240,E267,E296,E330,E357,E384,E411,E438,E465,E492,E519,E546,E573)</f>
        <v>113888.04597701148</v>
      </c>
      <c r="L12" s="49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x14ac:dyDescent="0.2">
      <c r="A13" s="62">
        <v>1</v>
      </c>
      <c r="B13" s="45" t="s">
        <v>126</v>
      </c>
      <c r="C13" s="43">
        <v>3500</v>
      </c>
      <c r="D13" s="43">
        <f t="shared" ref="D13:D20" si="0">C13/1.4</f>
        <v>2500</v>
      </c>
      <c r="E13" s="43">
        <f t="shared" ref="E13:E20" si="1">C13-D13</f>
        <v>1000</v>
      </c>
      <c r="F13" s="43" t="s">
        <v>41</v>
      </c>
      <c r="G13" s="43">
        <f t="shared" ref="G13:G20" si="2">(G12-C13)</f>
        <v>24500</v>
      </c>
      <c r="H13" s="36"/>
      <c r="I13" s="30"/>
      <c r="J13" s="47" t="s">
        <v>42</v>
      </c>
      <c r="K13" s="64"/>
      <c r="L13" s="49"/>
      <c r="M13" s="153"/>
      <c r="N13" s="68" t="s">
        <v>43</v>
      </c>
      <c r="O13" s="245">
        <v>25500</v>
      </c>
      <c r="P13" s="70" t="s">
        <v>44</v>
      </c>
      <c r="Q13" s="245">
        <f>SUM(C19,C98,C131,C163,C226,C257,C284)</f>
        <v>22100</v>
      </c>
      <c r="R13" s="70" t="s">
        <v>223</v>
      </c>
      <c r="S13" s="245">
        <f>SUM(C20,C99,C132,C164,C199,C227,C258,C285,C313)</f>
        <v>33750</v>
      </c>
      <c r="T13" s="70" t="s">
        <v>224</v>
      </c>
      <c r="U13" s="245">
        <f>SUM(C100,C133,C165,C228,C259,C286,C314,C347)</f>
        <v>25530</v>
      </c>
      <c r="V13" s="70" t="s">
        <v>225</v>
      </c>
      <c r="W13" s="245">
        <f>SUM(C101,C134,C166,C200,C229,C260,C287,C315,C348,C374)</f>
        <v>33090</v>
      </c>
      <c r="X13" s="70" t="s">
        <v>226</v>
      </c>
      <c r="Y13" s="245">
        <f>SUM(C102,C135,C167,C230,C261,C288,C316,C349,C375,C401)</f>
        <v>31820</v>
      </c>
      <c r="Z13" s="246" t="s">
        <v>320</v>
      </c>
      <c r="AA13" s="245">
        <f>SUM(C103,C136,C168,C231,C262,C289,C317,C350,C376,C402)</f>
        <v>25370</v>
      </c>
      <c r="AB13" s="246" t="s">
        <v>321</v>
      </c>
      <c r="AC13" s="245">
        <f>SUM(C104,C137,C169,C232,C290,C318,C351,C377,C403,C455,C482)</f>
        <v>24970</v>
      </c>
      <c r="AD13" s="246" t="s">
        <v>322</v>
      </c>
      <c r="AE13" s="245">
        <f>SUM(C105,C138,C170,C233,C291,C319,C352,C378,C404,C456,C483)</f>
        <v>7190</v>
      </c>
      <c r="AF13" s="246" t="s">
        <v>323</v>
      </c>
      <c r="AG13" s="245">
        <f>SUM(C106,C139,C171,C234,C292,C320,C353,C379,C405,C428,C457,C484,C509)</f>
        <v>44790</v>
      </c>
    </row>
    <row r="14" spans="1:33" x14ac:dyDescent="0.2">
      <c r="A14" s="62">
        <v>2</v>
      </c>
      <c r="B14" s="45" t="s">
        <v>127</v>
      </c>
      <c r="C14" s="43">
        <v>3500</v>
      </c>
      <c r="D14" s="43">
        <f t="shared" si="0"/>
        <v>2500</v>
      </c>
      <c r="E14" s="43">
        <f t="shared" si="1"/>
        <v>1000</v>
      </c>
      <c r="F14" s="43" t="s">
        <v>41</v>
      </c>
      <c r="G14" s="43">
        <f t="shared" si="2"/>
        <v>21000</v>
      </c>
      <c r="H14" s="36"/>
      <c r="I14" s="30"/>
      <c r="J14" s="47" t="s">
        <v>54</v>
      </c>
      <c r="K14" s="50">
        <f>K29</f>
        <v>45060</v>
      </c>
      <c r="L14" s="49"/>
      <c r="M14" s="66"/>
      <c r="N14" s="74" t="s">
        <v>55</v>
      </c>
      <c r="O14" s="75">
        <v>6200</v>
      </c>
      <c r="P14" s="76" t="s">
        <v>56</v>
      </c>
      <c r="Q14" s="75">
        <v>1700</v>
      </c>
      <c r="R14" s="76" t="s">
        <v>57</v>
      </c>
      <c r="S14" s="75">
        <v>3800</v>
      </c>
      <c r="T14" s="76" t="s">
        <v>58</v>
      </c>
      <c r="U14" s="75">
        <v>7550</v>
      </c>
      <c r="V14" s="76" t="s">
        <v>59</v>
      </c>
      <c r="W14" s="75">
        <v>3080</v>
      </c>
      <c r="X14" s="76" t="s">
        <v>60</v>
      </c>
      <c r="Y14" s="75">
        <v>6170</v>
      </c>
      <c r="Z14" s="76" t="s">
        <v>61</v>
      </c>
      <c r="AA14" s="75">
        <v>7990</v>
      </c>
      <c r="AB14" s="76" t="s">
        <v>62</v>
      </c>
      <c r="AC14" s="75">
        <v>8110</v>
      </c>
      <c r="AD14" s="76" t="s">
        <v>63</v>
      </c>
      <c r="AE14" s="75">
        <v>33080</v>
      </c>
      <c r="AF14" s="76" t="s">
        <v>64</v>
      </c>
      <c r="AG14" s="75">
        <v>0</v>
      </c>
    </row>
    <row r="15" spans="1:33" x14ac:dyDescent="0.2">
      <c r="A15" s="62">
        <v>3</v>
      </c>
      <c r="B15" s="45" t="s">
        <v>128</v>
      </c>
      <c r="C15" s="43">
        <v>3500</v>
      </c>
      <c r="D15" s="43">
        <f t="shared" si="0"/>
        <v>2500</v>
      </c>
      <c r="E15" s="43">
        <f t="shared" si="1"/>
        <v>1000</v>
      </c>
      <c r="F15" s="43" t="s">
        <v>41</v>
      </c>
      <c r="G15" s="43">
        <f t="shared" si="2"/>
        <v>17500</v>
      </c>
      <c r="H15" s="36"/>
      <c r="I15" s="30"/>
      <c r="J15" s="30"/>
      <c r="K15" s="30"/>
      <c r="L15" s="30"/>
      <c r="M15" s="30"/>
      <c r="N15" s="235"/>
      <c r="O15" s="127"/>
      <c r="P15" s="235"/>
      <c r="Q15" s="127"/>
      <c r="R15" s="235"/>
      <c r="S15" s="127"/>
      <c r="T15" s="235"/>
      <c r="U15" s="127"/>
      <c r="V15" s="235"/>
      <c r="W15" s="75"/>
      <c r="X15" s="74"/>
      <c r="Y15" s="75"/>
      <c r="Z15" s="74" t="s">
        <v>324</v>
      </c>
      <c r="AA15" s="75">
        <v>4750</v>
      </c>
      <c r="AB15" s="74"/>
      <c r="AC15" s="75"/>
      <c r="AD15" s="74"/>
      <c r="AE15" s="75"/>
      <c r="AF15" s="74"/>
      <c r="AG15" s="75"/>
    </row>
    <row r="16" spans="1:33" x14ac:dyDescent="0.2">
      <c r="A16" s="62">
        <v>4</v>
      </c>
      <c r="B16" s="45" t="s">
        <v>129</v>
      </c>
      <c r="C16" s="43">
        <v>3500</v>
      </c>
      <c r="D16" s="43">
        <f t="shared" si="0"/>
        <v>2500</v>
      </c>
      <c r="E16" s="43">
        <f t="shared" si="1"/>
        <v>1000</v>
      </c>
      <c r="F16" s="43" t="s">
        <v>41</v>
      </c>
      <c r="G16" s="43">
        <f t="shared" si="2"/>
        <v>14000</v>
      </c>
      <c r="H16" s="36"/>
      <c r="I16" s="30"/>
      <c r="J16" s="30"/>
      <c r="K16" s="30"/>
      <c r="L16" s="30"/>
      <c r="M16" s="30"/>
      <c r="N16" s="247" t="s">
        <v>325</v>
      </c>
      <c r="O16" s="248"/>
      <c r="P16" s="247" t="s">
        <v>325</v>
      </c>
      <c r="Q16" s="248"/>
      <c r="R16" s="247" t="s">
        <v>325</v>
      </c>
      <c r="S16" s="248"/>
      <c r="T16" s="247" t="s">
        <v>325</v>
      </c>
      <c r="U16" s="78">
        <f>SUM(U13:U15)</f>
        <v>33080</v>
      </c>
      <c r="V16" s="247" t="s">
        <v>325</v>
      </c>
      <c r="W16" s="78">
        <f>SUM(W13:W15)</f>
        <v>36170</v>
      </c>
      <c r="X16" s="247" t="s">
        <v>325</v>
      </c>
      <c r="Y16" s="78">
        <f>SUM(Y13:Y15)</f>
        <v>37990</v>
      </c>
      <c r="Z16" s="247" t="s">
        <v>325</v>
      </c>
      <c r="AA16" s="78">
        <f>SUM(AA13:AA15)</f>
        <v>38110</v>
      </c>
      <c r="AB16" s="247" t="s">
        <v>325</v>
      </c>
      <c r="AC16" s="78">
        <f>SUM(AC13:AC15)</f>
        <v>33080</v>
      </c>
      <c r="AD16" s="247" t="s">
        <v>325</v>
      </c>
      <c r="AE16" s="78">
        <f>SUM(AE13:AE15)</f>
        <v>40270</v>
      </c>
      <c r="AF16" s="247" t="s">
        <v>325</v>
      </c>
      <c r="AG16" s="78">
        <f>SUM(AG13:AG15)</f>
        <v>44790</v>
      </c>
    </row>
    <row r="17" spans="1:33" x14ac:dyDescent="0.2">
      <c r="A17" s="62">
        <v>5</v>
      </c>
      <c r="B17" s="45" t="s">
        <v>130</v>
      </c>
      <c r="C17" s="43">
        <v>3500</v>
      </c>
      <c r="D17" s="43">
        <f t="shared" si="0"/>
        <v>2500</v>
      </c>
      <c r="E17" s="43">
        <f t="shared" si="1"/>
        <v>1000</v>
      </c>
      <c r="F17" s="43" t="s">
        <v>41</v>
      </c>
      <c r="G17" s="43">
        <f t="shared" si="2"/>
        <v>10500</v>
      </c>
      <c r="H17" s="36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x14ac:dyDescent="0.2">
      <c r="A18" s="62">
        <v>6</v>
      </c>
      <c r="B18" s="45" t="s">
        <v>131</v>
      </c>
      <c r="C18" s="43">
        <v>3500</v>
      </c>
      <c r="D18" s="43">
        <f t="shared" si="0"/>
        <v>2500</v>
      </c>
      <c r="E18" s="43">
        <f t="shared" si="1"/>
        <v>1000</v>
      </c>
      <c r="F18" s="43" t="s">
        <v>41</v>
      </c>
      <c r="G18" s="43">
        <f t="shared" si="2"/>
        <v>7000</v>
      </c>
      <c r="H18" s="36"/>
      <c r="I18" s="30"/>
      <c r="J18" s="151" t="s">
        <v>76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x14ac:dyDescent="0.2">
      <c r="A19" s="62">
        <v>7</v>
      </c>
      <c r="B19" s="45" t="s">
        <v>132</v>
      </c>
      <c r="C19" s="43">
        <v>3500</v>
      </c>
      <c r="D19" s="43">
        <f t="shared" si="0"/>
        <v>2500</v>
      </c>
      <c r="E19" s="43">
        <f t="shared" si="1"/>
        <v>1000</v>
      </c>
      <c r="F19" s="43" t="s">
        <v>41</v>
      </c>
      <c r="G19" s="43">
        <f t="shared" si="2"/>
        <v>3500</v>
      </c>
      <c r="H19" s="36"/>
      <c r="I19" s="30"/>
      <c r="J19" s="81" t="s">
        <v>82</v>
      </c>
      <c r="K19" s="81" t="s">
        <v>12</v>
      </c>
      <c r="L19" s="81" t="s">
        <v>10</v>
      </c>
      <c r="M19" s="30"/>
      <c r="N19" s="70" t="s">
        <v>77</v>
      </c>
      <c r="O19" s="72">
        <f>SUM(C107,C140,C172,C235,C293,C321,C354,C380,C406,C458,C485,C510,C536)</f>
        <v>28270</v>
      </c>
      <c r="P19" s="70" t="s">
        <v>78</v>
      </c>
      <c r="Q19" s="72">
        <f>SUM(C108,C141,C173,C236,C294,C322,C381,C407,C430,C459,C486,C511,C537,C563)</f>
        <v>48740</v>
      </c>
      <c r="R19" s="70"/>
      <c r="S19" s="72"/>
      <c r="T19" s="70"/>
      <c r="U19" s="72"/>
      <c r="V19" s="70"/>
      <c r="W19" s="72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x14ac:dyDescent="0.2">
      <c r="A20" s="62">
        <v>8</v>
      </c>
      <c r="B20" s="45" t="s">
        <v>133</v>
      </c>
      <c r="C20" s="43">
        <v>3500</v>
      </c>
      <c r="D20" s="43">
        <f t="shared" si="0"/>
        <v>2500</v>
      </c>
      <c r="E20" s="43">
        <f t="shared" si="1"/>
        <v>1000</v>
      </c>
      <c r="F20" s="43" t="s">
        <v>41</v>
      </c>
      <c r="G20" s="43">
        <f t="shared" si="2"/>
        <v>0</v>
      </c>
      <c r="H20" s="36"/>
      <c r="I20" s="30"/>
      <c r="J20" s="137">
        <v>45768</v>
      </c>
      <c r="K20" s="83">
        <v>10270</v>
      </c>
      <c r="L20" s="126" t="s">
        <v>326</v>
      </c>
      <c r="M20" s="30"/>
      <c r="N20" s="76" t="s">
        <v>83</v>
      </c>
      <c r="O20" s="75">
        <v>0</v>
      </c>
      <c r="P20" s="76" t="s">
        <v>84</v>
      </c>
      <c r="Q20" s="75">
        <v>870</v>
      </c>
      <c r="R20" s="76"/>
      <c r="S20" s="75"/>
      <c r="T20" s="76"/>
      <c r="U20" s="75"/>
      <c r="V20" s="76"/>
      <c r="W20" s="75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x14ac:dyDescent="0.2">
      <c r="A21" s="105"/>
      <c r="B21" s="45"/>
      <c r="C21" s="65"/>
      <c r="D21" s="65"/>
      <c r="E21" s="65"/>
      <c r="F21" s="65"/>
      <c r="G21" s="65"/>
      <c r="H21" s="36"/>
      <c r="I21" s="30"/>
      <c r="J21" s="136">
        <v>45775</v>
      </c>
      <c r="K21" s="83">
        <v>34790</v>
      </c>
      <c r="L21" s="135" t="s">
        <v>233</v>
      </c>
      <c r="M21" s="30"/>
      <c r="N21" s="74"/>
      <c r="O21" s="75"/>
      <c r="P21" s="74"/>
      <c r="Q21" s="75"/>
      <c r="R21" s="74"/>
      <c r="S21" s="75"/>
      <c r="T21" s="74"/>
      <c r="U21" s="75"/>
      <c r="V21" s="74"/>
      <c r="W21" s="75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x14ac:dyDescent="0.2">
      <c r="A22" s="105"/>
      <c r="B22" s="106"/>
      <c r="C22" s="65"/>
      <c r="D22" s="65"/>
      <c r="E22" s="65"/>
      <c r="F22" s="65"/>
      <c r="G22" s="65"/>
      <c r="H22" s="36"/>
      <c r="I22" s="30"/>
      <c r="J22" s="136"/>
      <c r="K22" s="83"/>
      <c r="L22" s="49"/>
      <c r="M22" s="30"/>
      <c r="N22" s="74" t="s">
        <v>327</v>
      </c>
      <c r="O22" s="75">
        <v>12600</v>
      </c>
      <c r="P22" s="74"/>
      <c r="Q22" s="75"/>
      <c r="R22" s="74"/>
      <c r="S22" s="75"/>
      <c r="T22" s="74"/>
      <c r="U22" s="75"/>
      <c r="V22" s="74"/>
      <c r="W22" s="75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x14ac:dyDescent="0.2">
      <c r="A23" s="89"/>
      <c r="B23" s="90"/>
      <c r="C23" s="91"/>
      <c r="D23" s="92">
        <f>SUMIFS(D13:D22, F13:F22, "Y")</f>
        <v>20000</v>
      </c>
      <c r="E23" s="92">
        <f>SUMIFS(E13:E22, F13:F22, "Y")</f>
        <v>8000</v>
      </c>
      <c r="F23" s="92">
        <f>(SUMIFS(D13:D22, F13:F22, "Y") + SUMIFS(E13:E22, F13:F22, "Y"))</f>
        <v>28000</v>
      </c>
      <c r="G23" s="91"/>
      <c r="H23" s="93"/>
      <c r="I23" s="30"/>
      <c r="J23" s="136"/>
      <c r="K23" s="83"/>
      <c r="L23" s="49"/>
      <c r="M23" s="30"/>
      <c r="N23" s="77" t="s">
        <v>72</v>
      </c>
      <c r="O23" s="78">
        <f>SUM(O19:O22)</f>
        <v>40870</v>
      </c>
      <c r="P23" s="77" t="s">
        <v>72</v>
      </c>
      <c r="Q23" s="78">
        <f>SUM(Q19:Q22)</f>
        <v>49610</v>
      </c>
      <c r="R23" s="77" t="s">
        <v>72</v>
      </c>
      <c r="S23" s="78">
        <f>SUM(S19:S22)</f>
        <v>0</v>
      </c>
      <c r="T23" s="77" t="s">
        <v>72</v>
      </c>
      <c r="U23" s="78">
        <f>SUM(U19:U22)</f>
        <v>0</v>
      </c>
      <c r="V23" s="77" t="s">
        <v>72</v>
      </c>
      <c r="W23" s="78">
        <f>SUM(W19:W22)</f>
        <v>0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">
      <c r="A24" s="30"/>
      <c r="B24" s="30"/>
      <c r="C24" s="30"/>
      <c r="D24" s="30"/>
      <c r="E24" s="30"/>
      <c r="F24" s="30"/>
      <c r="G24" s="30"/>
      <c r="H24" s="30"/>
      <c r="I24" s="30"/>
      <c r="J24" s="137"/>
      <c r="K24" s="83"/>
      <c r="L24" s="49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x14ac:dyDescent="0.2">
      <c r="B25" s="30"/>
      <c r="C25" s="30"/>
      <c r="D25" s="30"/>
      <c r="E25" s="30"/>
      <c r="F25" s="30"/>
      <c r="G25" s="30"/>
      <c r="H25" s="30"/>
      <c r="I25" s="30"/>
      <c r="J25" s="83"/>
      <c r="K25" s="83"/>
      <c r="L25" s="49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x14ac:dyDescent="0.2">
      <c r="A26" s="30"/>
      <c r="B26" s="30"/>
      <c r="C26" s="30"/>
      <c r="D26" s="30"/>
      <c r="E26" s="30"/>
      <c r="F26" s="30"/>
      <c r="G26" s="30"/>
      <c r="H26" s="30"/>
      <c r="I26" s="30"/>
      <c r="J26" s="83"/>
      <c r="K26" s="83"/>
      <c r="L26" s="49"/>
      <c r="M26" s="30"/>
      <c r="N26" s="70"/>
      <c r="O26" s="72"/>
      <c r="P26" s="70"/>
      <c r="Q26" s="72"/>
      <c r="R26" s="70"/>
      <c r="S26" s="72"/>
      <c r="T26" s="70"/>
      <c r="U26" s="72"/>
      <c r="V26" s="70"/>
      <c r="W26" s="72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x14ac:dyDescent="0.2">
      <c r="A27" s="30"/>
      <c r="B27" s="30"/>
      <c r="C27" s="30"/>
      <c r="D27" s="30"/>
      <c r="E27" s="30"/>
      <c r="F27" s="30"/>
      <c r="G27" s="30"/>
      <c r="H27" s="30"/>
      <c r="I27" s="30"/>
      <c r="J27" s="49"/>
      <c r="K27" s="49"/>
      <c r="L27" s="49"/>
      <c r="M27" s="30"/>
      <c r="N27" s="76"/>
      <c r="O27" s="75"/>
      <c r="P27" s="76"/>
      <c r="Q27" s="75">
        <v>0</v>
      </c>
      <c r="R27" s="76"/>
      <c r="S27" s="75"/>
      <c r="T27" s="76"/>
      <c r="U27" s="75"/>
      <c r="V27" s="76"/>
      <c r="W27" s="75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x14ac:dyDescent="0.2">
      <c r="A28" s="30"/>
      <c r="B28" s="30"/>
      <c r="C28" s="30"/>
      <c r="D28" s="30"/>
      <c r="E28" s="30"/>
      <c r="F28" s="30"/>
      <c r="G28" s="30"/>
      <c r="H28" s="30"/>
      <c r="I28" s="30"/>
      <c r="J28" s="49"/>
      <c r="K28" s="49"/>
      <c r="L28" s="81"/>
      <c r="M28" s="151"/>
      <c r="N28" s="74"/>
      <c r="O28" s="75"/>
      <c r="P28" s="74"/>
      <c r="Q28" s="75"/>
      <c r="R28" s="74"/>
      <c r="S28" s="75"/>
      <c r="T28" s="74"/>
      <c r="U28" s="75"/>
      <c r="V28" s="74"/>
      <c r="W28" s="75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x14ac:dyDescent="0.2">
      <c r="A29" s="267">
        <v>2</v>
      </c>
      <c r="B29" s="268"/>
      <c r="C29" s="31"/>
      <c r="D29" s="31"/>
      <c r="E29" s="31"/>
      <c r="F29" s="31"/>
      <c r="G29" s="31"/>
      <c r="H29" s="32"/>
      <c r="I29" s="30"/>
      <c r="J29" s="126" t="s">
        <v>72</v>
      </c>
      <c r="K29" s="102">
        <f>SUM(K20:K28)</f>
        <v>45060</v>
      </c>
      <c r="L29" s="50"/>
      <c r="M29" s="157"/>
      <c r="N29" s="74"/>
      <c r="O29" s="75"/>
      <c r="P29" s="74"/>
      <c r="Q29" s="75"/>
      <c r="R29" s="74"/>
      <c r="S29" s="75"/>
      <c r="T29" s="74"/>
      <c r="U29" s="75"/>
      <c r="V29" s="74"/>
      <c r="W29" s="75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x14ac:dyDescent="0.2">
      <c r="A30" s="265" t="s">
        <v>7</v>
      </c>
      <c r="B30" s="259"/>
      <c r="C30" s="149">
        <v>20000</v>
      </c>
      <c r="D30" s="35"/>
      <c r="E30" s="35"/>
      <c r="F30" s="35"/>
      <c r="G30" s="35"/>
      <c r="H30" s="36"/>
      <c r="I30" s="30"/>
      <c r="J30" s="80"/>
      <c r="K30" s="30"/>
      <c r="L30" s="48"/>
      <c r="M30" s="157"/>
      <c r="N30" s="77" t="s">
        <v>72</v>
      </c>
      <c r="O30" s="78">
        <f>SUM(O26:O29)</f>
        <v>0</v>
      </c>
      <c r="P30" s="77" t="s">
        <v>72</v>
      </c>
      <c r="Q30" s="78">
        <f>SUM(Q26:Q29)</f>
        <v>0</v>
      </c>
      <c r="R30" s="77" t="s">
        <v>72</v>
      </c>
      <c r="S30" s="78">
        <f>SUM(S26:S29)</f>
        <v>0</v>
      </c>
      <c r="T30" s="77" t="s">
        <v>72</v>
      </c>
      <c r="U30" s="78">
        <f>SUM(U26:U29)</f>
        <v>0</v>
      </c>
      <c r="V30" s="77" t="s">
        <v>72</v>
      </c>
      <c r="W30" s="78">
        <f>SUM(W26:W29)</f>
        <v>0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x14ac:dyDescent="0.2">
      <c r="A31" s="265" t="s">
        <v>8</v>
      </c>
      <c r="B31" s="259"/>
      <c r="C31" s="113">
        <v>45677</v>
      </c>
      <c r="D31" s="35"/>
      <c r="E31" s="38"/>
      <c r="F31" s="38"/>
      <c r="G31" s="38"/>
      <c r="H31" s="39" t="s">
        <v>10</v>
      </c>
      <c r="I31" s="30"/>
      <c r="J31" s="30"/>
      <c r="K31" s="48"/>
      <c r="L31" s="153"/>
      <c r="M31" s="157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x14ac:dyDescent="0.2">
      <c r="A32" s="265" t="s">
        <v>103</v>
      </c>
      <c r="B32" s="259"/>
      <c r="C32" s="65">
        <v>4000</v>
      </c>
      <c r="D32" s="44"/>
      <c r="E32" s="266" t="s">
        <v>14</v>
      </c>
      <c r="F32" s="45" t="s">
        <v>15</v>
      </c>
      <c r="G32" s="65">
        <v>20000</v>
      </c>
      <c r="H32" s="46"/>
      <c r="I32" s="30"/>
      <c r="J32" s="30"/>
      <c r="K32" s="199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x14ac:dyDescent="0.2">
      <c r="A33" s="265" t="s">
        <v>17</v>
      </c>
      <c r="B33" s="259"/>
      <c r="C33" s="43">
        <v>1</v>
      </c>
      <c r="D33" s="44"/>
      <c r="E33" s="261"/>
      <c r="F33" s="45" t="s">
        <v>18</v>
      </c>
      <c r="G33" s="43">
        <v>0</v>
      </c>
      <c r="H33" s="46"/>
      <c r="I33" s="30"/>
      <c r="J33" s="30"/>
      <c r="K33" s="12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">
      <c r="A34" s="265" t="s">
        <v>20</v>
      </c>
      <c r="B34" s="259"/>
      <c r="C34" s="43">
        <f>C32*C33</f>
        <v>4000</v>
      </c>
      <c r="D34" s="35"/>
      <c r="E34" s="54"/>
      <c r="F34" s="35"/>
      <c r="G34" s="44"/>
      <c r="H34" s="36"/>
      <c r="I34" s="30"/>
      <c r="J34" s="30"/>
      <c r="K34" s="122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x14ac:dyDescent="0.2">
      <c r="A35" s="265" t="s">
        <v>22</v>
      </c>
      <c r="B35" s="259"/>
      <c r="C35" s="33">
        <f>C30+C34</f>
        <v>24000</v>
      </c>
      <c r="D35" s="35"/>
      <c r="E35" s="35"/>
      <c r="F35" s="35"/>
      <c r="G35" s="35"/>
      <c r="H35" s="36"/>
      <c r="I35" s="30"/>
      <c r="J35" s="53"/>
      <c r="K35" s="249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x14ac:dyDescent="0.2">
      <c r="A36" s="265" t="s">
        <v>24</v>
      </c>
      <c r="B36" s="259"/>
      <c r="C36" s="57">
        <v>800</v>
      </c>
      <c r="D36" s="35" t="s">
        <v>328</v>
      </c>
      <c r="E36" s="35"/>
      <c r="F36" s="35"/>
      <c r="G36" s="35"/>
      <c r="H36" s="36"/>
      <c r="I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2">
      <c r="A37" s="265" t="s">
        <v>28</v>
      </c>
      <c r="B37" s="259"/>
      <c r="C37" s="58" t="s">
        <v>124</v>
      </c>
      <c r="D37" s="35"/>
      <c r="E37" s="35"/>
      <c r="F37" s="35"/>
      <c r="G37" s="35"/>
      <c r="H37" s="36"/>
      <c r="I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">
      <c r="A38" s="62" t="s">
        <v>31</v>
      </c>
      <c r="B38" s="63" t="s">
        <v>106</v>
      </c>
      <c r="C38" s="45" t="s">
        <v>33</v>
      </c>
      <c r="D38" s="45" t="s">
        <v>34</v>
      </c>
      <c r="E38" s="45" t="s">
        <v>35</v>
      </c>
      <c r="F38" s="45" t="s">
        <v>36</v>
      </c>
      <c r="G38" s="45" t="s">
        <v>37</v>
      </c>
      <c r="H38" s="36"/>
      <c r="I38" s="30"/>
      <c r="J38" s="56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x14ac:dyDescent="0.2">
      <c r="A39" s="62">
        <v>0</v>
      </c>
      <c r="B39" s="65"/>
      <c r="C39" s="65"/>
      <c r="D39" s="65"/>
      <c r="E39" s="65"/>
      <c r="F39" s="65"/>
      <c r="G39" s="43">
        <f>C35</f>
        <v>24000</v>
      </c>
      <c r="H39" s="36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2">
      <c r="A40" s="62">
        <v>1</v>
      </c>
      <c r="B40" s="100">
        <v>45685</v>
      </c>
      <c r="C40" s="65">
        <v>4000</v>
      </c>
      <c r="D40" s="65">
        <f t="shared" ref="D40:D49" si="3">C40/1.4</f>
        <v>2857.1428571428573</v>
      </c>
      <c r="E40" s="65">
        <f t="shared" ref="E40:E49" si="4">C40-D40</f>
        <v>1142.8571428571427</v>
      </c>
      <c r="F40" s="43" t="s">
        <v>41</v>
      </c>
      <c r="G40" s="43">
        <f t="shared" ref="G40:G47" si="5">(G39-C40)</f>
        <v>20000</v>
      </c>
      <c r="H40" s="36"/>
      <c r="I40" s="30"/>
      <c r="J40" s="8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x14ac:dyDescent="0.2">
      <c r="A41" s="62">
        <v>2</v>
      </c>
      <c r="B41" s="100">
        <v>45691</v>
      </c>
      <c r="C41" s="65">
        <v>4800</v>
      </c>
      <c r="D41" s="65">
        <f t="shared" si="3"/>
        <v>3428.5714285714289</v>
      </c>
      <c r="E41" s="65">
        <f t="shared" si="4"/>
        <v>1371.4285714285711</v>
      </c>
      <c r="F41" s="43" t="s">
        <v>41</v>
      </c>
      <c r="G41" s="43">
        <f t="shared" si="5"/>
        <v>15200</v>
      </c>
      <c r="H41" s="36"/>
      <c r="I41" s="30"/>
      <c r="J41" s="30"/>
      <c r="K41" s="48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">
      <c r="A42" s="62">
        <v>3</v>
      </c>
      <c r="B42" s="100">
        <v>45698</v>
      </c>
      <c r="C42" s="65">
        <v>5600</v>
      </c>
      <c r="D42" s="65">
        <f t="shared" si="3"/>
        <v>4000.0000000000005</v>
      </c>
      <c r="E42" s="65">
        <f t="shared" si="4"/>
        <v>1599.9999999999995</v>
      </c>
      <c r="F42" s="43" t="s">
        <v>41</v>
      </c>
      <c r="G42" s="43">
        <f t="shared" si="5"/>
        <v>9600</v>
      </c>
      <c r="H42" s="36"/>
      <c r="I42" s="30"/>
      <c r="J42" s="30"/>
      <c r="K42" s="199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">
      <c r="A43" s="62">
        <v>4</v>
      </c>
      <c r="B43" s="100">
        <v>45705</v>
      </c>
      <c r="C43" s="65">
        <v>5600</v>
      </c>
      <c r="D43" s="65">
        <f t="shared" si="3"/>
        <v>4000.0000000000005</v>
      </c>
      <c r="E43" s="65">
        <f t="shared" si="4"/>
        <v>1599.9999999999995</v>
      </c>
      <c r="F43" s="43" t="s">
        <v>41</v>
      </c>
      <c r="G43" s="43">
        <f t="shared" si="5"/>
        <v>4000</v>
      </c>
      <c r="H43" s="36"/>
      <c r="I43" s="30"/>
      <c r="J43" s="30"/>
      <c r="K43" s="122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">
      <c r="A44" s="62">
        <v>5</v>
      </c>
      <c r="B44" s="103">
        <v>45712</v>
      </c>
      <c r="C44" s="65">
        <v>4300</v>
      </c>
      <c r="D44" s="65">
        <f t="shared" si="3"/>
        <v>3071.4285714285716</v>
      </c>
      <c r="E44" s="65">
        <f t="shared" si="4"/>
        <v>1228.5714285714284</v>
      </c>
      <c r="F44" s="43" t="s">
        <v>41</v>
      </c>
      <c r="G44" s="43">
        <f t="shared" si="5"/>
        <v>-300</v>
      </c>
      <c r="H44" s="36"/>
      <c r="I44" s="30"/>
      <c r="J44" s="30"/>
      <c r="K44" s="122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">
      <c r="A45" s="62">
        <v>6</v>
      </c>
      <c r="B45" s="103"/>
      <c r="C45" s="65"/>
      <c r="D45" s="65">
        <f t="shared" si="3"/>
        <v>0</v>
      </c>
      <c r="E45" s="65">
        <f t="shared" si="4"/>
        <v>0</v>
      </c>
      <c r="F45" s="43" t="s">
        <v>107</v>
      </c>
      <c r="G45" s="43">
        <f t="shared" si="5"/>
        <v>-300</v>
      </c>
      <c r="H45" s="36"/>
      <c r="I45" s="30"/>
      <c r="J45" s="53"/>
      <c r="K45" s="249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x14ac:dyDescent="0.2">
      <c r="A46" s="62">
        <v>7</v>
      </c>
      <c r="B46" s="103"/>
      <c r="C46" s="65"/>
      <c r="D46" s="65">
        <f t="shared" si="3"/>
        <v>0</v>
      </c>
      <c r="E46" s="65">
        <f t="shared" si="4"/>
        <v>0</v>
      </c>
      <c r="F46" s="43" t="s">
        <v>107</v>
      </c>
      <c r="G46" s="43">
        <f t="shared" si="5"/>
        <v>-300</v>
      </c>
      <c r="H46" s="36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x14ac:dyDescent="0.2">
      <c r="A47" s="62">
        <v>8</v>
      </c>
      <c r="B47" s="103"/>
      <c r="C47" s="65"/>
      <c r="D47" s="65">
        <f t="shared" si="3"/>
        <v>0</v>
      </c>
      <c r="E47" s="65">
        <f t="shared" si="4"/>
        <v>0</v>
      </c>
      <c r="F47" s="43" t="s">
        <v>107</v>
      </c>
      <c r="G47" s="43">
        <f t="shared" si="5"/>
        <v>-300</v>
      </c>
      <c r="H47" s="36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">
      <c r="A48" s="105"/>
      <c r="B48" s="106"/>
      <c r="C48" s="65"/>
      <c r="D48" s="65">
        <f t="shared" si="3"/>
        <v>0</v>
      </c>
      <c r="E48" s="65">
        <f t="shared" si="4"/>
        <v>0</v>
      </c>
      <c r="F48" s="65"/>
      <c r="G48" s="65"/>
      <c r="H48" s="36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">
      <c r="A49" s="105"/>
      <c r="B49" s="106"/>
      <c r="C49" s="65"/>
      <c r="D49" s="65">
        <f t="shared" si="3"/>
        <v>0</v>
      </c>
      <c r="E49" s="65">
        <f t="shared" si="4"/>
        <v>0</v>
      </c>
      <c r="F49" s="65"/>
      <c r="G49" s="65"/>
      <c r="H49" s="36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">
      <c r="A50" s="89"/>
      <c r="B50" s="90"/>
      <c r="C50" s="91"/>
      <c r="D50" s="111">
        <f>SUMIFS(D40:D49, F40:F49, "Y")</f>
        <v>17357.142857142859</v>
      </c>
      <c r="E50" s="111">
        <f>SUMIFS(E40:E49, F40:F49, "Y")</f>
        <v>6942.8571428571422</v>
      </c>
      <c r="F50" s="92">
        <f>(SUMIFS(D40:D49, F40:F49, "Y") + SUMIFS(E40:E49, F40:F49, "Y"))</f>
        <v>24300</v>
      </c>
      <c r="G50" s="91"/>
      <c r="H50" s="93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x14ac:dyDescent="0.2">
      <c r="A56" s="256">
        <v>3</v>
      </c>
      <c r="B56" s="257"/>
      <c r="C56" s="31"/>
      <c r="D56" s="31"/>
      <c r="E56" s="31"/>
      <c r="F56" s="31"/>
      <c r="G56" s="31"/>
      <c r="H56" s="32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x14ac:dyDescent="0.2">
      <c r="A57" s="265" t="s">
        <v>7</v>
      </c>
      <c r="B57" s="259"/>
      <c r="C57" s="149">
        <v>20000</v>
      </c>
      <c r="D57" s="35"/>
      <c r="E57" s="35"/>
      <c r="F57" s="35"/>
      <c r="G57" s="35"/>
      <c r="H57" s="36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">
      <c r="A58" s="265" t="s">
        <v>8</v>
      </c>
      <c r="B58" s="259"/>
      <c r="C58" s="113">
        <v>45679</v>
      </c>
      <c r="D58" s="35"/>
      <c r="E58" s="38"/>
      <c r="F58" s="38"/>
      <c r="G58" s="38"/>
      <c r="H58" s="39" t="s">
        <v>10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x14ac:dyDescent="0.2">
      <c r="A59" s="265" t="s">
        <v>103</v>
      </c>
      <c r="B59" s="259"/>
      <c r="C59" s="65">
        <v>4000</v>
      </c>
      <c r="D59" s="44"/>
      <c r="E59" s="266" t="s">
        <v>14</v>
      </c>
      <c r="F59" s="45" t="s">
        <v>15</v>
      </c>
      <c r="G59" s="65">
        <v>20000</v>
      </c>
      <c r="H59" s="46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">
      <c r="A60" s="265" t="s">
        <v>17</v>
      </c>
      <c r="B60" s="259"/>
      <c r="C60" s="43">
        <v>2</v>
      </c>
      <c r="D60" s="44"/>
      <c r="E60" s="261"/>
      <c r="F60" s="45" t="s">
        <v>18</v>
      </c>
      <c r="G60" s="43">
        <v>0</v>
      </c>
      <c r="H60" s="46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2">
      <c r="A61" s="265" t="s">
        <v>20</v>
      </c>
      <c r="B61" s="259"/>
      <c r="C61" s="43">
        <f>C59*C60</f>
        <v>8000</v>
      </c>
      <c r="D61" s="35"/>
      <c r="E61" s="54"/>
      <c r="F61" s="35"/>
      <c r="G61" s="44"/>
      <c r="H61" s="36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">
      <c r="A62" s="265" t="s">
        <v>22</v>
      </c>
      <c r="B62" s="259"/>
      <c r="C62" s="33">
        <f>C57+C61</f>
        <v>28000</v>
      </c>
      <c r="D62" s="35"/>
      <c r="E62" s="35"/>
      <c r="F62" s="35"/>
      <c r="G62" s="35"/>
      <c r="H62" s="36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">
      <c r="A63" s="265" t="s">
        <v>24</v>
      </c>
      <c r="B63" s="259"/>
      <c r="C63" s="57">
        <v>500</v>
      </c>
      <c r="D63" s="35" t="s">
        <v>329</v>
      </c>
      <c r="E63" s="35"/>
      <c r="F63" s="35"/>
      <c r="G63" s="35"/>
      <c r="H63" s="36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">
      <c r="A64" s="265" t="s">
        <v>28</v>
      </c>
      <c r="B64" s="259"/>
      <c r="C64" s="58" t="s">
        <v>29</v>
      </c>
      <c r="D64" s="35"/>
      <c r="E64" s="35"/>
      <c r="F64" s="35"/>
      <c r="G64" s="35"/>
      <c r="H64" s="36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">
      <c r="A65" s="62" t="s">
        <v>31</v>
      </c>
      <c r="B65" s="63" t="s">
        <v>106</v>
      </c>
      <c r="C65" s="45" t="s">
        <v>33</v>
      </c>
      <c r="D65" s="45" t="s">
        <v>34</v>
      </c>
      <c r="E65" s="45" t="s">
        <v>35</v>
      </c>
      <c r="F65" s="45" t="s">
        <v>36</v>
      </c>
      <c r="G65" s="45" t="s">
        <v>37</v>
      </c>
      <c r="H65" s="36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">
      <c r="A66" s="62">
        <v>0</v>
      </c>
      <c r="B66" s="65"/>
      <c r="C66" s="65"/>
      <c r="D66" s="65"/>
      <c r="E66" s="65"/>
      <c r="F66" s="65"/>
      <c r="G66" s="43">
        <f>C62</f>
        <v>28000</v>
      </c>
      <c r="H66" s="36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">
      <c r="A67" s="62">
        <v>1</v>
      </c>
      <c r="B67" s="100">
        <v>45685</v>
      </c>
      <c r="C67" s="65">
        <v>2000</v>
      </c>
      <c r="D67" s="65">
        <f t="shared" ref="D67:D76" si="6">C67/1.4</f>
        <v>1428.5714285714287</v>
      </c>
      <c r="E67" s="65">
        <f t="shared" ref="E67:E76" si="7">C67-D67</f>
        <v>571.42857142857133</v>
      </c>
      <c r="F67" s="43" t="s">
        <v>41</v>
      </c>
      <c r="G67" s="43">
        <f t="shared" ref="G67:G74" si="8">(G66-C67)</f>
        <v>26000</v>
      </c>
      <c r="H67" s="36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">
      <c r="A68" s="62">
        <v>2</v>
      </c>
      <c r="B68" s="100">
        <v>45691</v>
      </c>
      <c r="C68" s="65">
        <v>2500</v>
      </c>
      <c r="D68" s="65">
        <f t="shared" si="6"/>
        <v>1785.7142857142858</v>
      </c>
      <c r="E68" s="65">
        <f t="shared" si="7"/>
        <v>714.28571428571422</v>
      </c>
      <c r="F68" s="43" t="s">
        <v>41</v>
      </c>
      <c r="G68" s="43">
        <f t="shared" si="8"/>
        <v>23500</v>
      </c>
      <c r="H68" s="36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1:33" x14ac:dyDescent="0.2">
      <c r="A69" s="62">
        <v>3</v>
      </c>
      <c r="B69" s="100">
        <v>45698</v>
      </c>
      <c r="C69" s="65">
        <v>3000</v>
      </c>
      <c r="D69" s="65">
        <f t="shared" si="6"/>
        <v>2142.8571428571431</v>
      </c>
      <c r="E69" s="65">
        <f t="shared" si="7"/>
        <v>857.14285714285688</v>
      </c>
      <c r="F69" s="43" t="s">
        <v>41</v>
      </c>
      <c r="G69" s="43">
        <f t="shared" si="8"/>
        <v>20500</v>
      </c>
      <c r="H69" s="36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1:33" x14ac:dyDescent="0.2">
      <c r="A70" s="62">
        <v>4</v>
      </c>
      <c r="B70" s="100">
        <v>45705</v>
      </c>
      <c r="C70" s="65">
        <v>3000</v>
      </c>
      <c r="D70" s="65">
        <f t="shared" si="6"/>
        <v>2142.8571428571431</v>
      </c>
      <c r="E70" s="65">
        <f t="shared" si="7"/>
        <v>857.14285714285688</v>
      </c>
      <c r="F70" s="43" t="s">
        <v>41</v>
      </c>
      <c r="G70" s="43">
        <f t="shared" si="8"/>
        <v>17500</v>
      </c>
      <c r="H70" s="36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1:33" x14ac:dyDescent="0.2">
      <c r="A71" s="62">
        <v>5</v>
      </c>
      <c r="B71" s="103">
        <v>45706</v>
      </c>
      <c r="C71" s="65">
        <v>500</v>
      </c>
      <c r="D71" s="65">
        <f t="shared" si="6"/>
        <v>357.14285714285717</v>
      </c>
      <c r="E71" s="65">
        <f t="shared" si="7"/>
        <v>142.85714285714283</v>
      </c>
      <c r="F71" s="43" t="s">
        <v>41</v>
      </c>
      <c r="G71" s="43">
        <f t="shared" si="8"/>
        <v>17000</v>
      </c>
      <c r="H71" s="36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x14ac:dyDescent="0.2">
      <c r="A72" s="62">
        <v>6</v>
      </c>
      <c r="B72" s="103">
        <v>45706</v>
      </c>
      <c r="C72" s="65">
        <v>17000</v>
      </c>
      <c r="D72" s="65">
        <f t="shared" si="6"/>
        <v>12142.857142857143</v>
      </c>
      <c r="E72" s="65">
        <f t="shared" si="7"/>
        <v>4857.1428571428569</v>
      </c>
      <c r="F72" s="43" t="s">
        <v>41</v>
      </c>
      <c r="G72" s="43">
        <f t="shared" si="8"/>
        <v>0</v>
      </c>
      <c r="H72" s="36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1:33" x14ac:dyDescent="0.2">
      <c r="A73" s="62">
        <v>7</v>
      </c>
      <c r="B73" s="103"/>
      <c r="C73" s="65"/>
      <c r="D73" s="65">
        <f t="shared" si="6"/>
        <v>0</v>
      </c>
      <c r="E73" s="65">
        <f t="shared" si="7"/>
        <v>0</v>
      </c>
      <c r="F73" s="43" t="s">
        <v>107</v>
      </c>
      <c r="G73" s="43">
        <f t="shared" si="8"/>
        <v>0</v>
      </c>
      <c r="H73" s="36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1:33" x14ac:dyDescent="0.2">
      <c r="A74" s="62">
        <v>8</v>
      </c>
      <c r="B74" s="103"/>
      <c r="C74" s="65"/>
      <c r="D74" s="65">
        <f t="shared" si="6"/>
        <v>0</v>
      </c>
      <c r="E74" s="65">
        <f t="shared" si="7"/>
        <v>0</v>
      </c>
      <c r="F74" s="43" t="s">
        <v>107</v>
      </c>
      <c r="G74" s="43">
        <f t="shared" si="8"/>
        <v>0</v>
      </c>
      <c r="H74" s="36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1:33" x14ac:dyDescent="0.2">
      <c r="A75" s="105"/>
      <c r="B75" s="106"/>
      <c r="C75" s="65"/>
      <c r="D75" s="65">
        <f t="shared" si="6"/>
        <v>0</v>
      </c>
      <c r="E75" s="65">
        <f t="shared" si="7"/>
        <v>0</v>
      </c>
      <c r="F75" s="65"/>
      <c r="G75" s="65"/>
      <c r="H75" s="36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1:33" x14ac:dyDescent="0.2">
      <c r="A76" s="105"/>
      <c r="B76" s="106"/>
      <c r="C76" s="65"/>
      <c r="D76" s="65">
        <f t="shared" si="6"/>
        <v>0</v>
      </c>
      <c r="E76" s="65">
        <f t="shared" si="7"/>
        <v>0</v>
      </c>
      <c r="F76" s="65"/>
      <c r="G76" s="65"/>
      <c r="H76" s="36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1:33" x14ac:dyDescent="0.2">
      <c r="A77" s="89"/>
      <c r="B77" s="90"/>
      <c r="C77" s="91"/>
      <c r="D77" s="111">
        <f>SUMIFS(D67:D76, F67:F76, "Y")</f>
        <v>20000</v>
      </c>
      <c r="E77" s="111">
        <f>SUMIFS(E67:E76, F67:F76, "Y")</f>
        <v>7999.9999999999982</v>
      </c>
      <c r="F77" s="92">
        <f>(SUMIFS(D67:D76, F67:F76, "Y") + SUMIFS(E67:E76, F67:F76, "Y"))</f>
        <v>28000</v>
      </c>
      <c r="G77" s="91"/>
      <c r="H77" s="9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1:33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1:33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1:33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1:33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1:33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1:33" x14ac:dyDescent="0.2">
      <c r="A83" s="256">
        <v>4</v>
      </c>
      <c r="B83" s="257"/>
      <c r="C83" s="119"/>
      <c r="D83" s="119"/>
      <c r="E83" s="119"/>
      <c r="F83" s="119"/>
      <c r="G83" s="119"/>
      <c r="H83" s="12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1:33" x14ac:dyDescent="0.2">
      <c r="A84" s="258" t="s">
        <v>7</v>
      </c>
      <c r="B84" s="259"/>
      <c r="C84" s="148">
        <v>100000</v>
      </c>
      <c r="D84" s="30"/>
      <c r="E84" s="30"/>
      <c r="F84" s="30"/>
      <c r="G84" s="30"/>
      <c r="H84" s="12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1:33" x14ac:dyDescent="0.2">
      <c r="A85" s="258" t="s">
        <v>8</v>
      </c>
      <c r="B85" s="259"/>
      <c r="C85" s="82"/>
      <c r="D85" s="30"/>
      <c r="E85" s="49"/>
      <c r="F85" s="49"/>
      <c r="G85" s="49"/>
      <c r="H85" s="125" t="s">
        <v>10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1:33" x14ac:dyDescent="0.2">
      <c r="A86" s="258" t="s">
        <v>152</v>
      </c>
      <c r="B86" s="259"/>
      <c r="C86" s="135">
        <v>15000</v>
      </c>
      <c r="D86" s="66"/>
      <c r="E86" s="260" t="s">
        <v>14</v>
      </c>
      <c r="F86" s="126" t="s">
        <v>15</v>
      </c>
      <c r="G86" s="135">
        <v>100000</v>
      </c>
      <c r="H86" s="127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1:33" x14ac:dyDescent="0.2">
      <c r="A87" s="258" t="s">
        <v>17</v>
      </c>
      <c r="B87" s="259"/>
      <c r="C87" s="50">
        <v>3</v>
      </c>
      <c r="D87" s="66" t="s">
        <v>153</v>
      </c>
      <c r="E87" s="261"/>
      <c r="F87" s="126" t="s">
        <v>18</v>
      </c>
      <c r="G87" s="50">
        <v>0</v>
      </c>
      <c r="H87" s="127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1:33" x14ac:dyDescent="0.2">
      <c r="A88" s="258" t="s">
        <v>20</v>
      </c>
      <c r="B88" s="259"/>
      <c r="C88" s="50">
        <f>C86*C87</f>
        <v>45000</v>
      </c>
      <c r="D88" s="30"/>
      <c r="E88" s="128"/>
      <c r="F88" s="30"/>
      <c r="G88" s="66"/>
      <c r="H88" s="123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1:33" x14ac:dyDescent="0.2">
      <c r="A89" s="258" t="s">
        <v>22</v>
      </c>
      <c r="B89" s="259"/>
      <c r="C89" s="121">
        <f>C84+C88</f>
        <v>145000</v>
      </c>
      <c r="D89" s="30"/>
      <c r="E89" s="30"/>
      <c r="F89" s="30"/>
      <c r="G89" s="30"/>
      <c r="H89" s="123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1:33" x14ac:dyDescent="0.2">
      <c r="A90" s="258" t="s">
        <v>166</v>
      </c>
      <c r="B90" s="259"/>
      <c r="C90" s="146" t="s">
        <v>330</v>
      </c>
      <c r="D90" s="30" t="s">
        <v>331</v>
      </c>
      <c r="E90" s="30"/>
      <c r="F90" s="30"/>
      <c r="G90" s="30"/>
      <c r="H90" s="123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1:33" x14ac:dyDescent="0.2">
      <c r="A91" s="258" t="s">
        <v>28</v>
      </c>
      <c r="B91" s="259"/>
      <c r="C91" s="130" t="s">
        <v>29</v>
      </c>
      <c r="D91" s="30"/>
      <c r="E91" s="30"/>
      <c r="F91" s="30"/>
      <c r="G91" s="30"/>
      <c r="H91" s="123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1:33" x14ac:dyDescent="0.2">
      <c r="A92" s="131" t="s">
        <v>31</v>
      </c>
      <c r="B92" s="132" t="s">
        <v>106</v>
      </c>
      <c r="C92" s="133" t="s">
        <v>33</v>
      </c>
      <c r="D92" s="133" t="s">
        <v>34</v>
      </c>
      <c r="E92" s="133" t="s">
        <v>35</v>
      </c>
      <c r="F92" s="133" t="s">
        <v>36</v>
      </c>
      <c r="G92" s="133" t="s">
        <v>37</v>
      </c>
      <c r="H92" s="123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1:33" x14ac:dyDescent="0.2">
      <c r="A93" s="134">
        <v>0</v>
      </c>
      <c r="B93" s="135"/>
      <c r="C93" s="135"/>
      <c r="D93" s="135"/>
      <c r="E93" s="135"/>
      <c r="F93" s="135"/>
      <c r="G93" s="50">
        <f>C89</f>
        <v>145000</v>
      </c>
      <c r="H93" s="123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1:33" x14ac:dyDescent="0.2">
      <c r="A94" s="134">
        <v>1</v>
      </c>
      <c r="B94" s="136">
        <v>45691</v>
      </c>
      <c r="C94" s="135">
        <v>1450</v>
      </c>
      <c r="D94" s="135">
        <f t="shared" ref="D94:D110" si="9">C94/1.45</f>
        <v>1000</v>
      </c>
      <c r="E94" s="135">
        <f t="shared" ref="E94:E110" si="10">C94-D94</f>
        <v>450</v>
      </c>
      <c r="F94" s="50" t="s">
        <v>41</v>
      </c>
      <c r="G94" s="50">
        <f t="shared" ref="G94:G110" si="11">(G93-C94)</f>
        <v>143550</v>
      </c>
      <c r="H94" s="123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1:33" x14ac:dyDescent="0.2">
      <c r="A95" s="134">
        <v>2</v>
      </c>
      <c r="B95" s="136">
        <v>45698</v>
      </c>
      <c r="C95" s="135">
        <v>8900</v>
      </c>
      <c r="D95" s="135">
        <f t="shared" si="9"/>
        <v>6137.9310344827591</v>
      </c>
      <c r="E95" s="135">
        <f t="shared" si="10"/>
        <v>2762.0689655172409</v>
      </c>
      <c r="F95" s="50" t="s">
        <v>41</v>
      </c>
      <c r="G95" s="50">
        <f t="shared" si="11"/>
        <v>134650</v>
      </c>
      <c r="H95" s="123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1:33" x14ac:dyDescent="0.2">
      <c r="A96" s="134">
        <v>3</v>
      </c>
      <c r="B96" s="136">
        <v>45705</v>
      </c>
      <c r="C96" s="135">
        <v>9000</v>
      </c>
      <c r="D96" s="135">
        <f t="shared" si="9"/>
        <v>6206.8965517241377</v>
      </c>
      <c r="E96" s="135">
        <f t="shared" si="10"/>
        <v>2793.1034482758623</v>
      </c>
      <c r="F96" s="50" t="s">
        <v>41</v>
      </c>
      <c r="G96" s="50">
        <f t="shared" si="11"/>
        <v>125650</v>
      </c>
      <c r="H96" s="123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1:33" x14ac:dyDescent="0.2">
      <c r="A97" s="134">
        <v>4</v>
      </c>
      <c r="B97" s="136">
        <v>45712</v>
      </c>
      <c r="C97" s="135">
        <v>10500</v>
      </c>
      <c r="D97" s="135">
        <f t="shared" si="9"/>
        <v>7241.3793103448279</v>
      </c>
      <c r="E97" s="135">
        <f t="shared" si="10"/>
        <v>3258.6206896551721</v>
      </c>
      <c r="F97" s="50" t="s">
        <v>41</v>
      </c>
      <c r="G97" s="50">
        <f t="shared" si="11"/>
        <v>115150</v>
      </c>
      <c r="H97" s="123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1:33" x14ac:dyDescent="0.2">
      <c r="A98" s="134">
        <v>5</v>
      </c>
      <c r="B98" s="137">
        <v>45719</v>
      </c>
      <c r="C98" s="135">
        <v>9000</v>
      </c>
      <c r="D98" s="135">
        <f t="shared" si="9"/>
        <v>6206.8965517241377</v>
      </c>
      <c r="E98" s="135">
        <f t="shared" si="10"/>
        <v>2793.1034482758623</v>
      </c>
      <c r="F98" s="50" t="s">
        <v>41</v>
      </c>
      <c r="G98" s="50">
        <f t="shared" si="11"/>
        <v>106150</v>
      </c>
      <c r="H98" s="123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1:33" x14ac:dyDescent="0.2">
      <c r="A99" s="134">
        <v>6</v>
      </c>
      <c r="B99" s="137">
        <v>45726</v>
      </c>
      <c r="C99" s="135">
        <v>9000</v>
      </c>
      <c r="D99" s="135">
        <f t="shared" si="9"/>
        <v>6206.8965517241377</v>
      </c>
      <c r="E99" s="135">
        <f t="shared" si="10"/>
        <v>2793.1034482758623</v>
      </c>
      <c r="F99" s="50" t="s">
        <v>41</v>
      </c>
      <c r="G99" s="50">
        <f t="shared" si="11"/>
        <v>97150</v>
      </c>
      <c r="H99" s="123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1:33" x14ac:dyDescent="0.2">
      <c r="A100" s="134">
        <v>7</v>
      </c>
      <c r="B100" s="137">
        <v>45733</v>
      </c>
      <c r="C100" s="135">
        <v>9000</v>
      </c>
      <c r="D100" s="135">
        <f t="shared" si="9"/>
        <v>6206.8965517241377</v>
      </c>
      <c r="E100" s="135">
        <f t="shared" si="10"/>
        <v>2793.1034482758623</v>
      </c>
      <c r="F100" s="50" t="s">
        <v>41</v>
      </c>
      <c r="G100" s="50">
        <f t="shared" si="11"/>
        <v>88150</v>
      </c>
      <c r="H100" s="123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1:33" x14ac:dyDescent="0.2">
      <c r="A101" s="134">
        <v>8</v>
      </c>
      <c r="B101" s="137">
        <v>45740</v>
      </c>
      <c r="C101" s="135">
        <v>6000</v>
      </c>
      <c r="D101" s="135">
        <f t="shared" si="9"/>
        <v>4137.9310344827591</v>
      </c>
      <c r="E101" s="135">
        <f t="shared" si="10"/>
        <v>1862.0689655172409</v>
      </c>
      <c r="F101" s="50" t="s">
        <v>41</v>
      </c>
      <c r="G101" s="50">
        <f t="shared" si="11"/>
        <v>82150</v>
      </c>
      <c r="H101" s="123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 x14ac:dyDescent="0.2">
      <c r="A102" s="134">
        <v>9</v>
      </c>
      <c r="B102" s="137">
        <v>45747</v>
      </c>
      <c r="C102" s="135">
        <v>9000</v>
      </c>
      <c r="D102" s="135">
        <f t="shared" si="9"/>
        <v>6206.8965517241377</v>
      </c>
      <c r="E102" s="135">
        <f t="shared" si="10"/>
        <v>2793.1034482758623</v>
      </c>
      <c r="F102" s="50" t="s">
        <v>41</v>
      </c>
      <c r="G102" s="50">
        <f t="shared" si="11"/>
        <v>73150</v>
      </c>
      <c r="H102" s="123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 x14ac:dyDescent="0.2">
      <c r="A103" s="134">
        <v>10</v>
      </c>
      <c r="B103" s="137">
        <v>45754</v>
      </c>
      <c r="C103" s="135">
        <v>3000</v>
      </c>
      <c r="D103" s="135">
        <f t="shared" si="9"/>
        <v>2068.9655172413795</v>
      </c>
      <c r="E103" s="135">
        <f t="shared" si="10"/>
        <v>931.03448275862047</v>
      </c>
      <c r="F103" s="50" t="s">
        <v>41</v>
      </c>
      <c r="G103" s="50">
        <f t="shared" si="11"/>
        <v>70150</v>
      </c>
      <c r="H103" s="123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 x14ac:dyDescent="0.2">
      <c r="A104" s="134">
        <v>11</v>
      </c>
      <c r="B104" s="137">
        <v>45761</v>
      </c>
      <c r="C104" s="135">
        <v>3000</v>
      </c>
      <c r="D104" s="135">
        <f t="shared" si="9"/>
        <v>2068.9655172413795</v>
      </c>
      <c r="E104" s="135">
        <f t="shared" si="10"/>
        <v>931.03448275862047</v>
      </c>
      <c r="F104" s="50" t="s">
        <v>41</v>
      </c>
      <c r="G104" s="50">
        <f t="shared" si="11"/>
        <v>67150</v>
      </c>
      <c r="H104" s="123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1:33" x14ac:dyDescent="0.2">
      <c r="A105" s="134">
        <v>12</v>
      </c>
      <c r="B105" s="137">
        <v>45768</v>
      </c>
      <c r="C105" s="135">
        <v>0</v>
      </c>
      <c r="D105" s="135">
        <f t="shared" si="9"/>
        <v>0</v>
      </c>
      <c r="E105" s="135">
        <f t="shared" si="10"/>
        <v>0</v>
      </c>
      <c r="F105" s="50" t="s">
        <v>168</v>
      </c>
      <c r="G105" s="50">
        <f t="shared" si="11"/>
        <v>67150</v>
      </c>
      <c r="H105" s="123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1:33" x14ac:dyDescent="0.2">
      <c r="A106" s="134">
        <v>13</v>
      </c>
      <c r="B106" s="137">
        <v>45775</v>
      </c>
      <c r="C106" s="135">
        <v>4000</v>
      </c>
      <c r="D106" s="135">
        <f t="shared" si="9"/>
        <v>2758.6206896551726</v>
      </c>
      <c r="E106" s="135">
        <f t="shared" si="10"/>
        <v>1241.3793103448274</v>
      </c>
      <c r="F106" s="50" t="s">
        <v>41</v>
      </c>
      <c r="G106" s="50">
        <f t="shared" si="11"/>
        <v>63150</v>
      </c>
      <c r="H106" s="12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1:33" x14ac:dyDescent="0.2">
      <c r="A107" s="134">
        <v>14</v>
      </c>
      <c r="B107" s="137">
        <v>45782</v>
      </c>
      <c r="C107" s="135">
        <v>4000</v>
      </c>
      <c r="D107" s="135">
        <f t="shared" si="9"/>
        <v>2758.6206896551726</v>
      </c>
      <c r="E107" s="135">
        <f t="shared" si="10"/>
        <v>1241.3793103448274</v>
      </c>
      <c r="F107" s="50" t="s">
        <v>41</v>
      </c>
      <c r="G107" s="50">
        <f t="shared" si="11"/>
        <v>59150</v>
      </c>
      <c r="H107" s="123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1:33" x14ac:dyDescent="0.2">
      <c r="A108" s="134">
        <v>15</v>
      </c>
      <c r="B108" s="137">
        <v>45789</v>
      </c>
      <c r="C108" s="135">
        <v>4500</v>
      </c>
      <c r="D108" s="135">
        <f t="shared" si="9"/>
        <v>3103.4482758620688</v>
      </c>
      <c r="E108" s="135">
        <f t="shared" si="10"/>
        <v>1396.5517241379312</v>
      </c>
      <c r="F108" s="50" t="s">
        <v>107</v>
      </c>
      <c r="G108" s="50">
        <f t="shared" si="11"/>
        <v>54650</v>
      </c>
      <c r="H108" s="123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1:33" x14ac:dyDescent="0.2">
      <c r="A109" s="134">
        <v>16</v>
      </c>
      <c r="B109" s="137">
        <v>45796</v>
      </c>
      <c r="C109" s="135"/>
      <c r="D109" s="135">
        <f t="shared" si="9"/>
        <v>0</v>
      </c>
      <c r="E109" s="135">
        <f t="shared" si="10"/>
        <v>0</v>
      </c>
      <c r="F109" s="50" t="s">
        <v>107</v>
      </c>
      <c r="G109" s="50">
        <f t="shared" si="11"/>
        <v>54650</v>
      </c>
      <c r="H109" s="123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1:33" x14ac:dyDescent="0.2">
      <c r="A110" s="134">
        <v>17</v>
      </c>
      <c r="B110" s="137">
        <v>45803</v>
      </c>
      <c r="C110" s="135"/>
      <c r="D110" s="135">
        <f t="shared" si="9"/>
        <v>0</v>
      </c>
      <c r="E110" s="135">
        <f t="shared" si="10"/>
        <v>0</v>
      </c>
      <c r="F110" s="50" t="s">
        <v>107</v>
      </c>
      <c r="G110" s="50">
        <f t="shared" si="11"/>
        <v>54650</v>
      </c>
      <c r="H110" s="123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33" x14ac:dyDescent="0.2">
      <c r="A111" s="138"/>
      <c r="B111" s="139"/>
      <c r="C111" s="140"/>
      <c r="D111" s="141">
        <f>SUMIFS(D94:D110, F94:F110, "Y")</f>
        <v>59206.896551724138</v>
      </c>
      <c r="E111" s="142">
        <f>SUMIFS(E94:E110, F94:F110, "Y")</f>
        <v>26643.103448275855</v>
      </c>
      <c r="F111" s="143">
        <f>(SUMIFS(D94:D110, F94:F110, "Y") + SUMIFS(E94:E110, F94:F110, "Y"))</f>
        <v>85850</v>
      </c>
      <c r="G111" s="140"/>
      <c r="H111" s="14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33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1:33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1:33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 x14ac:dyDescent="0.2">
      <c r="A117" s="256">
        <v>5</v>
      </c>
      <c r="B117" s="257"/>
      <c r="C117" s="119"/>
      <c r="D117" s="119"/>
      <c r="E117" s="119"/>
      <c r="F117" s="119"/>
      <c r="G117" s="119"/>
      <c r="H117" s="12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 x14ac:dyDescent="0.2">
      <c r="A118" s="258" t="s">
        <v>7</v>
      </c>
      <c r="B118" s="259"/>
      <c r="C118" s="148">
        <v>40000</v>
      </c>
      <c r="D118" s="30" t="s">
        <v>332</v>
      </c>
      <c r="E118" s="30"/>
      <c r="F118" s="30"/>
      <c r="G118" s="30"/>
      <c r="H118" s="123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 x14ac:dyDescent="0.2">
      <c r="A119" s="258" t="s">
        <v>8</v>
      </c>
      <c r="B119" s="259"/>
      <c r="C119" s="82">
        <v>45691</v>
      </c>
      <c r="D119" s="30"/>
      <c r="E119" s="49"/>
      <c r="F119" s="49"/>
      <c r="G119" s="49"/>
      <c r="H119" s="125" t="s">
        <v>10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 x14ac:dyDescent="0.2">
      <c r="A120" s="258" t="s">
        <v>152</v>
      </c>
      <c r="B120" s="259"/>
      <c r="C120" s="135">
        <v>6000</v>
      </c>
      <c r="D120" s="66" t="s">
        <v>282</v>
      </c>
      <c r="E120" s="260" t="s">
        <v>14</v>
      </c>
      <c r="F120" s="126" t="s">
        <v>15</v>
      </c>
      <c r="G120" s="135">
        <v>14750</v>
      </c>
      <c r="H120" s="127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 x14ac:dyDescent="0.2">
      <c r="A121" s="258" t="s">
        <v>17</v>
      </c>
      <c r="B121" s="259"/>
      <c r="C121" s="50">
        <v>3</v>
      </c>
      <c r="D121" s="66" t="s">
        <v>153</v>
      </c>
      <c r="E121" s="261"/>
      <c r="F121" s="126" t="s">
        <v>18</v>
      </c>
      <c r="G121" s="50">
        <v>25250</v>
      </c>
      <c r="H121" s="127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 x14ac:dyDescent="0.2">
      <c r="A122" s="258" t="s">
        <v>20</v>
      </c>
      <c r="B122" s="259"/>
      <c r="C122" s="50">
        <f>C120*C121</f>
        <v>18000</v>
      </c>
      <c r="D122" s="30"/>
      <c r="E122" s="128"/>
      <c r="F122" s="30"/>
      <c r="G122" s="66"/>
      <c r="H122" s="123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 x14ac:dyDescent="0.2">
      <c r="A123" s="258" t="s">
        <v>22</v>
      </c>
      <c r="B123" s="259"/>
      <c r="C123" s="121">
        <f>C118+C122</f>
        <v>58000</v>
      </c>
      <c r="D123" s="30"/>
      <c r="E123" s="30"/>
      <c r="F123" s="30"/>
      <c r="G123" s="30"/>
      <c r="H123" s="123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 x14ac:dyDescent="0.2">
      <c r="A124" s="258" t="s">
        <v>166</v>
      </c>
      <c r="B124" s="259"/>
      <c r="C124" s="146">
        <v>580</v>
      </c>
      <c r="D124" s="30" t="s">
        <v>333</v>
      </c>
      <c r="E124" s="30" t="s">
        <v>284</v>
      </c>
      <c r="F124" s="30"/>
      <c r="G124" s="30"/>
      <c r="H124" s="123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 x14ac:dyDescent="0.2">
      <c r="A125" s="258" t="s">
        <v>28</v>
      </c>
      <c r="B125" s="259"/>
      <c r="C125" s="130" t="s">
        <v>29</v>
      </c>
      <c r="D125" s="30"/>
      <c r="E125" s="30"/>
      <c r="F125" s="30"/>
      <c r="G125" s="30"/>
      <c r="H125" s="123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 x14ac:dyDescent="0.2">
      <c r="A126" s="131" t="s">
        <v>31</v>
      </c>
      <c r="B126" s="132" t="s">
        <v>106</v>
      </c>
      <c r="C126" s="133" t="s">
        <v>33</v>
      </c>
      <c r="D126" s="133" t="s">
        <v>34</v>
      </c>
      <c r="E126" s="133" t="s">
        <v>35</v>
      </c>
      <c r="F126" s="133" t="s">
        <v>36</v>
      </c>
      <c r="G126" s="133" t="s">
        <v>37</v>
      </c>
      <c r="H126" s="123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 x14ac:dyDescent="0.2">
      <c r="A127" s="134">
        <v>0</v>
      </c>
      <c r="B127" s="135"/>
      <c r="C127" s="135"/>
      <c r="D127" s="135"/>
      <c r="E127" s="135"/>
      <c r="F127" s="135"/>
      <c r="G127" s="50">
        <f>C123</f>
        <v>58000</v>
      </c>
      <c r="H127" s="123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 x14ac:dyDescent="0.2">
      <c r="A128" s="134">
        <v>1</v>
      </c>
      <c r="B128" s="126" t="s">
        <v>285</v>
      </c>
      <c r="C128" s="135">
        <v>3000</v>
      </c>
      <c r="D128" s="135">
        <f t="shared" ref="D128:D144" si="12">C128/1.45</f>
        <v>2068.9655172413795</v>
      </c>
      <c r="E128" s="135">
        <f t="shared" ref="E128:E144" si="13">C128-D128</f>
        <v>931.03448275862047</v>
      </c>
      <c r="F128" s="50" t="s">
        <v>41</v>
      </c>
      <c r="G128" s="50">
        <f t="shared" ref="G128:G144" si="14">(G127-C128)</f>
        <v>55000</v>
      </c>
      <c r="H128" s="123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1:33" x14ac:dyDescent="0.2">
      <c r="A129" s="134">
        <v>2</v>
      </c>
      <c r="B129" s="126" t="s">
        <v>286</v>
      </c>
      <c r="C129" s="135">
        <v>3600</v>
      </c>
      <c r="D129" s="135">
        <f t="shared" si="12"/>
        <v>2482.7586206896553</v>
      </c>
      <c r="E129" s="135">
        <f t="shared" si="13"/>
        <v>1117.2413793103447</v>
      </c>
      <c r="F129" s="50" t="s">
        <v>41</v>
      </c>
      <c r="G129" s="50">
        <f t="shared" si="14"/>
        <v>51400</v>
      </c>
      <c r="H129" s="123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1:33" x14ac:dyDescent="0.2">
      <c r="A130" s="134">
        <v>3</v>
      </c>
      <c r="B130" s="126" t="s">
        <v>287</v>
      </c>
      <c r="C130" s="135">
        <v>4200</v>
      </c>
      <c r="D130" s="135">
        <f t="shared" si="12"/>
        <v>2896.5517241379312</v>
      </c>
      <c r="E130" s="135">
        <f t="shared" si="13"/>
        <v>1303.4482758620688</v>
      </c>
      <c r="F130" s="50" t="s">
        <v>41</v>
      </c>
      <c r="G130" s="50">
        <f t="shared" si="14"/>
        <v>47200</v>
      </c>
      <c r="H130" s="123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1:33" x14ac:dyDescent="0.2">
      <c r="A131" s="134">
        <v>4</v>
      </c>
      <c r="B131" s="126" t="s">
        <v>288</v>
      </c>
      <c r="C131" s="135">
        <v>3600</v>
      </c>
      <c r="D131" s="135">
        <f t="shared" si="12"/>
        <v>2482.7586206896553</v>
      </c>
      <c r="E131" s="135">
        <f t="shared" si="13"/>
        <v>1117.2413793103447</v>
      </c>
      <c r="F131" s="50" t="s">
        <v>41</v>
      </c>
      <c r="G131" s="50">
        <f t="shared" si="14"/>
        <v>43600</v>
      </c>
      <c r="H131" s="123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1:33" x14ac:dyDescent="0.2">
      <c r="A132" s="134">
        <v>5</v>
      </c>
      <c r="B132" s="126" t="s">
        <v>289</v>
      </c>
      <c r="C132" s="135">
        <v>3600</v>
      </c>
      <c r="D132" s="135">
        <f t="shared" si="12"/>
        <v>2482.7586206896553</v>
      </c>
      <c r="E132" s="135">
        <f t="shared" si="13"/>
        <v>1117.2413793103447</v>
      </c>
      <c r="F132" s="50" t="s">
        <v>41</v>
      </c>
      <c r="G132" s="50">
        <f t="shared" si="14"/>
        <v>40000</v>
      </c>
      <c r="H132" s="123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1:33" x14ac:dyDescent="0.2">
      <c r="A133" s="134">
        <v>6</v>
      </c>
      <c r="B133" s="126" t="s">
        <v>290</v>
      </c>
      <c r="C133" s="135">
        <v>3600</v>
      </c>
      <c r="D133" s="135">
        <f t="shared" si="12"/>
        <v>2482.7586206896553</v>
      </c>
      <c r="E133" s="135">
        <f t="shared" si="13"/>
        <v>1117.2413793103447</v>
      </c>
      <c r="F133" s="50" t="s">
        <v>41</v>
      </c>
      <c r="G133" s="50">
        <f t="shared" si="14"/>
        <v>36400</v>
      </c>
      <c r="H133" s="123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1:33" x14ac:dyDescent="0.2">
      <c r="A134" s="134">
        <v>7</v>
      </c>
      <c r="B134" s="126" t="s">
        <v>291</v>
      </c>
      <c r="C134" s="135">
        <v>2400</v>
      </c>
      <c r="D134" s="135">
        <f t="shared" si="12"/>
        <v>1655.1724137931035</v>
      </c>
      <c r="E134" s="135">
        <f t="shared" si="13"/>
        <v>744.82758620689651</v>
      </c>
      <c r="F134" s="50" t="s">
        <v>41</v>
      </c>
      <c r="G134" s="50">
        <f t="shared" si="14"/>
        <v>34000</v>
      </c>
      <c r="H134" s="123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1:33" x14ac:dyDescent="0.2">
      <c r="A135" s="134">
        <v>8</v>
      </c>
      <c r="B135" s="126" t="s">
        <v>292</v>
      </c>
      <c r="C135" s="135">
        <v>3600</v>
      </c>
      <c r="D135" s="135">
        <f t="shared" si="12"/>
        <v>2482.7586206896553</v>
      </c>
      <c r="E135" s="135">
        <f t="shared" si="13"/>
        <v>1117.2413793103447</v>
      </c>
      <c r="F135" s="50" t="s">
        <v>41</v>
      </c>
      <c r="G135" s="50">
        <f t="shared" si="14"/>
        <v>30400</v>
      </c>
      <c r="H135" s="123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1:33" x14ac:dyDescent="0.2">
      <c r="A136" s="134">
        <v>9</v>
      </c>
      <c r="B136" s="126" t="s">
        <v>293</v>
      </c>
      <c r="C136" s="135">
        <v>1200</v>
      </c>
      <c r="D136" s="135">
        <f t="shared" si="12"/>
        <v>827.58620689655174</v>
      </c>
      <c r="E136" s="135">
        <f t="shared" si="13"/>
        <v>372.41379310344826</v>
      </c>
      <c r="F136" s="50" t="s">
        <v>41</v>
      </c>
      <c r="G136" s="50">
        <f t="shared" si="14"/>
        <v>29200</v>
      </c>
      <c r="H136" s="123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1:33" x14ac:dyDescent="0.2">
      <c r="A137" s="134">
        <v>10</v>
      </c>
      <c r="B137" s="126" t="s">
        <v>294</v>
      </c>
      <c r="C137" s="135">
        <v>1200</v>
      </c>
      <c r="D137" s="135">
        <f t="shared" si="12"/>
        <v>827.58620689655174</v>
      </c>
      <c r="E137" s="135">
        <f t="shared" si="13"/>
        <v>372.41379310344826</v>
      </c>
      <c r="F137" s="50" t="s">
        <v>41</v>
      </c>
      <c r="G137" s="50">
        <f t="shared" si="14"/>
        <v>28000</v>
      </c>
      <c r="H137" s="123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1:33" x14ac:dyDescent="0.2">
      <c r="A138" s="134">
        <v>11</v>
      </c>
      <c r="B138" s="137">
        <v>45768</v>
      </c>
      <c r="C138" s="135">
        <v>0</v>
      </c>
      <c r="D138" s="135">
        <f t="shared" si="12"/>
        <v>0</v>
      </c>
      <c r="E138" s="135">
        <f t="shared" si="13"/>
        <v>0</v>
      </c>
      <c r="F138" s="50" t="s">
        <v>168</v>
      </c>
      <c r="G138" s="50">
        <f t="shared" si="14"/>
        <v>28000</v>
      </c>
      <c r="H138" s="123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1:33" x14ac:dyDescent="0.2">
      <c r="A139" s="134">
        <v>12</v>
      </c>
      <c r="B139" s="126" t="s">
        <v>295</v>
      </c>
      <c r="C139" s="135">
        <v>1920</v>
      </c>
      <c r="D139" s="135">
        <f t="shared" si="12"/>
        <v>1324.1379310344828</v>
      </c>
      <c r="E139" s="135">
        <f t="shared" si="13"/>
        <v>595.86206896551721</v>
      </c>
      <c r="F139" s="50" t="s">
        <v>41</v>
      </c>
      <c r="G139" s="50">
        <f t="shared" si="14"/>
        <v>26080</v>
      </c>
      <c r="H139" s="123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1:33" x14ac:dyDescent="0.2">
      <c r="A140" s="134">
        <v>13</v>
      </c>
      <c r="B140" s="126" t="s">
        <v>296</v>
      </c>
      <c r="C140" s="135">
        <v>1280</v>
      </c>
      <c r="D140" s="135">
        <f t="shared" si="12"/>
        <v>882.75862068965523</v>
      </c>
      <c r="E140" s="135">
        <f t="shared" si="13"/>
        <v>397.24137931034477</v>
      </c>
      <c r="F140" s="50" t="s">
        <v>41</v>
      </c>
      <c r="G140" s="50">
        <f t="shared" si="14"/>
        <v>24800</v>
      </c>
      <c r="H140" s="123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1:33" x14ac:dyDescent="0.2">
      <c r="A141" s="134">
        <v>14</v>
      </c>
      <c r="B141" s="126" t="s">
        <v>297</v>
      </c>
      <c r="C141" s="135">
        <v>1920</v>
      </c>
      <c r="D141" s="135">
        <f t="shared" si="12"/>
        <v>1324.1379310344828</v>
      </c>
      <c r="E141" s="135">
        <f t="shared" si="13"/>
        <v>595.86206896551721</v>
      </c>
      <c r="F141" s="50" t="s">
        <v>107</v>
      </c>
      <c r="G141" s="50">
        <f t="shared" si="14"/>
        <v>22880</v>
      </c>
      <c r="H141" s="123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1:33" x14ac:dyDescent="0.2">
      <c r="A142" s="134">
        <v>15</v>
      </c>
      <c r="B142" s="137"/>
      <c r="C142" s="135"/>
      <c r="D142" s="135">
        <f t="shared" si="12"/>
        <v>0</v>
      </c>
      <c r="E142" s="135">
        <f t="shared" si="13"/>
        <v>0</v>
      </c>
      <c r="F142" s="50" t="s">
        <v>107</v>
      </c>
      <c r="G142" s="50">
        <f t="shared" si="14"/>
        <v>22880</v>
      </c>
      <c r="H142" s="123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1:33" x14ac:dyDescent="0.2">
      <c r="A143" s="134">
        <v>16</v>
      </c>
      <c r="B143" s="137"/>
      <c r="C143" s="135"/>
      <c r="D143" s="135">
        <f t="shared" si="12"/>
        <v>0</v>
      </c>
      <c r="E143" s="135">
        <f t="shared" si="13"/>
        <v>0</v>
      </c>
      <c r="F143" s="50" t="s">
        <v>107</v>
      </c>
      <c r="G143" s="50">
        <f t="shared" si="14"/>
        <v>22880</v>
      </c>
      <c r="H143" s="123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1:33" x14ac:dyDescent="0.2">
      <c r="A144" s="134">
        <v>17</v>
      </c>
      <c r="B144" s="137"/>
      <c r="C144" s="135"/>
      <c r="D144" s="135">
        <f t="shared" si="12"/>
        <v>0</v>
      </c>
      <c r="E144" s="135">
        <f t="shared" si="13"/>
        <v>0</v>
      </c>
      <c r="F144" s="50" t="s">
        <v>107</v>
      </c>
      <c r="G144" s="50">
        <f t="shared" si="14"/>
        <v>22880</v>
      </c>
      <c r="H144" s="123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1:33" x14ac:dyDescent="0.2">
      <c r="A145" s="138"/>
      <c r="B145" s="139"/>
      <c r="C145" s="140"/>
      <c r="D145" s="141">
        <f>SUMIFS(D128:D144, F128:F144, "Y")</f>
        <v>22896.551724137931</v>
      </c>
      <c r="E145" s="142">
        <f>SUMIFS(E128:E144, F128:F144, "Y")</f>
        <v>10303.448275862065</v>
      </c>
      <c r="F145" s="143">
        <f>(SUMIFS(D128:D144, F128:F144, "Y") + SUMIFS(E128:E144, F128:F144, "Y"))</f>
        <v>33200</v>
      </c>
      <c r="G145" s="140"/>
      <c r="H145" s="144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1:33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1:33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1:33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1:33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1:33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1:33" x14ac:dyDescent="0.2">
      <c r="A151" s="256">
        <v>6</v>
      </c>
      <c r="B151" s="257"/>
      <c r="C151" s="119"/>
      <c r="D151" s="119"/>
      <c r="E151" s="119"/>
      <c r="F151" s="119"/>
      <c r="G151" s="119"/>
      <c r="H151" s="120"/>
      <c r="I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1:33" x14ac:dyDescent="0.2">
      <c r="A152" s="258" t="s">
        <v>7</v>
      </c>
      <c r="B152" s="259"/>
      <c r="C152" s="148">
        <v>50000</v>
      </c>
      <c r="D152" s="30"/>
      <c r="E152" s="30"/>
      <c r="F152" s="30"/>
      <c r="G152" s="30"/>
      <c r="H152" s="123"/>
      <c r="I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1:33" x14ac:dyDescent="0.2">
      <c r="A153" s="258" t="s">
        <v>8</v>
      </c>
      <c r="B153" s="259"/>
      <c r="C153" s="82">
        <v>45705</v>
      </c>
      <c r="D153" s="30"/>
      <c r="E153" s="49"/>
      <c r="F153" s="49"/>
      <c r="G153" s="49"/>
      <c r="H153" s="125" t="s">
        <v>10</v>
      </c>
      <c r="I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1:33" x14ac:dyDescent="0.2">
      <c r="A154" s="258" t="s">
        <v>152</v>
      </c>
      <c r="B154" s="259"/>
      <c r="C154" s="135">
        <v>7500</v>
      </c>
      <c r="D154" s="66"/>
      <c r="E154" s="260" t="s">
        <v>14</v>
      </c>
      <c r="F154" s="126" t="s">
        <v>15</v>
      </c>
      <c r="G154" s="135">
        <v>0</v>
      </c>
      <c r="H154" s="127"/>
      <c r="I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1:33" x14ac:dyDescent="0.2">
      <c r="A155" s="258" t="s">
        <v>17</v>
      </c>
      <c r="B155" s="259"/>
      <c r="C155" s="50">
        <v>3</v>
      </c>
      <c r="D155" s="66" t="s">
        <v>153</v>
      </c>
      <c r="E155" s="261"/>
      <c r="F155" s="126" t="s">
        <v>18</v>
      </c>
      <c r="G155" s="50">
        <v>50000</v>
      </c>
      <c r="H155" s="127"/>
      <c r="I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1:33" x14ac:dyDescent="0.2">
      <c r="A156" s="258" t="s">
        <v>20</v>
      </c>
      <c r="B156" s="259"/>
      <c r="C156" s="50">
        <f>C154*C155</f>
        <v>22500</v>
      </c>
      <c r="D156" s="30"/>
      <c r="E156" s="128"/>
      <c r="F156" s="30"/>
      <c r="G156" s="66"/>
      <c r="H156" s="123"/>
      <c r="I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1:33" x14ac:dyDescent="0.2">
      <c r="A157" s="258" t="s">
        <v>22</v>
      </c>
      <c r="B157" s="259"/>
      <c r="C157" s="121">
        <f>C152+C156</f>
        <v>72500</v>
      </c>
      <c r="D157" s="30"/>
      <c r="E157" s="30"/>
      <c r="F157" s="30"/>
      <c r="G157" s="30"/>
      <c r="H157" s="123"/>
      <c r="I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1:33" x14ac:dyDescent="0.2">
      <c r="A158" s="258" t="s">
        <v>24</v>
      </c>
      <c r="B158" s="259"/>
      <c r="C158" s="146">
        <v>750</v>
      </c>
      <c r="D158" s="30" t="s">
        <v>172</v>
      </c>
      <c r="E158" s="30"/>
      <c r="F158" s="30"/>
      <c r="G158" s="30"/>
      <c r="H158" s="123"/>
      <c r="I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1:33" x14ac:dyDescent="0.2">
      <c r="A159" s="258" t="s">
        <v>28</v>
      </c>
      <c r="B159" s="259"/>
      <c r="C159" s="130" t="s">
        <v>154</v>
      </c>
      <c r="D159" s="30"/>
      <c r="E159" s="30"/>
      <c r="F159" s="30"/>
      <c r="G159" s="30"/>
      <c r="H159" s="123"/>
      <c r="I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1:33" x14ac:dyDescent="0.2">
      <c r="A160" s="131" t="s">
        <v>31</v>
      </c>
      <c r="B160" s="132" t="s">
        <v>106</v>
      </c>
      <c r="C160" s="133" t="s">
        <v>33</v>
      </c>
      <c r="D160" s="133" t="s">
        <v>34</v>
      </c>
      <c r="E160" s="133" t="s">
        <v>35</v>
      </c>
      <c r="F160" s="133" t="s">
        <v>36</v>
      </c>
      <c r="G160" s="133" t="s">
        <v>37</v>
      </c>
      <c r="H160" s="123"/>
      <c r="I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1:33" x14ac:dyDescent="0.2">
      <c r="A161" s="134">
        <v>0</v>
      </c>
      <c r="B161" s="135"/>
      <c r="C161" s="135"/>
      <c r="D161" s="135"/>
      <c r="E161" s="135"/>
      <c r="F161" s="135"/>
      <c r="G161" s="50">
        <f>C157</f>
        <v>72500</v>
      </c>
      <c r="H161" s="123"/>
      <c r="I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1:33" x14ac:dyDescent="0.2">
      <c r="A162" s="134">
        <v>1</v>
      </c>
      <c r="B162" s="136">
        <v>45712</v>
      </c>
      <c r="C162" s="135">
        <v>3000</v>
      </c>
      <c r="D162" s="135">
        <f t="shared" ref="D162:D181" si="15">C162/1.45</f>
        <v>2068.9655172413795</v>
      </c>
      <c r="E162" s="135">
        <f t="shared" ref="E162:E181" si="16">C162-D162</f>
        <v>931.03448275862047</v>
      </c>
      <c r="F162" s="50" t="s">
        <v>41</v>
      </c>
      <c r="G162" s="50">
        <f t="shared" ref="G162:G181" si="17">(G161-C162)</f>
        <v>69500</v>
      </c>
      <c r="H162" s="123"/>
      <c r="I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1:33" x14ac:dyDescent="0.2">
      <c r="A163" s="134">
        <v>2</v>
      </c>
      <c r="B163" s="136">
        <v>45719</v>
      </c>
      <c r="C163" s="135">
        <v>2250</v>
      </c>
      <c r="D163" s="135">
        <f t="shared" si="15"/>
        <v>1551.7241379310344</v>
      </c>
      <c r="E163" s="135">
        <f t="shared" si="16"/>
        <v>698.27586206896558</v>
      </c>
      <c r="F163" s="50" t="s">
        <v>41</v>
      </c>
      <c r="G163" s="50">
        <f t="shared" si="17"/>
        <v>67250</v>
      </c>
      <c r="H163" s="123"/>
      <c r="I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1:33" x14ac:dyDescent="0.2">
      <c r="A164" s="134">
        <v>3</v>
      </c>
      <c r="B164" s="136">
        <v>45726</v>
      </c>
      <c r="C164" s="135">
        <v>4500</v>
      </c>
      <c r="D164" s="135">
        <f t="shared" si="15"/>
        <v>3103.4482758620688</v>
      </c>
      <c r="E164" s="135">
        <f t="shared" si="16"/>
        <v>1396.5517241379312</v>
      </c>
      <c r="F164" s="50" t="s">
        <v>41</v>
      </c>
      <c r="G164" s="50">
        <f t="shared" si="17"/>
        <v>62750</v>
      </c>
      <c r="H164" s="123"/>
      <c r="I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1:33" x14ac:dyDescent="0.2">
      <c r="A165" s="134">
        <v>4</v>
      </c>
      <c r="B165" s="136">
        <v>45733</v>
      </c>
      <c r="C165" s="135">
        <v>3750</v>
      </c>
      <c r="D165" s="135">
        <f t="shared" si="15"/>
        <v>2586.2068965517242</v>
      </c>
      <c r="E165" s="135">
        <f t="shared" si="16"/>
        <v>1163.7931034482758</v>
      </c>
      <c r="F165" s="50" t="s">
        <v>41</v>
      </c>
      <c r="G165" s="50">
        <f t="shared" si="17"/>
        <v>59000</v>
      </c>
      <c r="H165" s="123"/>
      <c r="I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1:33" x14ac:dyDescent="0.2">
      <c r="A166" s="134">
        <v>5</v>
      </c>
      <c r="B166" s="137">
        <v>45740</v>
      </c>
      <c r="C166" s="135">
        <v>4500</v>
      </c>
      <c r="D166" s="135">
        <f t="shared" si="15"/>
        <v>3103.4482758620688</v>
      </c>
      <c r="E166" s="135">
        <f t="shared" si="16"/>
        <v>1396.5517241379312</v>
      </c>
      <c r="F166" s="50" t="s">
        <v>41</v>
      </c>
      <c r="G166" s="50">
        <f t="shared" si="17"/>
        <v>54500</v>
      </c>
      <c r="H166" s="123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1:33" x14ac:dyDescent="0.2">
      <c r="A167" s="134">
        <v>6</v>
      </c>
      <c r="B167" s="137">
        <v>45747</v>
      </c>
      <c r="C167" s="135">
        <v>2250</v>
      </c>
      <c r="D167" s="135">
        <f t="shared" si="15"/>
        <v>1551.7241379310344</v>
      </c>
      <c r="E167" s="135">
        <f t="shared" si="16"/>
        <v>698.27586206896558</v>
      </c>
      <c r="F167" s="50" t="s">
        <v>41</v>
      </c>
      <c r="G167" s="50">
        <f t="shared" si="17"/>
        <v>52250</v>
      </c>
      <c r="H167" s="123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1:33" x14ac:dyDescent="0.2">
      <c r="A168" s="134">
        <v>7</v>
      </c>
      <c r="B168" s="137">
        <v>45754</v>
      </c>
      <c r="C168" s="135">
        <v>3750</v>
      </c>
      <c r="D168" s="135">
        <f t="shared" si="15"/>
        <v>2586.2068965517242</v>
      </c>
      <c r="E168" s="135">
        <f t="shared" si="16"/>
        <v>1163.7931034482758</v>
      </c>
      <c r="F168" s="50" t="s">
        <v>41</v>
      </c>
      <c r="G168" s="50">
        <f t="shared" si="17"/>
        <v>48500</v>
      </c>
      <c r="H168" s="123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1:33" x14ac:dyDescent="0.2">
      <c r="A169" s="134">
        <v>8</v>
      </c>
      <c r="B169" s="137">
        <v>45761</v>
      </c>
      <c r="C169" s="135">
        <v>0</v>
      </c>
      <c r="D169" s="135">
        <f t="shared" si="15"/>
        <v>0</v>
      </c>
      <c r="E169" s="135">
        <f t="shared" si="16"/>
        <v>0</v>
      </c>
      <c r="F169" s="50" t="s">
        <v>168</v>
      </c>
      <c r="G169" s="50">
        <f t="shared" si="17"/>
        <v>48500</v>
      </c>
      <c r="H169" s="123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1:33" x14ac:dyDescent="0.2">
      <c r="A170" s="134">
        <v>9</v>
      </c>
      <c r="B170" s="137">
        <v>45768</v>
      </c>
      <c r="C170" s="135">
        <v>0</v>
      </c>
      <c r="D170" s="135">
        <f t="shared" si="15"/>
        <v>0</v>
      </c>
      <c r="E170" s="135">
        <f t="shared" si="16"/>
        <v>0</v>
      </c>
      <c r="F170" s="50" t="s">
        <v>168</v>
      </c>
      <c r="G170" s="50">
        <f t="shared" si="17"/>
        <v>48500</v>
      </c>
      <c r="H170" s="123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1:33" x14ac:dyDescent="0.2">
      <c r="A171" s="134">
        <v>10</v>
      </c>
      <c r="B171" s="137">
        <v>45775</v>
      </c>
      <c r="C171" s="135">
        <v>2250</v>
      </c>
      <c r="D171" s="135">
        <f t="shared" si="15"/>
        <v>1551.7241379310344</v>
      </c>
      <c r="E171" s="135">
        <f t="shared" si="16"/>
        <v>698.27586206896558</v>
      </c>
      <c r="F171" s="50" t="s">
        <v>41</v>
      </c>
      <c r="G171" s="50">
        <f t="shared" si="17"/>
        <v>46250</v>
      </c>
      <c r="H171" s="123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1:33" x14ac:dyDescent="0.2">
      <c r="A172" s="134">
        <v>11</v>
      </c>
      <c r="B172" s="137">
        <v>45782</v>
      </c>
      <c r="C172" s="135">
        <v>2250</v>
      </c>
      <c r="D172" s="135">
        <f t="shared" si="15"/>
        <v>1551.7241379310344</v>
      </c>
      <c r="E172" s="135">
        <f t="shared" si="16"/>
        <v>698.27586206896558</v>
      </c>
      <c r="F172" s="50" t="s">
        <v>41</v>
      </c>
      <c r="G172" s="50">
        <f t="shared" si="17"/>
        <v>44000</v>
      </c>
      <c r="H172" s="123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1:33" x14ac:dyDescent="0.2">
      <c r="A173" s="134">
        <v>12</v>
      </c>
      <c r="B173" s="137">
        <v>45789</v>
      </c>
      <c r="C173" s="135">
        <v>3000</v>
      </c>
      <c r="D173" s="135">
        <f t="shared" si="15"/>
        <v>2068.9655172413795</v>
      </c>
      <c r="E173" s="135">
        <f t="shared" si="16"/>
        <v>931.03448275862047</v>
      </c>
      <c r="F173" s="50"/>
      <c r="G173" s="50">
        <f t="shared" si="17"/>
        <v>41000</v>
      </c>
      <c r="H173" s="123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1:33" x14ac:dyDescent="0.2">
      <c r="A174" s="134">
        <v>13</v>
      </c>
      <c r="B174" s="137">
        <v>45796</v>
      </c>
      <c r="C174" s="135"/>
      <c r="D174" s="135">
        <f t="shared" si="15"/>
        <v>0</v>
      </c>
      <c r="E174" s="135">
        <f t="shared" si="16"/>
        <v>0</v>
      </c>
      <c r="F174" s="50"/>
      <c r="G174" s="50">
        <f t="shared" si="17"/>
        <v>41000</v>
      </c>
      <c r="H174" s="123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1:33" x14ac:dyDescent="0.2">
      <c r="A175" s="134">
        <v>14</v>
      </c>
      <c r="B175" s="137">
        <v>45803</v>
      </c>
      <c r="C175" s="135"/>
      <c r="D175" s="135">
        <f t="shared" si="15"/>
        <v>0</v>
      </c>
      <c r="E175" s="135">
        <f t="shared" si="16"/>
        <v>0</v>
      </c>
      <c r="F175" s="50"/>
      <c r="G175" s="50">
        <f t="shared" si="17"/>
        <v>41000</v>
      </c>
      <c r="H175" s="123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1:33" x14ac:dyDescent="0.2">
      <c r="A176" s="134">
        <v>15</v>
      </c>
      <c r="B176" s="137">
        <v>45810</v>
      </c>
      <c r="C176" s="135"/>
      <c r="D176" s="135">
        <f t="shared" si="15"/>
        <v>0</v>
      </c>
      <c r="E176" s="135">
        <f t="shared" si="16"/>
        <v>0</v>
      </c>
      <c r="F176" s="50"/>
      <c r="G176" s="50">
        <f t="shared" si="17"/>
        <v>41000</v>
      </c>
      <c r="H176" s="123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1:33" x14ac:dyDescent="0.2">
      <c r="A177" s="134">
        <v>16</v>
      </c>
      <c r="B177" s="137">
        <v>45817</v>
      </c>
      <c r="C177" s="135"/>
      <c r="D177" s="135">
        <f t="shared" si="15"/>
        <v>0</v>
      </c>
      <c r="E177" s="135">
        <f t="shared" si="16"/>
        <v>0</v>
      </c>
      <c r="F177" s="50"/>
      <c r="G177" s="50">
        <f t="shared" si="17"/>
        <v>41000</v>
      </c>
      <c r="H177" s="123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1:33" x14ac:dyDescent="0.2">
      <c r="A178" s="134">
        <v>17</v>
      </c>
      <c r="B178" s="137">
        <v>45824</v>
      </c>
      <c r="C178" s="135"/>
      <c r="D178" s="135">
        <f t="shared" si="15"/>
        <v>0</v>
      </c>
      <c r="E178" s="135">
        <f t="shared" si="16"/>
        <v>0</v>
      </c>
      <c r="F178" s="50"/>
      <c r="G178" s="50">
        <f t="shared" si="17"/>
        <v>41000</v>
      </c>
      <c r="H178" s="123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1:33" x14ac:dyDescent="0.2">
      <c r="A179" s="134">
        <v>18</v>
      </c>
      <c r="B179" s="137">
        <v>45831</v>
      </c>
      <c r="C179" s="135"/>
      <c r="D179" s="135">
        <f t="shared" si="15"/>
        <v>0</v>
      </c>
      <c r="E179" s="135">
        <f t="shared" si="16"/>
        <v>0</v>
      </c>
      <c r="F179" s="50"/>
      <c r="G179" s="50">
        <f t="shared" si="17"/>
        <v>41000</v>
      </c>
      <c r="H179" s="123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1:33" x14ac:dyDescent="0.2">
      <c r="A180" s="134">
        <v>19</v>
      </c>
      <c r="B180" s="137">
        <v>45838</v>
      </c>
      <c r="C180" s="135"/>
      <c r="D180" s="135">
        <f t="shared" si="15"/>
        <v>0</v>
      </c>
      <c r="E180" s="135">
        <f t="shared" si="16"/>
        <v>0</v>
      </c>
      <c r="F180" s="50"/>
      <c r="G180" s="50">
        <f t="shared" si="17"/>
        <v>41000</v>
      </c>
      <c r="H180" s="123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1:33" x14ac:dyDescent="0.2">
      <c r="A181" s="134">
        <v>20</v>
      </c>
      <c r="B181" s="137">
        <v>45845</v>
      </c>
      <c r="C181" s="135"/>
      <c r="D181" s="135">
        <f t="shared" si="15"/>
        <v>0</v>
      </c>
      <c r="E181" s="135">
        <f t="shared" si="16"/>
        <v>0</v>
      </c>
      <c r="F181" s="50"/>
      <c r="G181" s="50">
        <f t="shared" si="17"/>
        <v>41000</v>
      </c>
      <c r="H181" s="123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1:33" x14ac:dyDescent="0.2">
      <c r="A182" s="138"/>
      <c r="B182" s="139"/>
      <c r="C182" s="140"/>
      <c r="D182" s="141">
        <f>SUMIFS(D162:D181, F162:F181, "Y")</f>
        <v>19655.172413793101</v>
      </c>
      <c r="E182" s="142">
        <f>SUMIFS(E162:E181, F162:F181, "Y")</f>
        <v>8844.8275862068967</v>
      </c>
      <c r="F182" s="143">
        <f>(SUMIFS(D162:D181, F162:F181, "Y") + SUMIFS(E162:E181, F162:F181, "Y"))</f>
        <v>28500</v>
      </c>
      <c r="G182" s="140"/>
      <c r="H182" s="144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1:33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1:33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1:33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1:33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1:33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1:33" x14ac:dyDescent="0.2">
      <c r="A188" s="256">
        <v>7</v>
      </c>
      <c r="B188" s="257"/>
      <c r="C188" s="31"/>
      <c r="D188" s="31"/>
      <c r="E188" s="31"/>
      <c r="F188" s="31"/>
      <c r="G188" s="31"/>
      <c r="H188" s="32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1:33" x14ac:dyDescent="0.2">
      <c r="A189" s="265" t="s">
        <v>7</v>
      </c>
      <c r="B189" s="259"/>
      <c r="C189" s="65">
        <v>10000</v>
      </c>
      <c r="D189" s="35"/>
      <c r="E189" s="35"/>
      <c r="F189" s="35"/>
      <c r="G189" s="35"/>
      <c r="H189" s="36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1:33" x14ac:dyDescent="0.2">
      <c r="A190" s="265" t="s">
        <v>8</v>
      </c>
      <c r="B190" s="259"/>
      <c r="C190" s="113">
        <v>45706</v>
      </c>
      <c r="D190" s="35"/>
      <c r="E190" s="38"/>
      <c r="F190" s="38"/>
      <c r="G190" s="38"/>
      <c r="H190" s="39" t="s">
        <v>10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1:33" x14ac:dyDescent="0.2">
      <c r="A191" s="265" t="s">
        <v>103</v>
      </c>
      <c r="B191" s="259"/>
      <c r="C191" s="65">
        <v>2000</v>
      </c>
      <c r="D191" s="44"/>
      <c r="E191" s="266" t="s">
        <v>14</v>
      </c>
      <c r="F191" s="45" t="s">
        <v>15</v>
      </c>
      <c r="G191" s="65">
        <v>0</v>
      </c>
      <c r="H191" s="46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33" x14ac:dyDescent="0.2">
      <c r="A192" s="265" t="s">
        <v>17</v>
      </c>
      <c r="B192" s="259"/>
      <c r="C192" s="43">
        <v>1</v>
      </c>
      <c r="D192" s="44"/>
      <c r="E192" s="261"/>
      <c r="F192" s="45" t="s">
        <v>18</v>
      </c>
      <c r="G192" s="43">
        <v>10000</v>
      </c>
      <c r="H192" s="46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1:33" x14ac:dyDescent="0.2">
      <c r="A193" s="265" t="s">
        <v>20</v>
      </c>
      <c r="B193" s="259"/>
      <c r="C193" s="43">
        <f>C191*C192</f>
        <v>2000</v>
      </c>
      <c r="D193" s="35"/>
      <c r="E193" s="54"/>
      <c r="F193" s="35"/>
      <c r="G193" s="44"/>
      <c r="H193" s="36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1:33" x14ac:dyDescent="0.2">
      <c r="A194" s="265" t="s">
        <v>22</v>
      </c>
      <c r="B194" s="259"/>
      <c r="C194" s="33">
        <f>C189+C193</f>
        <v>12000</v>
      </c>
      <c r="D194" s="35"/>
      <c r="E194" s="35"/>
      <c r="F194" s="35"/>
      <c r="G194" s="35"/>
      <c r="H194" s="36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1:33" x14ac:dyDescent="0.2">
      <c r="A195" s="265" t="s">
        <v>24</v>
      </c>
      <c r="B195" s="259"/>
      <c r="C195" s="57">
        <v>250</v>
      </c>
      <c r="D195" s="35" t="s">
        <v>174</v>
      </c>
      <c r="E195" s="35"/>
      <c r="F195" s="35"/>
      <c r="G195" s="35"/>
      <c r="H195" s="36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1:33" x14ac:dyDescent="0.2">
      <c r="A196" s="265" t="s">
        <v>28</v>
      </c>
      <c r="B196" s="259"/>
      <c r="C196" s="58" t="s">
        <v>29</v>
      </c>
      <c r="D196" s="35"/>
      <c r="E196" s="35"/>
      <c r="F196" s="35"/>
      <c r="G196" s="35"/>
      <c r="H196" s="36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1:33" x14ac:dyDescent="0.2">
      <c r="A197" s="62" t="s">
        <v>31</v>
      </c>
      <c r="B197" s="63" t="s">
        <v>106</v>
      </c>
      <c r="C197" s="45" t="s">
        <v>33</v>
      </c>
      <c r="D197" s="45" t="s">
        <v>34</v>
      </c>
      <c r="E197" s="45" t="s">
        <v>35</v>
      </c>
      <c r="F197" s="45" t="s">
        <v>36</v>
      </c>
      <c r="G197" s="45" t="s">
        <v>37</v>
      </c>
      <c r="H197" s="36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1:33" x14ac:dyDescent="0.2">
      <c r="A198" s="62">
        <v>0</v>
      </c>
      <c r="B198" s="65"/>
      <c r="C198" s="65"/>
      <c r="D198" s="65"/>
      <c r="E198" s="65"/>
      <c r="F198" s="65"/>
      <c r="G198" s="43">
        <f>C194</f>
        <v>12000</v>
      </c>
      <c r="H198" s="36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1:33" x14ac:dyDescent="0.2">
      <c r="A199" s="62">
        <v>1</v>
      </c>
      <c r="B199" s="100">
        <v>45722</v>
      </c>
      <c r="C199" s="65">
        <v>6000</v>
      </c>
      <c r="D199" s="65">
        <f t="shared" ref="D199:D208" si="18">C199/1.4</f>
        <v>4285.7142857142862</v>
      </c>
      <c r="E199" s="65">
        <f t="shared" ref="E199:E208" si="19">C199-D199</f>
        <v>1714.2857142857138</v>
      </c>
      <c r="F199" s="43" t="s">
        <v>41</v>
      </c>
      <c r="G199" s="43">
        <f t="shared" ref="G199:G206" si="20">(G198-C199)</f>
        <v>6000</v>
      </c>
      <c r="H199" s="36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1:33" x14ac:dyDescent="0.2">
      <c r="A200" s="62">
        <v>2</v>
      </c>
      <c r="B200" s="100">
        <v>45738</v>
      </c>
      <c r="C200" s="65">
        <v>6000</v>
      </c>
      <c r="D200" s="65">
        <f t="shared" si="18"/>
        <v>4285.7142857142862</v>
      </c>
      <c r="E200" s="65">
        <f t="shared" si="19"/>
        <v>1714.2857142857138</v>
      </c>
      <c r="F200" s="43" t="s">
        <v>41</v>
      </c>
      <c r="G200" s="43">
        <f t="shared" si="20"/>
        <v>0</v>
      </c>
      <c r="H200" s="36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1:33" x14ac:dyDescent="0.2">
      <c r="A201" s="62">
        <v>3</v>
      </c>
      <c r="B201" s="113"/>
      <c r="C201" s="65"/>
      <c r="D201" s="65">
        <f t="shared" si="18"/>
        <v>0</v>
      </c>
      <c r="E201" s="65">
        <f t="shared" si="19"/>
        <v>0</v>
      </c>
      <c r="F201" s="43" t="s">
        <v>107</v>
      </c>
      <c r="G201" s="43">
        <f t="shared" si="20"/>
        <v>0</v>
      </c>
      <c r="H201" s="36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1:33" x14ac:dyDescent="0.2">
      <c r="A202" s="62">
        <v>4</v>
      </c>
      <c r="B202" s="113"/>
      <c r="C202" s="65"/>
      <c r="D202" s="65">
        <f t="shared" si="18"/>
        <v>0</v>
      </c>
      <c r="E202" s="65">
        <f t="shared" si="19"/>
        <v>0</v>
      </c>
      <c r="F202" s="43" t="s">
        <v>107</v>
      </c>
      <c r="G202" s="43">
        <f t="shared" si="20"/>
        <v>0</v>
      </c>
      <c r="H202" s="36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1:33" x14ac:dyDescent="0.2">
      <c r="A203" s="62">
        <v>5</v>
      </c>
      <c r="B203" s="106"/>
      <c r="C203" s="65"/>
      <c r="D203" s="65">
        <f t="shared" si="18"/>
        <v>0</v>
      </c>
      <c r="E203" s="65">
        <f t="shared" si="19"/>
        <v>0</v>
      </c>
      <c r="F203" s="43" t="s">
        <v>107</v>
      </c>
      <c r="G203" s="43">
        <f t="shared" si="20"/>
        <v>0</v>
      </c>
      <c r="H203" s="36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1:33" x14ac:dyDescent="0.2">
      <c r="A204" s="62">
        <v>6</v>
      </c>
      <c r="B204" s="106"/>
      <c r="C204" s="65"/>
      <c r="D204" s="65">
        <f t="shared" si="18"/>
        <v>0</v>
      </c>
      <c r="E204" s="65">
        <f t="shared" si="19"/>
        <v>0</v>
      </c>
      <c r="F204" s="43" t="s">
        <v>107</v>
      </c>
      <c r="G204" s="43">
        <f t="shared" si="20"/>
        <v>0</v>
      </c>
      <c r="H204" s="36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1:33" x14ac:dyDescent="0.2">
      <c r="A205" s="62">
        <v>7</v>
      </c>
      <c r="B205" s="106"/>
      <c r="C205" s="65"/>
      <c r="D205" s="65">
        <f t="shared" si="18"/>
        <v>0</v>
      </c>
      <c r="E205" s="65">
        <f t="shared" si="19"/>
        <v>0</v>
      </c>
      <c r="F205" s="43" t="s">
        <v>107</v>
      </c>
      <c r="G205" s="43">
        <f t="shared" si="20"/>
        <v>0</v>
      </c>
      <c r="H205" s="36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1:33" x14ac:dyDescent="0.2">
      <c r="A206" s="62">
        <v>8</v>
      </c>
      <c r="B206" s="106"/>
      <c r="C206" s="65"/>
      <c r="D206" s="65">
        <f t="shared" si="18"/>
        <v>0</v>
      </c>
      <c r="E206" s="65">
        <f t="shared" si="19"/>
        <v>0</v>
      </c>
      <c r="F206" s="43" t="s">
        <v>107</v>
      </c>
      <c r="G206" s="43">
        <f t="shared" si="20"/>
        <v>0</v>
      </c>
      <c r="H206" s="36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1:33" x14ac:dyDescent="0.2">
      <c r="A207" s="105"/>
      <c r="B207" s="106"/>
      <c r="C207" s="65"/>
      <c r="D207" s="65">
        <f t="shared" si="18"/>
        <v>0</v>
      </c>
      <c r="E207" s="65">
        <f t="shared" si="19"/>
        <v>0</v>
      </c>
      <c r="F207" s="65"/>
      <c r="G207" s="65"/>
      <c r="H207" s="36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1:33" x14ac:dyDescent="0.2">
      <c r="A208" s="105"/>
      <c r="B208" s="106"/>
      <c r="C208" s="65"/>
      <c r="D208" s="65">
        <f t="shared" si="18"/>
        <v>0</v>
      </c>
      <c r="E208" s="65">
        <f t="shared" si="19"/>
        <v>0</v>
      </c>
      <c r="F208" s="65"/>
      <c r="G208" s="65"/>
      <c r="H208" s="36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1:33" x14ac:dyDescent="0.2">
      <c r="A209" s="89"/>
      <c r="B209" s="90"/>
      <c r="C209" s="91"/>
      <c r="D209" s="111">
        <f>SUMIFS(D199:D208, F199:F208, "Y")</f>
        <v>8571.4285714285725</v>
      </c>
      <c r="E209" s="111">
        <f>SUMIFS(E199:E208, F199:F208, "Y")</f>
        <v>3428.5714285714275</v>
      </c>
      <c r="F209" s="92">
        <f>(SUMIFS(D199:D208, F199:F208, "Y") + SUMIFS(E199:E208, F199:F208, "Y"))</f>
        <v>12000</v>
      </c>
      <c r="G209" s="91"/>
      <c r="H209" s="93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1:33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1:33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1:33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1:33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1:33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1:33" x14ac:dyDescent="0.2">
      <c r="A215" s="256">
        <v>8</v>
      </c>
      <c r="B215" s="257"/>
      <c r="C215" s="119"/>
      <c r="D215" s="119"/>
      <c r="E215" s="119"/>
      <c r="F215" s="119"/>
      <c r="G215" s="119"/>
      <c r="H215" s="12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1:33" x14ac:dyDescent="0.2">
      <c r="A216" s="258" t="s">
        <v>7</v>
      </c>
      <c r="B216" s="259"/>
      <c r="C216" s="135">
        <v>10000</v>
      </c>
      <c r="D216" s="30"/>
      <c r="E216" s="30"/>
      <c r="F216" s="30"/>
      <c r="G216" s="30"/>
      <c r="H216" s="123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1:33" x14ac:dyDescent="0.2">
      <c r="A217" s="258" t="s">
        <v>8</v>
      </c>
      <c r="B217" s="259"/>
      <c r="C217" s="82">
        <v>45712</v>
      </c>
      <c r="D217" s="30"/>
      <c r="E217" s="49"/>
      <c r="F217" s="49"/>
      <c r="G217" s="49"/>
      <c r="H217" s="125" t="s">
        <v>10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1:33" x14ac:dyDescent="0.2">
      <c r="A218" s="258" t="s">
        <v>103</v>
      </c>
      <c r="B218" s="259"/>
      <c r="C218" s="135">
        <v>2000</v>
      </c>
      <c r="D218" s="66"/>
      <c r="E218" s="260" t="s">
        <v>14</v>
      </c>
      <c r="F218" s="126" t="s">
        <v>15</v>
      </c>
      <c r="G218" s="135">
        <v>0</v>
      </c>
      <c r="H218" s="127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1:33" x14ac:dyDescent="0.2">
      <c r="A219" s="258" t="s">
        <v>17</v>
      </c>
      <c r="B219" s="259"/>
      <c r="C219" s="50">
        <v>2</v>
      </c>
      <c r="D219" s="66"/>
      <c r="E219" s="261"/>
      <c r="F219" s="126" t="s">
        <v>18</v>
      </c>
      <c r="G219" s="50">
        <v>10000</v>
      </c>
      <c r="H219" s="127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1:33" x14ac:dyDescent="0.2">
      <c r="A220" s="258" t="s">
        <v>20</v>
      </c>
      <c r="B220" s="259"/>
      <c r="C220" s="50">
        <f>C218*C219</f>
        <v>4000</v>
      </c>
      <c r="D220" s="30"/>
      <c r="E220" s="128"/>
      <c r="F220" s="30"/>
      <c r="G220" s="66"/>
      <c r="H220" s="123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1:33" x14ac:dyDescent="0.2">
      <c r="A221" s="258" t="s">
        <v>22</v>
      </c>
      <c r="B221" s="259"/>
      <c r="C221" s="121">
        <f>C216+C220</f>
        <v>14000</v>
      </c>
      <c r="D221" s="30"/>
      <c r="E221" s="30"/>
      <c r="F221" s="30"/>
      <c r="G221" s="30"/>
      <c r="H221" s="123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1:33" x14ac:dyDescent="0.2">
      <c r="A222" s="258" t="s">
        <v>24</v>
      </c>
      <c r="B222" s="259"/>
      <c r="C222" s="146">
        <v>250</v>
      </c>
      <c r="D222" s="30" t="s">
        <v>178</v>
      </c>
      <c r="E222" s="30"/>
      <c r="F222" s="30"/>
      <c r="G222" s="30"/>
      <c r="H222" s="123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1:33" x14ac:dyDescent="0.2">
      <c r="A223" s="258" t="s">
        <v>28</v>
      </c>
      <c r="B223" s="259"/>
      <c r="C223" s="130" t="s">
        <v>29</v>
      </c>
      <c r="D223" s="30"/>
      <c r="E223" s="30"/>
      <c r="F223" s="30"/>
      <c r="G223" s="30"/>
      <c r="H223" s="123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1:33" x14ac:dyDescent="0.2">
      <c r="A224" s="131" t="s">
        <v>31</v>
      </c>
      <c r="B224" s="132" t="s">
        <v>106</v>
      </c>
      <c r="C224" s="133" t="s">
        <v>33</v>
      </c>
      <c r="D224" s="133" t="s">
        <v>34</v>
      </c>
      <c r="E224" s="133" t="s">
        <v>35</v>
      </c>
      <c r="F224" s="133" t="s">
        <v>36</v>
      </c>
      <c r="G224" s="133" t="s">
        <v>37</v>
      </c>
      <c r="H224" s="123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1:33" x14ac:dyDescent="0.2">
      <c r="A225" s="134">
        <v>0</v>
      </c>
      <c r="B225" s="135"/>
      <c r="C225" s="135"/>
      <c r="D225" s="135"/>
      <c r="E225" s="135"/>
      <c r="F225" s="135"/>
      <c r="G225" s="50">
        <f>C221</f>
        <v>14000</v>
      </c>
      <c r="H225" s="123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1:33" x14ac:dyDescent="0.2">
      <c r="A226" s="134">
        <v>1</v>
      </c>
      <c r="B226" s="136">
        <v>45719</v>
      </c>
      <c r="C226" s="135">
        <v>1250</v>
      </c>
      <c r="D226" s="135">
        <f t="shared" ref="D226:D239" si="21">C226/1.4</f>
        <v>892.85714285714289</v>
      </c>
      <c r="E226" s="135">
        <f t="shared" ref="E226:E239" si="22">C226-D226</f>
        <v>357.14285714285711</v>
      </c>
      <c r="F226" s="50" t="s">
        <v>41</v>
      </c>
      <c r="G226" s="50">
        <f t="shared" ref="G226:G239" si="23">(G225-C226)</f>
        <v>12750</v>
      </c>
      <c r="H226" s="123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1:33" x14ac:dyDescent="0.2">
      <c r="A227" s="134">
        <v>2</v>
      </c>
      <c r="B227" s="136">
        <v>45726</v>
      </c>
      <c r="C227" s="135">
        <v>1250</v>
      </c>
      <c r="D227" s="135">
        <f t="shared" si="21"/>
        <v>892.85714285714289</v>
      </c>
      <c r="E227" s="135">
        <f t="shared" si="22"/>
        <v>357.14285714285711</v>
      </c>
      <c r="F227" s="50" t="s">
        <v>41</v>
      </c>
      <c r="G227" s="50">
        <f t="shared" si="23"/>
        <v>11500</v>
      </c>
      <c r="H227" s="123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1:33" x14ac:dyDescent="0.2">
      <c r="A228" s="134">
        <v>3</v>
      </c>
      <c r="B228" s="136">
        <v>45733</v>
      </c>
      <c r="C228" s="135">
        <v>1000</v>
      </c>
      <c r="D228" s="135">
        <f t="shared" si="21"/>
        <v>714.28571428571433</v>
      </c>
      <c r="E228" s="135">
        <f t="shared" si="22"/>
        <v>285.71428571428567</v>
      </c>
      <c r="F228" s="50" t="s">
        <v>41</v>
      </c>
      <c r="G228" s="50">
        <f t="shared" si="23"/>
        <v>10500</v>
      </c>
      <c r="H228" s="123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1:33" x14ac:dyDescent="0.2">
      <c r="A229" s="134">
        <v>4</v>
      </c>
      <c r="B229" s="137">
        <v>45740</v>
      </c>
      <c r="C229" s="135">
        <v>1250</v>
      </c>
      <c r="D229" s="135">
        <f t="shared" si="21"/>
        <v>892.85714285714289</v>
      </c>
      <c r="E229" s="135">
        <f t="shared" si="22"/>
        <v>357.14285714285711</v>
      </c>
      <c r="F229" s="50" t="s">
        <v>41</v>
      </c>
      <c r="G229" s="50">
        <f t="shared" si="23"/>
        <v>9250</v>
      </c>
      <c r="H229" s="123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1:33" x14ac:dyDescent="0.2">
      <c r="A230" s="134">
        <v>5</v>
      </c>
      <c r="B230" s="137">
        <v>45747</v>
      </c>
      <c r="C230" s="135">
        <v>1000</v>
      </c>
      <c r="D230" s="135">
        <f t="shared" si="21"/>
        <v>714.28571428571433</v>
      </c>
      <c r="E230" s="135">
        <f t="shared" si="22"/>
        <v>285.71428571428567</v>
      </c>
      <c r="F230" s="50" t="s">
        <v>41</v>
      </c>
      <c r="G230" s="50">
        <f t="shared" si="23"/>
        <v>8250</v>
      </c>
      <c r="H230" s="123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1:33" x14ac:dyDescent="0.2">
      <c r="A231" s="134">
        <v>6</v>
      </c>
      <c r="B231" s="137">
        <v>45754</v>
      </c>
      <c r="C231" s="135">
        <v>1250</v>
      </c>
      <c r="D231" s="135">
        <f t="shared" si="21"/>
        <v>892.85714285714289</v>
      </c>
      <c r="E231" s="135">
        <f t="shared" si="22"/>
        <v>357.14285714285711</v>
      </c>
      <c r="F231" s="50" t="s">
        <v>41</v>
      </c>
      <c r="G231" s="50">
        <f t="shared" si="23"/>
        <v>7000</v>
      </c>
      <c r="H231" s="123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1:33" x14ac:dyDescent="0.2">
      <c r="A232" s="134">
        <v>7</v>
      </c>
      <c r="B232" s="137">
        <v>45761</v>
      </c>
      <c r="C232" s="135">
        <v>1000</v>
      </c>
      <c r="D232" s="135">
        <f t="shared" si="21"/>
        <v>714.28571428571433</v>
      </c>
      <c r="E232" s="135">
        <f t="shared" si="22"/>
        <v>285.71428571428567</v>
      </c>
      <c r="F232" s="50" t="s">
        <v>41</v>
      </c>
      <c r="G232" s="50">
        <f t="shared" si="23"/>
        <v>6000</v>
      </c>
      <c r="H232" s="123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1:33" x14ac:dyDescent="0.2">
      <c r="A233" s="134">
        <v>8</v>
      </c>
      <c r="B233" s="137">
        <v>45768</v>
      </c>
      <c r="C233" s="135">
        <v>0</v>
      </c>
      <c r="D233" s="135">
        <f t="shared" si="21"/>
        <v>0</v>
      </c>
      <c r="E233" s="135">
        <f t="shared" si="22"/>
        <v>0</v>
      </c>
      <c r="F233" s="50" t="s">
        <v>168</v>
      </c>
      <c r="G233" s="50">
        <f t="shared" si="23"/>
        <v>6000</v>
      </c>
      <c r="H233" s="123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1:33" x14ac:dyDescent="0.2">
      <c r="A234" s="134">
        <v>9</v>
      </c>
      <c r="B234" s="137">
        <v>45775</v>
      </c>
      <c r="C234" s="135">
        <v>0</v>
      </c>
      <c r="D234" s="135">
        <f t="shared" si="21"/>
        <v>0</v>
      </c>
      <c r="E234" s="135">
        <f t="shared" si="22"/>
        <v>0</v>
      </c>
      <c r="F234" s="50" t="s">
        <v>168</v>
      </c>
      <c r="G234" s="50">
        <f t="shared" si="23"/>
        <v>6000</v>
      </c>
      <c r="H234" s="123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1:33" x14ac:dyDescent="0.2">
      <c r="A235" s="134">
        <v>10</v>
      </c>
      <c r="B235" s="137">
        <v>45782</v>
      </c>
      <c r="C235" s="135">
        <v>1000</v>
      </c>
      <c r="D235" s="135">
        <f t="shared" si="21"/>
        <v>714.28571428571433</v>
      </c>
      <c r="E235" s="135">
        <f t="shared" si="22"/>
        <v>285.71428571428567</v>
      </c>
      <c r="F235" s="50" t="s">
        <v>41</v>
      </c>
      <c r="G235" s="50">
        <f t="shared" si="23"/>
        <v>5000</v>
      </c>
      <c r="H235" s="123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1:33" x14ac:dyDescent="0.2">
      <c r="A236" s="134">
        <v>11</v>
      </c>
      <c r="B236" s="137">
        <v>45789</v>
      </c>
      <c r="C236" s="135">
        <v>1000</v>
      </c>
      <c r="D236" s="135">
        <f t="shared" si="21"/>
        <v>714.28571428571433</v>
      </c>
      <c r="E236" s="135">
        <f t="shared" si="22"/>
        <v>285.71428571428567</v>
      </c>
      <c r="F236" s="50"/>
      <c r="G236" s="50">
        <f t="shared" si="23"/>
        <v>4000</v>
      </c>
      <c r="H236" s="123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1:33" x14ac:dyDescent="0.2">
      <c r="A237" s="134">
        <v>12</v>
      </c>
      <c r="B237" s="137">
        <v>45796</v>
      </c>
      <c r="C237" s="135"/>
      <c r="D237" s="135">
        <f t="shared" si="21"/>
        <v>0</v>
      </c>
      <c r="E237" s="135">
        <f t="shared" si="22"/>
        <v>0</v>
      </c>
      <c r="F237" s="50"/>
      <c r="G237" s="50">
        <f t="shared" si="23"/>
        <v>4000</v>
      </c>
      <c r="H237" s="123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1:33" x14ac:dyDescent="0.2">
      <c r="A238" s="134">
        <v>13</v>
      </c>
      <c r="B238" s="137">
        <v>45803</v>
      </c>
      <c r="C238" s="135"/>
      <c r="D238" s="135">
        <f t="shared" si="21"/>
        <v>0</v>
      </c>
      <c r="E238" s="135">
        <f t="shared" si="22"/>
        <v>0</v>
      </c>
      <c r="F238" s="50"/>
      <c r="G238" s="50">
        <f t="shared" si="23"/>
        <v>4000</v>
      </c>
      <c r="H238" s="123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1:33" x14ac:dyDescent="0.2">
      <c r="A239" s="134">
        <v>14</v>
      </c>
      <c r="B239" s="137">
        <v>45810</v>
      </c>
      <c r="C239" s="135"/>
      <c r="D239" s="135">
        <f t="shared" si="21"/>
        <v>0</v>
      </c>
      <c r="E239" s="135">
        <f t="shared" si="22"/>
        <v>0</v>
      </c>
      <c r="F239" s="50"/>
      <c r="G239" s="50">
        <f t="shared" si="23"/>
        <v>4000</v>
      </c>
      <c r="H239" s="123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1:33" x14ac:dyDescent="0.2">
      <c r="A240" s="138"/>
      <c r="B240" s="139"/>
      <c r="C240" s="140"/>
      <c r="D240" s="141">
        <f>SUMIFS(D226:D239, F226:F239, "Y")</f>
        <v>6428.5714285714303</v>
      </c>
      <c r="E240" s="142">
        <f>SUMIFS(E226:E239, F226:F239, "Y")</f>
        <v>2571.4285714285711</v>
      </c>
      <c r="F240" s="143">
        <f>(SUMIFS(D226:D239, F226:F239, "Y") + SUMIFS(E226:E239, F226:F239, "Y"))</f>
        <v>9000.0000000000018</v>
      </c>
      <c r="G240" s="140"/>
      <c r="H240" s="144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1:33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1:33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1:33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1:33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1:33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1:33" x14ac:dyDescent="0.2">
      <c r="A246" s="256">
        <v>9</v>
      </c>
      <c r="B246" s="257"/>
      <c r="C246" s="31"/>
      <c r="D246" s="31"/>
      <c r="E246" s="31"/>
      <c r="F246" s="31"/>
      <c r="G246" s="31"/>
      <c r="H246" s="32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1:33" x14ac:dyDescent="0.2">
      <c r="A247" s="265" t="s">
        <v>7</v>
      </c>
      <c r="B247" s="259"/>
      <c r="C247" s="65">
        <v>10000</v>
      </c>
      <c r="D247" s="35"/>
      <c r="E247" s="35"/>
      <c r="F247" s="35"/>
      <c r="G247" s="35"/>
      <c r="H247" s="36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1:33" x14ac:dyDescent="0.2">
      <c r="A248" s="265" t="s">
        <v>8</v>
      </c>
      <c r="B248" s="259"/>
      <c r="C248" s="113">
        <v>45712</v>
      </c>
      <c r="D248" s="35"/>
      <c r="E248" s="38"/>
      <c r="F248" s="38"/>
      <c r="G248" s="38"/>
      <c r="H248" s="39" t="s">
        <v>10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1:33" x14ac:dyDescent="0.2">
      <c r="A249" s="265" t="s">
        <v>103</v>
      </c>
      <c r="B249" s="259"/>
      <c r="C249" s="65">
        <v>2000</v>
      </c>
      <c r="D249" s="44"/>
      <c r="E249" s="266" t="s">
        <v>14</v>
      </c>
      <c r="F249" s="45" t="s">
        <v>15</v>
      </c>
      <c r="G249" s="65">
        <v>0</v>
      </c>
      <c r="H249" s="46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1:33" x14ac:dyDescent="0.2">
      <c r="A250" s="265" t="s">
        <v>17</v>
      </c>
      <c r="B250" s="259"/>
      <c r="C250" s="43">
        <v>2</v>
      </c>
      <c r="D250" s="44"/>
      <c r="E250" s="261"/>
      <c r="F250" s="45" t="s">
        <v>18</v>
      </c>
      <c r="G250" s="43">
        <v>10000</v>
      </c>
      <c r="H250" s="46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1:33" x14ac:dyDescent="0.2">
      <c r="A251" s="265" t="s">
        <v>20</v>
      </c>
      <c r="B251" s="259"/>
      <c r="C251" s="43">
        <f>C249*C250</f>
        <v>4000</v>
      </c>
      <c r="D251" s="35"/>
      <c r="E251" s="54"/>
      <c r="F251" s="35"/>
      <c r="G251" s="44"/>
      <c r="H251" s="36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1:33" x14ac:dyDescent="0.2">
      <c r="A252" s="265" t="s">
        <v>22</v>
      </c>
      <c r="B252" s="259"/>
      <c r="C252" s="33">
        <f>C247+C251</f>
        <v>14000</v>
      </c>
      <c r="D252" s="35"/>
      <c r="E252" s="35"/>
      <c r="F252" s="35"/>
      <c r="G252" s="35"/>
      <c r="H252" s="36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1:33" x14ac:dyDescent="0.2">
      <c r="A253" s="265" t="s">
        <v>24</v>
      </c>
      <c r="B253" s="259"/>
      <c r="C253" s="57">
        <v>250</v>
      </c>
      <c r="D253" s="35" t="s">
        <v>178</v>
      </c>
      <c r="E253" s="35"/>
      <c r="F253" s="35"/>
      <c r="G253" s="35"/>
      <c r="H253" s="36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1:33" x14ac:dyDescent="0.2">
      <c r="A254" s="265" t="s">
        <v>28</v>
      </c>
      <c r="B254" s="259"/>
      <c r="C254" s="58" t="s">
        <v>29</v>
      </c>
      <c r="D254" s="35"/>
      <c r="E254" s="35"/>
      <c r="F254" s="35"/>
      <c r="G254" s="35"/>
      <c r="H254" s="36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1:33" x14ac:dyDescent="0.2">
      <c r="A255" s="62" t="s">
        <v>31</v>
      </c>
      <c r="B255" s="63" t="s">
        <v>106</v>
      </c>
      <c r="C255" s="45" t="s">
        <v>33</v>
      </c>
      <c r="D255" s="45" t="s">
        <v>34</v>
      </c>
      <c r="E255" s="45" t="s">
        <v>35</v>
      </c>
      <c r="F255" s="45" t="s">
        <v>36</v>
      </c>
      <c r="G255" s="45" t="s">
        <v>37</v>
      </c>
      <c r="H255" s="36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1:33" x14ac:dyDescent="0.2">
      <c r="A256" s="62">
        <v>0</v>
      </c>
      <c r="B256" s="65"/>
      <c r="C256" s="65"/>
      <c r="D256" s="65"/>
      <c r="E256" s="65"/>
      <c r="F256" s="65"/>
      <c r="G256" s="43">
        <f>C252</f>
        <v>14000</v>
      </c>
      <c r="H256" s="36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1:33" x14ac:dyDescent="0.2">
      <c r="A257" s="62">
        <v>1</v>
      </c>
      <c r="B257" s="100">
        <v>45719</v>
      </c>
      <c r="C257" s="65">
        <v>1250</v>
      </c>
      <c r="D257" s="65">
        <f t="shared" ref="D257:D266" si="24">C257/1.4</f>
        <v>892.85714285714289</v>
      </c>
      <c r="E257" s="65">
        <f t="shared" ref="E257:E266" si="25">C257-D257</f>
        <v>357.14285714285711</v>
      </c>
      <c r="F257" s="43" t="s">
        <v>41</v>
      </c>
      <c r="G257" s="43">
        <f t="shared" ref="G257:G264" si="26">(G256-C257)</f>
        <v>12750</v>
      </c>
      <c r="H257" s="36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1:33" x14ac:dyDescent="0.2">
      <c r="A258" s="62">
        <v>2</v>
      </c>
      <c r="B258" s="100">
        <v>45726</v>
      </c>
      <c r="C258" s="65">
        <v>1750</v>
      </c>
      <c r="D258" s="65">
        <f t="shared" si="24"/>
        <v>1250</v>
      </c>
      <c r="E258" s="65">
        <f t="shared" si="25"/>
        <v>500</v>
      </c>
      <c r="F258" s="43" t="s">
        <v>41</v>
      </c>
      <c r="G258" s="43">
        <f t="shared" si="26"/>
        <v>11000</v>
      </c>
      <c r="H258" s="36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1:33" x14ac:dyDescent="0.2">
      <c r="A259" s="62">
        <v>3</v>
      </c>
      <c r="B259" s="100">
        <v>45733</v>
      </c>
      <c r="C259" s="65">
        <v>1000</v>
      </c>
      <c r="D259" s="65">
        <f t="shared" si="24"/>
        <v>714.28571428571433</v>
      </c>
      <c r="E259" s="65">
        <f t="shared" si="25"/>
        <v>285.71428571428567</v>
      </c>
      <c r="F259" s="43" t="s">
        <v>41</v>
      </c>
      <c r="G259" s="43">
        <f t="shared" si="26"/>
        <v>10000</v>
      </c>
      <c r="H259" s="36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1:33" x14ac:dyDescent="0.2">
      <c r="A260" s="62">
        <v>4</v>
      </c>
      <c r="B260" s="103">
        <v>45740</v>
      </c>
      <c r="C260" s="65">
        <v>1600</v>
      </c>
      <c r="D260" s="65">
        <f t="shared" si="24"/>
        <v>1142.8571428571429</v>
      </c>
      <c r="E260" s="65">
        <f t="shared" si="25"/>
        <v>457.14285714285711</v>
      </c>
      <c r="F260" s="43" t="s">
        <v>41</v>
      </c>
      <c r="G260" s="43">
        <f t="shared" si="26"/>
        <v>8400</v>
      </c>
      <c r="H260" s="36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1:33" x14ac:dyDescent="0.2">
      <c r="A261" s="62">
        <v>5</v>
      </c>
      <c r="B261" s="103">
        <v>45747</v>
      </c>
      <c r="C261" s="65">
        <v>1600</v>
      </c>
      <c r="D261" s="65">
        <f t="shared" si="24"/>
        <v>1142.8571428571429</v>
      </c>
      <c r="E261" s="65">
        <f t="shared" si="25"/>
        <v>457.14285714285711</v>
      </c>
      <c r="F261" s="43" t="s">
        <v>41</v>
      </c>
      <c r="G261" s="43">
        <f t="shared" si="26"/>
        <v>6800</v>
      </c>
      <c r="H261" s="36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1:33" x14ac:dyDescent="0.2">
      <c r="A262" s="62">
        <v>6</v>
      </c>
      <c r="B262" s="103">
        <v>45754</v>
      </c>
      <c r="C262" s="65">
        <v>2050</v>
      </c>
      <c r="D262" s="65">
        <f t="shared" si="24"/>
        <v>1464.2857142857144</v>
      </c>
      <c r="E262" s="65">
        <f t="shared" si="25"/>
        <v>585.71428571428555</v>
      </c>
      <c r="F262" s="43" t="s">
        <v>41</v>
      </c>
      <c r="G262" s="43">
        <f t="shared" si="26"/>
        <v>4750</v>
      </c>
      <c r="H262" s="36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1:33" x14ac:dyDescent="0.2">
      <c r="A263" s="62">
        <v>7</v>
      </c>
      <c r="B263" s="103">
        <v>45754</v>
      </c>
      <c r="C263" s="65">
        <v>4750</v>
      </c>
      <c r="D263" s="65">
        <f t="shared" si="24"/>
        <v>3392.8571428571431</v>
      </c>
      <c r="E263" s="65">
        <f t="shared" si="25"/>
        <v>1357.1428571428569</v>
      </c>
      <c r="F263" s="43" t="s">
        <v>41</v>
      </c>
      <c r="G263" s="43">
        <f t="shared" si="26"/>
        <v>0</v>
      </c>
      <c r="H263" s="36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1:33" x14ac:dyDescent="0.2">
      <c r="A264" s="62">
        <v>8</v>
      </c>
      <c r="B264" s="103"/>
      <c r="C264" s="65"/>
      <c r="D264" s="65">
        <f t="shared" si="24"/>
        <v>0</v>
      </c>
      <c r="E264" s="65">
        <f t="shared" si="25"/>
        <v>0</v>
      </c>
      <c r="F264" s="43" t="s">
        <v>107</v>
      </c>
      <c r="G264" s="43">
        <f t="shared" si="26"/>
        <v>0</v>
      </c>
      <c r="H264" s="36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1:33" x14ac:dyDescent="0.2">
      <c r="A265" s="62">
        <v>9</v>
      </c>
      <c r="B265" s="103"/>
      <c r="C265" s="65"/>
      <c r="D265" s="65">
        <f t="shared" si="24"/>
        <v>0</v>
      </c>
      <c r="E265" s="65">
        <f t="shared" si="25"/>
        <v>0</v>
      </c>
      <c r="F265" s="65"/>
      <c r="G265" s="65"/>
      <c r="H265" s="36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1:33" x14ac:dyDescent="0.2">
      <c r="A266" s="62">
        <v>10</v>
      </c>
      <c r="B266" s="103"/>
      <c r="C266" s="65"/>
      <c r="D266" s="65">
        <f t="shared" si="24"/>
        <v>0</v>
      </c>
      <c r="E266" s="65">
        <f t="shared" si="25"/>
        <v>0</v>
      </c>
      <c r="F266" s="65"/>
      <c r="G266" s="65"/>
      <c r="H266" s="36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1:33" x14ac:dyDescent="0.2">
      <c r="A267" s="89"/>
      <c r="B267" s="90"/>
      <c r="C267" s="91"/>
      <c r="D267" s="111">
        <f>SUMIFS(D257:D266, F257:F266, "Y")</f>
        <v>10000</v>
      </c>
      <c r="E267" s="111">
        <f>SUMIFS(E257:E266, F257:F266, "Y")</f>
        <v>3999.9999999999991</v>
      </c>
      <c r="F267" s="92">
        <f>(SUMIFS(D257:D266, F257:F266, "Y") + SUMIFS(E257:E266, F257:F266, "Y"))</f>
        <v>14000</v>
      </c>
      <c r="G267" s="91"/>
      <c r="H267" s="93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1:33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1:33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1:33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1:33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1:33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1:33" x14ac:dyDescent="0.2">
      <c r="A273" s="256">
        <v>10</v>
      </c>
      <c r="B273" s="257"/>
      <c r="C273" s="119"/>
      <c r="D273" s="119"/>
      <c r="E273" s="119"/>
      <c r="F273" s="119"/>
      <c r="G273" s="119"/>
      <c r="H273" s="12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1:33" x14ac:dyDescent="0.2">
      <c r="A274" s="258" t="s">
        <v>7</v>
      </c>
      <c r="B274" s="259"/>
      <c r="C274" s="50">
        <v>10000</v>
      </c>
      <c r="D274" s="30"/>
      <c r="E274" s="30"/>
      <c r="F274" s="30"/>
      <c r="G274" s="30"/>
      <c r="H274" s="123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1:33" x14ac:dyDescent="0.2">
      <c r="A275" s="258" t="s">
        <v>8</v>
      </c>
      <c r="B275" s="259"/>
      <c r="C275" s="150">
        <v>45712</v>
      </c>
      <c r="D275" s="30"/>
      <c r="E275" s="49"/>
      <c r="F275" s="49"/>
      <c r="G275" s="49"/>
      <c r="H275" s="125" t="s">
        <v>10</v>
      </c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1:33" x14ac:dyDescent="0.2">
      <c r="A276" s="258" t="s">
        <v>103</v>
      </c>
      <c r="B276" s="259"/>
      <c r="C276" s="50">
        <v>2000</v>
      </c>
      <c r="D276" s="66"/>
      <c r="E276" s="260" t="s">
        <v>14</v>
      </c>
      <c r="F276" s="126" t="s">
        <v>15</v>
      </c>
      <c r="G276" s="50">
        <v>0</v>
      </c>
      <c r="H276" s="127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1:33" x14ac:dyDescent="0.2">
      <c r="A277" s="258" t="s">
        <v>17</v>
      </c>
      <c r="B277" s="259"/>
      <c r="C277" s="50">
        <v>2</v>
      </c>
      <c r="D277" s="66"/>
      <c r="E277" s="261"/>
      <c r="F277" s="126" t="s">
        <v>18</v>
      </c>
      <c r="G277" s="50">
        <v>10000</v>
      </c>
      <c r="H277" s="127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1:33" x14ac:dyDescent="0.2">
      <c r="A278" s="258" t="s">
        <v>20</v>
      </c>
      <c r="B278" s="259"/>
      <c r="C278" s="50">
        <f>C276*C277</f>
        <v>4000</v>
      </c>
      <c r="D278" s="30"/>
      <c r="E278" s="128"/>
      <c r="F278" s="30"/>
      <c r="G278" s="66"/>
      <c r="H278" s="123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1:33" x14ac:dyDescent="0.2">
      <c r="A279" s="258" t="s">
        <v>22</v>
      </c>
      <c r="B279" s="259"/>
      <c r="C279" s="121">
        <f>C274+C278</f>
        <v>14000</v>
      </c>
      <c r="D279" s="30"/>
      <c r="E279" s="30"/>
      <c r="F279" s="30"/>
      <c r="G279" s="30"/>
      <c r="H279" s="123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1:33" x14ac:dyDescent="0.2">
      <c r="A280" s="258" t="s">
        <v>24</v>
      </c>
      <c r="B280" s="259"/>
      <c r="C280" s="146">
        <v>250</v>
      </c>
      <c r="D280" s="30" t="s">
        <v>178</v>
      </c>
      <c r="E280" s="30"/>
      <c r="F280" s="30"/>
      <c r="G280" s="30"/>
      <c r="H280" s="123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1:33" x14ac:dyDescent="0.2">
      <c r="A281" s="258" t="s">
        <v>28</v>
      </c>
      <c r="B281" s="259"/>
      <c r="C281" s="130" t="s">
        <v>29</v>
      </c>
      <c r="D281" s="30"/>
      <c r="E281" s="30"/>
      <c r="F281" s="30"/>
      <c r="G281" s="30"/>
      <c r="H281" s="123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1:33" x14ac:dyDescent="0.2">
      <c r="A282" s="131" t="s">
        <v>31</v>
      </c>
      <c r="B282" s="132" t="s">
        <v>106</v>
      </c>
      <c r="C282" s="133" t="s">
        <v>33</v>
      </c>
      <c r="D282" s="133" t="s">
        <v>34</v>
      </c>
      <c r="E282" s="133" t="s">
        <v>35</v>
      </c>
      <c r="F282" s="133" t="s">
        <v>36</v>
      </c>
      <c r="G282" s="133" t="s">
        <v>37</v>
      </c>
      <c r="H282" s="123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1:33" x14ac:dyDescent="0.2">
      <c r="A283" s="134">
        <v>0</v>
      </c>
      <c r="B283" s="135"/>
      <c r="C283" s="135"/>
      <c r="D283" s="135"/>
      <c r="E283" s="135"/>
      <c r="F283" s="135"/>
      <c r="G283" s="50">
        <f>C279</f>
        <v>14000</v>
      </c>
      <c r="H283" s="123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1:33" x14ac:dyDescent="0.2">
      <c r="A284" s="134">
        <v>1</v>
      </c>
      <c r="B284" s="136">
        <v>45719</v>
      </c>
      <c r="C284" s="135">
        <v>1250</v>
      </c>
      <c r="D284" s="50">
        <f t="shared" ref="D284:D295" si="27">C284/1.4</f>
        <v>892.85714285714289</v>
      </c>
      <c r="E284" s="50">
        <f t="shared" ref="E284:E295" si="28">C284-D284</f>
        <v>357.14285714285711</v>
      </c>
      <c r="F284" s="50" t="s">
        <v>41</v>
      </c>
      <c r="G284" s="50">
        <f t="shared" ref="G284:G295" si="29">(G283-C284)</f>
        <v>12750</v>
      </c>
      <c r="H284" s="123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1:33" x14ac:dyDescent="0.2">
      <c r="A285" s="134">
        <v>2</v>
      </c>
      <c r="B285" s="136">
        <v>45726</v>
      </c>
      <c r="C285" s="135">
        <v>1750</v>
      </c>
      <c r="D285" s="50">
        <f t="shared" si="27"/>
        <v>1250</v>
      </c>
      <c r="E285" s="50">
        <f t="shared" si="28"/>
        <v>500</v>
      </c>
      <c r="F285" s="50" t="s">
        <v>41</v>
      </c>
      <c r="G285" s="50">
        <f t="shared" si="29"/>
        <v>11000</v>
      </c>
      <c r="H285" s="123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1:33" x14ac:dyDescent="0.2">
      <c r="A286" s="134">
        <v>3</v>
      </c>
      <c r="B286" s="136">
        <v>45733</v>
      </c>
      <c r="C286" s="135">
        <v>1500</v>
      </c>
      <c r="D286" s="50">
        <f t="shared" si="27"/>
        <v>1071.4285714285716</v>
      </c>
      <c r="E286" s="50">
        <f t="shared" si="28"/>
        <v>428.57142857142844</v>
      </c>
      <c r="F286" s="50" t="s">
        <v>41</v>
      </c>
      <c r="G286" s="50">
        <f t="shared" si="29"/>
        <v>9500</v>
      </c>
      <c r="H286" s="123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1:33" x14ac:dyDescent="0.2">
      <c r="A287" s="134">
        <v>4</v>
      </c>
      <c r="B287" s="137">
        <v>45740</v>
      </c>
      <c r="C287" s="135">
        <v>1500</v>
      </c>
      <c r="D287" s="50">
        <f t="shared" si="27"/>
        <v>1071.4285714285716</v>
      </c>
      <c r="E287" s="50">
        <f t="shared" si="28"/>
        <v>428.57142857142844</v>
      </c>
      <c r="F287" s="50" t="s">
        <v>41</v>
      </c>
      <c r="G287" s="50">
        <f t="shared" si="29"/>
        <v>8000</v>
      </c>
      <c r="H287" s="123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1:33" x14ac:dyDescent="0.2">
      <c r="A288" s="134">
        <v>5</v>
      </c>
      <c r="B288" s="137">
        <v>45747</v>
      </c>
      <c r="C288" s="135">
        <v>1250</v>
      </c>
      <c r="D288" s="50">
        <f t="shared" si="27"/>
        <v>892.85714285714289</v>
      </c>
      <c r="E288" s="50">
        <f t="shared" si="28"/>
        <v>357.14285714285711</v>
      </c>
      <c r="F288" s="50" t="s">
        <v>41</v>
      </c>
      <c r="G288" s="50">
        <f t="shared" si="29"/>
        <v>6750</v>
      </c>
      <c r="H288" s="123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1:33" x14ac:dyDescent="0.2">
      <c r="A289" s="134">
        <v>6</v>
      </c>
      <c r="B289" s="137">
        <v>45754</v>
      </c>
      <c r="C289" s="135">
        <v>1000</v>
      </c>
      <c r="D289" s="50">
        <f t="shared" si="27"/>
        <v>714.28571428571433</v>
      </c>
      <c r="E289" s="50">
        <f t="shared" si="28"/>
        <v>285.71428571428567</v>
      </c>
      <c r="F289" s="50" t="s">
        <v>41</v>
      </c>
      <c r="G289" s="50">
        <f t="shared" si="29"/>
        <v>5750</v>
      </c>
      <c r="H289" s="123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1:33" x14ac:dyDescent="0.2">
      <c r="A290" s="134">
        <v>7</v>
      </c>
      <c r="B290" s="137">
        <v>45761</v>
      </c>
      <c r="C290" s="135">
        <v>1000</v>
      </c>
      <c r="D290" s="50">
        <f t="shared" si="27"/>
        <v>714.28571428571433</v>
      </c>
      <c r="E290" s="50">
        <f t="shared" si="28"/>
        <v>285.71428571428567</v>
      </c>
      <c r="F290" s="50" t="s">
        <v>41</v>
      </c>
      <c r="G290" s="50">
        <f t="shared" si="29"/>
        <v>4750</v>
      </c>
      <c r="H290" s="123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1:33" x14ac:dyDescent="0.2">
      <c r="A291" s="134">
        <v>8</v>
      </c>
      <c r="B291" s="137">
        <v>45768</v>
      </c>
      <c r="C291" s="135">
        <v>500</v>
      </c>
      <c r="D291" s="50">
        <f t="shared" si="27"/>
        <v>357.14285714285717</v>
      </c>
      <c r="E291" s="50">
        <f t="shared" si="28"/>
        <v>142.85714285714283</v>
      </c>
      <c r="F291" s="50" t="s">
        <v>41</v>
      </c>
      <c r="G291" s="50">
        <f t="shared" si="29"/>
        <v>4250</v>
      </c>
      <c r="H291" s="123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1:33" x14ac:dyDescent="0.2">
      <c r="A292" s="134">
        <v>9</v>
      </c>
      <c r="B292" s="137">
        <v>45775</v>
      </c>
      <c r="C292" s="135">
        <v>1000</v>
      </c>
      <c r="D292" s="50">
        <f t="shared" si="27"/>
        <v>714.28571428571433</v>
      </c>
      <c r="E292" s="50">
        <f t="shared" si="28"/>
        <v>285.71428571428567</v>
      </c>
      <c r="F292" s="50" t="s">
        <v>41</v>
      </c>
      <c r="G292" s="50">
        <f t="shared" si="29"/>
        <v>3250</v>
      </c>
      <c r="H292" s="123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1:33" x14ac:dyDescent="0.2">
      <c r="A293" s="134">
        <v>10</v>
      </c>
      <c r="B293" s="137">
        <v>45782</v>
      </c>
      <c r="C293" s="135">
        <v>1000</v>
      </c>
      <c r="D293" s="50">
        <f t="shared" si="27"/>
        <v>714.28571428571433</v>
      </c>
      <c r="E293" s="50">
        <f t="shared" si="28"/>
        <v>285.71428571428567</v>
      </c>
      <c r="F293" s="50" t="s">
        <v>41</v>
      </c>
      <c r="G293" s="50">
        <f t="shared" si="29"/>
        <v>2250</v>
      </c>
      <c r="H293" s="123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1:33" x14ac:dyDescent="0.2">
      <c r="A294" s="134">
        <v>11</v>
      </c>
      <c r="B294" s="137">
        <v>45789</v>
      </c>
      <c r="C294" s="135">
        <v>1000</v>
      </c>
      <c r="D294" s="50">
        <f t="shared" si="27"/>
        <v>714.28571428571433</v>
      </c>
      <c r="E294" s="50">
        <f t="shared" si="28"/>
        <v>285.71428571428567</v>
      </c>
      <c r="F294" s="50"/>
      <c r="G294" s="50">
        <f t="shared" si="29"/>
        <v>1250</v>
      </c>
      <c r="H294" s="123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1:33" x14ac:dyDescent="0.2">
      <c r="A295" s="134">
        <v>12</v>
      </c>
      <c r="B295" s="137">
        <v>45796</v>
      </c>
      <c r="C295" s="135"/>
      <c r="D295" s="50">
        <f t="shared" si="27"/>
        <v>0</v>
      </c>
      <c r="E295" s="50">
        <f t="shared" si="28"/>
        <v>0</v>
      </c>
      <c r="F295" s="50"/>
      <c r="G295" s="50">
        <f t="shared" si="29"/>
        <v>1250</v>
      </c>
      <c r="H295" s="123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1:33" x14ac:dyDescent="0.2">
      <c r="A296" s="138"/>
      <c r="B296" s="139"/>
      <c r="C296" s="140"/>
      <c r="D296" s="141">
        <f>SUMIFS(D284:D295, F284:F295, "Y")</f>
        <v>8392.8571428571449</v>
      </c>
      <c r="E296" s="142">
        <f>SUMIFS(E284:E295, F284:F295, "Y")</f>
        <v>3357.1428571428569</v>
      </c>
      <c r="F296" s="143">
        <f>(SUMIFS(D284:D295, F284:F295, "Y") + SUMIFS(E284:E295, F284:F295, "Y"))</f>
        <v>11750.000000000002</v>
      </c>
      <c r="G296" s="140"/>
      <c r="H296" s="144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1:33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1:33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1:33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1:33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1:33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1:33" x14ac:dyDescent="0.2">
      <c r="A302" s="256">
        <v>11</v>
      </c>
      <c r="B302" s="257"/>
      <c r="C302" s="119"/>
      <c r="D302" s="119"/>
      <c r="E302" s="119"/>
      <c r="F302" s="119"/>
      <c r="G302" s="119"/>
      <c r="H302" s="12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1:33" x14ac:dyDescent="0.2">
      <c r="A303" s="258" t="s">
        <v>7</v>
      </c>
      <c r="B303" s="259"/>
      <c r="C303" s="148">
        <v>20000</v>
      </c>
      <c r="D303" s="30" t="s">
        <v>334</v>
      </c>
      <c r="E303" s="30"/>
      <c r="F303" s="30"/>
      <c r="G303" s="30"/>
      <c r="H303" s="123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1:33" x14ac:dyDescent="0.2">
      <c r="A304" s="258" t="s">
        <v>8</v>
      </c>
      <c r="B304" s="259"/>
      <c r="C304" s="82">
        <v>45719</v>
      </c>
      <c r="D304" s="30"/>
      <c r="E304" s="49"/>
      <c r="F304" s="49"/>
      <c r="G304" s="49"/>
      <c r="H304" s="125" t="s">
        <v>10</v>
      </c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1:33" x14ac:dyDescent="0.2">
      <c r="A305" s="258" t="s">
        <v>103</v>
      </c>
      <c r="B305" s="259"/>
      <c r="C305" s="135">
        <v>4000</v>
      </c>
      <c r="D305" s="66" t="s">
        <v>335</v>
      </c>
      <c r="E305" s="260" t="s">
        <v>14</v>
      </c>
      <c r="F305" s="126" t="s">
        <v>15</v>
      </c>
      <c r="G305" s="50">
        <v>0</v>
      </c>
      <c r="H305" s="127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1:33" x14ac:dyDescent="0.2">
      <c r="A306" s="258" t="s">
        <v>17</v>
      </c>
      <c r="B306" s="259"/>
      <c r="C306" s="50">
        <v>2</v>
      </c>
      <c r="D306" s="66"/>
      <c r="E306" s="261"/>
      <c r="F306" s="126" t="s">
        <v>18</v>
      </c>
      <c r="G306" s="135">
        <v>20000</v>
      </c>
      <c r="H306" s="236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1:33" x14ac:dyDescent="0.2">
      <c r="A307" s="258" t="s">
        <v>20</v>
      </c>
      <c r="B307" s="259"/>
      <c r="C307" s="50">
        <f>C305*C306</f>
        <v>8000</v>
      </c>
      <c r="D307" s="30"/>
      <c r="E307" s="128"/>
      <c r="F307" s="30"/>
      <c r="G307" s="66"/>
      <c r="H307" s="123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1:33" x14ac:dyDescent="0.2">
      <c r="A308" s="258" t="s">
        <v>22</v>
      </c>
      <c r="B308" s="259"/>
      <c r="C308" s="121">
        <f>C303+C307</f>
        <v>28000</v>
      </c>
      <c r="D308" s="30"/>
      <c r="E308" s="30"/>
      <c r="F308" s="30"/>
      <c r="G308" s="30"/>
      <c r="H308" s="123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1:33" x14ac:dyDescent="0.2">
      <c r="A309" s="258" t="s">
        <v>24</v>
      </c>
      <c r="B309" s="259"/>
      <c r="C309" s="146">
        <v>480</v>
      </c>
      <c r="D309" s="30" t="s">
        <v>183</v>
      </c>
      <c r="E309" s="30"/>
      <c r="F309" s="30"/>
      <c r="G309" s="30"/>
      <c r="H309" s="123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1:33" x14ac:dyDescent="0.2">
      <c r="A310" s="258" t="s">
        <v>28</v>
      </c>
      <c r="B310" s="259"/>
      <c r="C310" s="130" t="s">
        <v>154</v>
      </c>
      <c r="D310" s="30"/>
      <c r="E310" s="30"/>
      <c r="F310" s="30"/>
      <c r="G310" s="30"/>
      <c r="H310" s="123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1:33" x14ac:dyDescent="0.2">
      <c r="A311" s="131" t="s">
        <v>31</v>
      </c>
      <c r="B311" s="132" t="s">
        <v>106</v>
      </c>
      <c r="C311" s="133" t="s">
        <v>33</v>
      </c>
      <c r="D311" s="133" t="s">
        <v>34</v>
      </c>
      <c r="E311" s="133" t="s">
        <v>35</v>
      </c>
      <c r="F311" s="133" t="s">
        <v>36</v>
      </c>
      <c r="G311" s="133" t="s">
        <v>37</v>
      </c>
      <c r="H311" s="123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1:33" x14ac:dyDescent="0.2">
      <c r="A312" s="134">
        <v>0</v>
      </c>
      <c r="B312" s="135"/>
      <c r="C312" s="135"/>
      <c r="D312" s="135"/>
      <c r="E312" s="135"/>
      <c r="F312" s="135"/>
      <c r="G312" s="50">
        <f>C308</f>
        <v>28000</v>
      </c>
      <c r="H312" s="123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1:33" x14ac:dyDescent="0.2">
      <c r="A313" s="134">
        <v>1</v>
      </c>
      <c r="B313" s="126" t="s">
        <v>306</v>
      </c>
      <c r="C313" s="135">
        <v>2400</v>
      </c>
      <c r="D313" s="135">
        <f t="shared" ref="D313:D329" si="30">C313/1.4</f>
        <v>1714.2857142857144</v>
      </c>
      <c r="E313" s="135">
        <f t="shared" ref="E313:E329" si="31">C313-D313</f>
        <v>685.71428571428555</v>
      </c>
      <c r="F313" s="50" t="s">
        <v>41</v>
      </c>
      <c r="G313" s="50">
        <f t="shared" ref="G313:G329" si="32">(G312-C313)</f>
        <v>25600</v>
      </c>
      <c r="H313" s="123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1:33" x14ac:dyDescent="0.2">
      <c r="A314" s="134">
        <v>2</v>
      </c>
      <c r="B314" s="126" t="s">
        <v>307</v>
      </c>
      <c r="C314" s="135">
        <v>2880</v>
      </c>
      <c r="D314" s="135">
        <f t="shared" si="30"/>
        <v>2057.1428571428573</v>
      </c>
      <c r="E314" s="135">
        <f t="shared" si="31"/>
        <v>822.85714285714266</v>
      </c>
      <c r="F314" s="50" t="s">
        <v>41</v>
      </c>
      <c r="G314" s="50">
        <f t="shared" si="32"/>
        <v>22720</v>
      </c>
      <c r="H314" s="123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1:33" x14ac:dyDescent="0.2">
      <c r="A315" s="134">
        <v>3</v>
      </c>
      <c r="B315" s="126" t="s">
        <v>308</v>
      </c>
      <c r="C315" s="135">
        <v>1440</v>
      </c>
      <c r="D315" s="135">
        <f t="shared" si="30"/>
        <v>1028.5714285714287</v>
      </c>
      <c r="E315" s="135">
        <f t="shared" si="31"/>
        <v>411.42857142857133</v>
      </c>
      <c r="F315" s="50" t="s">
        <v>41</v>
      </c>
      <c r="G315" s="50">
        <f t="shared" si="32"/>
        <v>21280</v>
      </c>
      <c r="H315" s="123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1:33" x14ac:dyDescent="0.2">
      <c r="A316" s="134">
        <v>4</v>
      </c>
      <c r="B316" s="126" t="s">
        <v>309</v>
      </c>
      <c r="C316" s="135">
        <v>1920</v>
      </c>
      <c r="D316" s="135">
        <f t="shared" si="30"/>
        <v>1371.4285714285716</v>
      </c>
      <c r="E316" s="135">
        <f t="shared" si="31"/>
        <v>548.57142857142844</v>
      </c>
      <c r="F316" s="50" t="s">
        <v>41</v>
      </c>
      <c r="G316" s="50">
        <f t="shared" si="32"/>
        <v>19360</v>
      </c>
      <c r="H316" s="123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1:33" x14ac:dyDescent="0.2">
      <c r="A317" s="134">
        <v>5</v>
      </c>
      <c r="B317" s="126" t="s">
        <v>310</v>
      </c>
      <c r="C317" s="135">
        <v>1920</v>
      </c>
      <c r="D317" s="135">
        <f t="shared" si="30"/>
        <v>1371.4285714285716</v>
      </c>
      <c r="E317" s="135">
        <f t="shared" si="31"/>
        <v>548.57142857142844</v>
      </c>
      <c r="F317" s="50" t="s">
        <v>41</v>
      </c>
      <c r="G317" s="50">
        <f t="shared" si="32"/>
        <v>17440</v>
      </c>
      <c r="H317" s="123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1:33" x14ac:dyDescent="0.2">
      <c r="A318" s="134">
        <v>6</v>
      </c>
      <c r="B318" s="126" t="s">
        <v>311</v>
      </c>
      <c r="C318" s="135">
        <v>1920</v>
      </c>
      <c r="D318" s="135">
        <f t="shared" si="30"/>
        <v>1371.4285714285716</v>
      </c>
      <c r="E318" s="135">
        <f t="shared" si="31"/>
        <v>548.57142857142844</v>
      </c>
      <c r="F318" s="50" t="s">
        <v>41</v>
      </c>
      <c r="G318" s="50">
        <f t="shared" si="32"/>
        <v>15520</v>
      </c>
      <c r="H318" s="123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1:33" x14ac:dyDescent="0.2">
      <c r="A319" s="134">
        <v>7</v>
      </c>
      <c r="B319" s="126" t="s">
        <v>312</v>
      </c>
      <c r="C319" s="135">
        <v>1440</v>
      </c>
      <c r="D319" s="135">
        <f t="shared" si="30"/>
        <v>1028.5714285714287</v>
      </c>
      <c r="E319" s="135">
        <f t="shared" si="31"/>
        <v>411.42857142857133</v>
      </c>
      <c r="F319" s="50" t="s">
        <v>41</v>
      </c>
      <c r="G319" s="50">
        <f t="shared" si="32"/>
        <v>14080</v>
      </c>
      <c r="H319" s="123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1:33" x14ac:dyDescent="0.2">
      <c r="A320" s="134">
        <v>8</v>
      </c>
      <c r="B320" s="126" t="s">
        <v>295</v>
      </c>
      <c r="C320" s="135">
        <v>1920</v>
      </c>
      <c r="D320" s="135">
        <f t="shared" si="30"/>
        <v>1371.4285714285716</v>
      </c>
      <c r="E320" s="135">
        <f t="shared" si="31"/>
        <v>548.57142857142844</v>
      </c>
      <c r="F320" s="50" t="s">
        <v>41</v>
      </c>
      <c r="G320" s="50">
        <f t="shared" si="32"/>
        <v>12160</v>
      </c>
      <c r="H320" s="123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1:33" x14ac:dyDescent="0.2">
      <c r="A321" s="134">
        <v>9</v>
      </c>
      <c r="B321" s="126" t="s">
        <v>313</v>
      </c>
      <c r="C321" s="135">
        <v>1440</v>
      </c>
      <c r="D321" s="135">
        <f t="shared" si="30"/>
        <v>1028.5714285714287</v>
      </c>
      <c r="E321" s="135">
        <f t="shared" si="31"/>
        <v>411.42857142857133</v>
      </c>
      <c r="F321" s="50" t="s">
        <v>41</v>
      </c>
      <c r="G321" s="50">
        <f t="shared" si="32"/>
        <v>10720</v>
      </c>
      <c r="H321" s="123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1:33" x14ac:dyDescent="0.2">
      <c r="A322" s="134">
        <v>10</v>
      </c>
      <c r="B322" s="126" t="s">
        <v>297</v>
      </c>
      <c r="C322" s="135">
        <v>1920</v>
      </c>
      <c r="D322" s="135">
        <f t="shared" si="30"/>
        <v>1371.4285714285716</v>
      </c>
      <c r="E322" s="135">
        <f t="shared" si="31"/>
        <v>548.57142857142844</v>
      </c>
      <c r="F322" s="50"/>
      <c r="G322" s="50">
        <f t="shared" si="32"/>
        <v>8800</v>
      </c>
      <c r="H322" s="123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1:33" x14ac:dyDescent="0.2">
      <c r="A323" s="134">
        <v>11</v>
      </c>
      <c r="B323" s="126" t="s">
        <v>336</v>
      </c>
      <c r="C323" s="135"/>
      <c r="D323" s="135">
        <f t="shared" si="30"/>
        <v>0</v>
      </c>
      <c r="E323" s="135">
        <f t="shared" si="31"/>
        <v>0</v>
      </c>
      <c r="F323" s="50"/>
      <c r="G323" s="50">
        <f t="shared" si="32"/>
        <v>8800</v>
      </c>
      <c r="H323" s="123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1:33" x14ac:dyDescent="0.2">
      <c r="A324" s="134">
        <v>12</v>
      </c>
      <c r="B324" s="137">
        <v>45803</v>
      </c>
      <c r="C324" s="135"/>
      <c r="D324" s="135">
        <f t="shared" si="30"/>
        <v>0</v>
      </c>
      <c r="E324" s="135">
        <f t="shared" si="31"/>
        <v>0</v>
      </c>
      <c r="F324" s="50"/>
      <c r="G324" s="50">
        <f t="shared" si="32"/>
        <v>8800</v>
      </c>
      <c r="H324" s="123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1:33" x14ac:dyDescent="0.2">
      <c r="A325" s="134">
        <v>13</v>
      </c>
      <c r="B325" s="137">
        <v>45810</v>
      </c>
      <c r="C325" s="135"/>
      <c r="D325" s="135">
        <f t="shared" si="30"/>
        <v>0</v>
      </c>
      <c r="E325" s="135">
        <f t="shared" si="31"/>
        <v>0</v>
      </c>
      <c r="F325" s="50"/>
      <c r="G325" s="50">
        <f t="shared" si="32"/>
        <v>8800</v>
      </c>
      <c r="H325" s="123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1:33" x14ac:dyDescent="0.2">
      <c r="A326" s="134">
        <v>14</v>
      </c>
      <c r="B326" s="137">
        <v>45817</v>
      </c>
      <c r="C326" s="135"/>
      <c r="D326" s="135">
        <f t="shared" si="30"/>
        <v>0</v>
      </c>
      <c r="E326" s="135">
        <f t="shared" si="31"/>
        <v>0</v>
      </c>
      <c r="F326" s="50"/>
      <c r="G326" s="50">
        <f t="shared" si="32"/>
        <v>8800</v>
      </c>
      <c r="H326" s="123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1:33" x14ac:dyDescent="0.2">
      <c r="A327" s="134">
        <v>15</v>
      </c>
      <c r="B327" s="137">
        <v>45824</v>
      </c>
      <c r="C327" s="135"/>
      <c r="D327" s="135">
        <f t="shared" si="30"/>
        <v>0</v>
      </c>
      <c r="E327" s="135">
        <f t="shared" si="31"/>
        <v>0</v>
      </c>
      <c r="F327" s="50"/>
      <c r="G327" s="50">
        <f t="shared" si="32"/>
        <v>8800</v>
      </c>
      <c r="H327" s="123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1:33" x14ac:dyDescent="0.2">
      <c r="A328" s="134">
        <v>16</v>
      </c>
      <c r="B328" s="137">
        <v>45831</v>
      </c>
      <c r="C328" s="135"/>
      <c r="D328" s="135">
        <f t="shared" si="30"/>
        <v>0</v>
      </c>
      <c r="E328" s="135">
        <f t="shared" si="31"/>
        <v>0</v>
      </c>
      <c r="F328" s="50"/>
      <c r="G328" s="50">
        <f t="shared" si="32"/>
        <v>8800</v>
      </c>
      <c r="H328" s="123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1:33" x14ac:dyDescent="0.2">
      <c r="A329" s="134">
        <v>17</v>
      </c>
      <c r="B329" s="137">
        <v>45838</v>
      </c>
      <c r="C329" s="135"/>
      <c r="D329" s="135">
        <f t="shared" si="30"/>
        <v>0</v>
      </c>
      <c r="E329" s="135">
        <f t="shared" si="31"/>
        <v>0</v>
      </c>
      <c r="F329" s="50"/>
      <c r="G329" s="50">
        <f t="shared" si="32"/>
        <v>8800</v>
      </c>
      <c r="H329" s="123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1:33" x14ac:dyDescent="0.2">
      <c r="A330" s="138"/>
      <c r="B330" s="139"/>
      <c r="C330" s="140"/>
      <c r="D330" s="141">
        <f>SUMIFS(D313:D329, F313:F329, "Y")</f>
        <v>12342.857142857143</v>
      </c>
      <c r="E330" s="142">
        <f>SUMIFS(E313:E329, F313:F329, "Y")</f>
        <v>4937.142857142856</v>
      </c>
      <c r="F330" s="143">
        <f>(SUMIFS(D313:D329, F313:F329, "Y") + SUMIFS(E313:E329, F313:F329, "Y"))</f>
        <v>17280</v>
      </c>
      <c r="G330" s="140"/>
      <c r="H330" s="144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1:33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1:33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1:33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1:33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1:33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1:33" x14ac:dyDescent="0.2">
      <c r="A336" s="256">
        <v>12</v>
      </c>
      <c r="B336" s="257"/>
      <c r="C336" s="31"/>
      <c r="D336" s="31"/>
      <c r="E336" s="31"/>
      <c r="F336" s="31"/>
      <c r="G336" s="31"/>
      <c r="H336" s="32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1:33" x14ac:dyDescent="0.2">
      <c r="A337" s="265" t="s">
        <v>7</v>
      </c>
      <c r="B337" s="259"/>
      <c r="C337" s="149">
        <v>30000</v>
      </c>
      <c r="D337" s="35"/>
      <c r="E337" s="35"/>
      <c r="F337" s="35"/>
      <c r="G337" s="35"/>
      <c r="H337" s="36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1:33" x14ac:dyDescent="0.2">
      <c r="A338" s="265" t="s">
        <v>8</v>
      </c>
      <c r="B338" s="259"/>
      <c r="C338" s="113">
        <v>45726</v>
      </c>
      <c r="D338" s="35"/>
      <c r="E338" s="38"/>
      <c r="F338" s="38"/>
      <c r="G338" s="38"/>
      <c r="H338" s="39" t="s">
        <v>10</v>
      </c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1:33" x14ac:dyDescent="0.2">
      <c r="A339" s="265" t="s">
        <v>103</v>
      </c>
      <c r="B339" s="259"/>
      <c r="C339" s="65">
        <v>6000</v>
      </c>
      <c r="D339" s="44"/>
      <c r="E339" s="266" t="s">
        <v>14</v>
      </c>
      <c r="F339" s="45" t="s">
        <v>15</v>
      </c>
      <c r="G339" s="43">
        <v>0</v>
      </c>
      <c r="H339" s="46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1:33" x14ac:dyDescent="0.2">
      <c r="A340" s="265" t="s">
        <v>17</v>
      </c>
      <c r="B340" s="259"/>
      <c r="C340" s="43">
        <v>2</v>
      </c>
      <c r="D340" s="44"/>
      <c r="E340" s="261"/>
      <c r="F340" s="45" t="s">
        <v>18</v>
      </c>
      <c r="G340" s="65">
        <v>30000</v>
      </c>
      <c r="H340" s="25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1:33" x14ac:dyDescent="0.2">
      <c r="A341" s="265" t="s">
        <v>20</v>
      </c>
      <c r="B341" s="259"/>
      <c r="C341" s="43">
        <f>C339*C340</f>
        <v>12000</v>
      </c>
      <c r="D341" s="35"/>
      <c r="E341" s="54"/>
      <c r="F341" s="35"/>
      <c r="G341" s="44"/>
      <c r="H341" s="36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1:33" x14ac:dyDescent="0.2">
      <c r="A342" s="265" t="s">
        <v>22</v>
      </c>
      <c r="B342" s="259"/>
      <c r="C342" s="33">
        <f>C337+C341</f>
        <v>42000</v>
      </c>
      <c r="D342" s="35"/>
      <c r="E342" s="35"/>
      <c r="F342" s="35"/>
      <c r="G342" s="35"/>
      <c r="H342" s="36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1:33" x14ac:dyDescent="0.2">
      <c r="A343" s="265" t="s">
        <v>24</v>
      </c>
      <c r="B343" s="259"/>
      <c r="C343" s="57">
        <v>700</v>
      </c>
      <c r="D343" s="35" t="s">
        <v>192</v>
      </c>
      <c r="E343" s="35"/>
      <c r="F343" s="35"/>
      <c r="G343" s="35"/>
      <c r="H343" s="36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1:33" x14ac:dyDescent="0.2">
      <c r="A344" s="265" t="s">
        <v>28</v>
      </c>
      <c r="B344" s="259"/>
      <c r="C344" s="58" t="s">
        <v>154</v>
      </c>
      <c r="D344" s="35"/>
      <c r="E344" s="35"/>
      <c r="F344" s="35"/>
      <c r="G344" s="35"/>
      <c r="H344" s="36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1:33" x14ac:dyDescent="0.2">
      <c r="A345" s="62" t="s">
        <v>31</v>
      </c>
      <c r="B345" s="63" t="s">
        <v>106</v>
      </c>
      <c r="C345" s="45" t="s">
        <v>33</v>
      </c>
      <c r="D345" s="45" t="s">
        <v>34</v>
      </c>
      <c r="E345" s="45" t="s">
        <v>35</v>
      </c>
      <c r="F345" s="45" t="s">
        <v>36</v>
      </c>
      <c r="G345" s="45" t="s">
        <v>37</v>
      </c>
      <c r="H345" s="36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1:33" x14ac:dyDescent="0.2">
      <c r="A346" s="62">
        <v>0</v>
      </c>
      <c r="B346" s="65"/>
      <c r="C346" s="65"/>
      <c r="D346" s="65"/>
      <c r="E346" s="65"/>
      <c r="F346" s="65"/>
      <c r="G346" s="43">
        <f>C342</f>
        <v>42000</v>
      </c>
      <c r="H346" s="36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1:33" x14ac:dyDescent="0.2">
      <c r="A347" s="62">
        <v>1</v>
      </c>
      <c r="B347" s="100">
        <v>45733</v>
      </c>
      <c r="C347" s="65">
        <v>2800</v>
      </c>
      <c r="D347" s="65">
        <f t="shared" ref="D347:D356" si="33">C347/1.4</f>
        <v>2000.0000000000002</v>
      </c>
      <c r="E347" s="65">
        <f t="shared" ref="E347:E356" si="34">C347-D347</f>
        <v>799.99999999999977</v>
      </c>
      <c r="F347" s="43" t="s">
        <v>41</v>
      </c>
      <c r="G347" s="43">
        <f t="shared" ref="G347:G356" si="35">(G346-C347)</f>
        <v>39200</v>
      </c>
      <c r="H347" s="36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1:33" x14ac:dyDescent="0.2">
      <c r="A348" s="62">
        <v>2</v>
      </c>
      <c r="B348" s="103">
        <v>45740</v>
      </c>
      <c r="C348" s="65">
        <v>4200</v>
      </c>
      <c r="D348" s="65">
        <f t="shared" si="33"/>
        <v>3000</v>
      </c>
      <c r="E348" s="65">
        <f t="shared" si="34"/>
        <v>1200</v>
      </c>
      <c r="F348" s="43" t="s">
        <v>41</v>
      </c>
      <c r="G348" s="43">
        <f t="shared" si="35"/>
        <v>35000</v>
      </c>
      <c r="H348" s="36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1:33" x14ac:dyDescent="0.2">
      <c r="A349" s="62">
        <v>3</v>
      </c>
      <c r="B349" s="103">
        <v>45747</v>
      </c>
      <c r="C349" s="65">
        <v>3500</v>
      </c>
      <c r="D349" s="65">
        <f t="shared" si="33"/>
        <v>2500</v>
      </c>
      <c r="E349" s="65">
        <f t="shared" si="34"/>
        <v>1000</v>
      </c>
      <c r="F349" s="43" t="s">
        <v>41</v>
      </c>
      <c r="G349" s="43">
        <f t="shared" si="35"/>
        <v>31500</v>
      </c>
      <c r="H349" s="36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1:33" x14ac:dyDescent="0.2">
      <c r="A350" s="62">
        <v>4</v>
      </c>
      <c r="B350" s="103">
        <v>45754</v>
      </c>
      <c r="C350" s="65">
        <v>4200</v>
      </c>
      <c r="D350" s="65">
        <f t="shared" si="33"/>
        <v>3000</v>
      </c>
      <c r="E350" s="65">
        <f t="shared" si="34"/>
        <v>1200</v>
      </c>
      <c r="F350" s="43" t="s">
        <v>41</v>
      </c>
      <c r="G350" s="43">
        <f t="shared" si="35"/>
        <v>27300</v>
      </c>
      <c r="H350" s="36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1:33" x14ac:dyDescent="0.2">
      <c r="A351" s="62">
        <v>5</v>
      </c>
      <c r="B351" s="103">
        <v>45761</v>
      </c>
      <c r="C351" s="65">
        <v>4200</v>
      </c>
      <c r="D351" s="65">
        <f t="shared" si="33"/>
        <v>3000</v>
      </c>
      <c r="E351" s="65">
        <f t="shared" si="34"/>
        <v>1200</v>
      </c>
      <c r="F351" s="43" t="s">
        <v>41</v>
      </c>
      <c r="G351" s="43">
        <f t="shared" si="35"/>
        <v>23100</v>
      </c>
      <c r="H351" s="36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1:33" x14ac:dyDescent="0.2">
      <c r="A352" s="62">
        <v>6</v>
      </c>
      <c r="B352" s="103">
        <v>45768</v>
      </c>
      <c r="C352" s="65">
        <v>2100</v>
      </c>
      <c r="D352" s="65">
        <f t="shared" si="33"/>
        <v>1500</v>
      </c>
      <c r="E352" s="65">
        <f t="shared" si="34"/>
        <v>600</v>
      </c>
      <c r="F352" s="43" t="s">
        <v>41</v>
      </c>
      <c r="G352" s="43">
        <f t="shared" si="35"/>
        <v>21000</v>
      </c>
      <c r="H352" s="36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1:33" x14ac:dyDescent="0.2">
      <c r="A353" s="62">
        <v>7</v>
      </c>
      <c r="B353" s="103">
        <v>45775</v>
      </c>
      <c r="C353" s="65">
        <v>4200</v>
      </c>
      <c r="D353" s="65">
        <f t="shared" si="33"/>
        <v>3000</v>
      </c>
      <c r="E353" s="65">
        <f t="shared" si="34"/>
        <v>1200</v>
      </c>
      <c r="F353" s="43" t="s">
        <v>41</v>
      </c>
      <c r="G353" s="43">
        <f t="shared" si="35"/>
        <v>16800</v>
      </c>
      <c r="H353" s="36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1:33" x14ac:dyDescent="0.2">
      <c r="A354" s="62">
        <v>8</v>
      </c>
      <c r="B354" s="103">
        <v>45782</v>
      </c>
      <c r="C354" s="65">
        <v>4200</v>
      </c>
      <c r="D354" s="65">
        <f t="shared" si="33"/>
        <v>3000</v>
      </c>
      <c r="E354" s="65">
        <f t="shared" si="34"/>
        <v>1200</v>
      </c>
      <c r="F354" s="43" t="s">
        <v>41</v>
      </c>
      <c r="G354" s="43">
        <f t="shared" si="35"/>
        <v>12600</v>
      </c>
      <c r="H354" s="36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1:33" x14ac:dyDescent="0.2">
      <c r="A355" s="62">
        <v>9</v>
      </c>
      <c r="B355" s="103">
        <v>45782</v>
      </c>
      <c r="C355" s="65">
        <v>12600</v>
      </c>
      <c r="D355" s="65">
        <f t="shared" si="33"/>
        <v>9000</v>
      </c>
      <c r="E355" s="65">
        <f t="shared" si="34"/>
        <v>3600</v>
      </c>
      <c r="F355" s="43" t="s">
        <v>41</v>
      </c>
      <c r="G355" s="43">
        <f t="shared" si="35"/>
        <v>0</v>
      </c>
      <c r="H355" s="36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1:33" x14ac:dyDescent="0.2">
      <c r="A356" s="62">
        <v>10</v>
      </c>
      <c r="B356" s="103">
        <v>45796</v>
      </c>
      <c r="C356" s="65"/>
      <c r="D356" s="65">
        <f t="shared" si="33"/>
        <v>0</v>
      </c>
      <c r="E356" s="65">
        <f t="shared" si="34"/>
        <v>0</v>
      </c>
      <c r="F356" s="65"/>
      <c r="G356" s="43">
        <f t="shared" si="35"/>
        <v>0</v>
      </c>
      <c r="H356" s="36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1:33" x14ac:dyDescent="0.2">
      <c r="A357" s="89"/>
      <c r="B357" s="90"/>
      <c r="C357" s="91"/>
      <c r="D357" s="111">
        <f>SUMIFS(D347:D356, F347:F356, "Y")</f>
        <v>30000</v>
      </c>
      <c r="E357" s="111">
        <f>SUMIFS(E347:E356, F347:F356, "Y")</f>
        <v>12000</v>
      </c>
      <c r="F357" s="92">
        <f>(SUMIFS(D347:D356, F347:F356, "Y") + SUMIFS(E347:E356, F347:F356, "Y"))</f>
        <v>42000</v>
      </c>
      <c r="G357" s="91"/>
      <c r="H357" s="93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1:33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1:33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1:33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1:33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1:33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1:33" x14ac:dyDescent="0.2">
      <c r="A363" s="256">
        <v>13</v>
      </c>
      <c r="B363" s="257"/>
      <c r="C363" s="173"/>
      <c r="D363" s="173"/>
      <c r="E363" s="173"/>
      <c r="F363" s="173"/>
      <c r="G363" s="173"/>
      <c r="H363" s="174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1:33" x14ac:dyDescent="0.2">
      <c r="A364" s="263" t="s">
        <v>7</v>
      </c>
      <c r="B364" s="259"/>
      <c r="C364" s="175">
        <v>30000</v>
      </c>
      <c r="D364" s="176"/>
      <c r="E364" s="176"/>
      <c r="F364" s="176"/>
      <c r="G364" s="176"/>
      <c r="H364" s="177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1:33" x14ac:dyDescent="0.2">
      <c r="A365" s="263" t="s">
        <v>8</v>
      </c>
      <c r="B365" s="259"/>
      <c r="C365" s="178" t="s">
        <v>337</v>
      </c>
      <c r="D365" s="176"/>
      <c r="E365" s="179"/>
      <c r="F365" s="179"/>
      <c r="G365" s="179"/>
      <c r="H365" s="180" t="s">
        <v>10</v>
      </c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1:33" x14ac:dyDescent="0.2">
      <c r="A366" s="263" t="s">
        <v>13</v>
      </c>
      <c r="B366" s="259"/>
      <c r="C366" s="64">
        <v>3000</v>
      </c>
      <c r="D366" s="181"/>
      <c r="E366" s="264" t="s">
        <v>14</v>
      </c>
      <c r="F366" s="182" t="s">
        <v>15</v>
      </c>
      <c r="G366" s="183">
        <v>0</v>
      </c>
      <c r="H366" s="184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1:33" x14ac:dyDescent="0.2">
      <c r="A367" s="263" t="s">
        <v>17</v>
      </c>
      <c r="B367" s="259"/>
      <c r="C367" s="64">
        <v>2</v>
      </c>
      <c r="D367" s="181"/>
      <c r="E367" s="261"/>
      <c r="F367" s="182" t="s">
        <v>18</v>
      </c>
      <c r="G367" s="183">
        <v>30000</v>
      </c>
      <c r="H367" s="184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1:33" x14ac:dyDescent="0.2">
      <c r="A368" s="263" t="s">
        <v>20</v>
      </c>
      <c r="B368" s="259"/>
      <c r="C368" s="64">
        <f>C366*C367</f>
        <v>6000</v>
      </c>
      <c r="D368" s="185"/>
      <c r="E368" s="186"/>
      <c r="F368" s="185"/>
      <c r="G368" s="181"/>
      <c r="H368" s="187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1:33" x14ac:dyDescent="0.2">
      <c r="A369" s="263" t="s">
        <v>22</v>
      </c>
      <c r="B369" s="259"/>
      <c r="C369" s="175">
        <f>C364+C368</f>
        <v>36000</v>
      </c>
      <c r="D369" s="185"/>
      <c r="E369" s="185"/>
      <c r="F369" s="185"/>
      <c r="G369" s="185"/>
      <c r="H369" s="187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1:33" x14ac:dyDescent="0.2">
      <c r="A370" s="263" t="s">
        <v>104</v>
      </c>
      <c r="B370" s="259"/>
      <c r="C370" s="188">
        <v>4200</v>
      </c>
      <c r="D370" s="176"/>
      <c r="E370" s="176"/>
      <c r="F370" s="176"/>
      <c r="G370" s="176"/>
      <c r="H370" s="177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1:33" x14ac:dyDescent="0.2">
      <c r="A371" s="263" t="s">
        <v>28</v>
      </c>
      <c r="B371" s="259"/>
      <c r="C371" s="189" t="s">
        <v>29</v>
      </c>
      <c r="D371" s="176"/>
      <c r="E371" s="176"/>
      <c r="F371" s="176"/>
      <c r="G371" s="176"/>
      <c r="H371" s="177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1:33" x14ac:dyDescent="0.2">
      <c r="A372" s="190" t="s">
        <v>31</v>
      </c>
      <c r="B372" s="183" t="s">
        <v>106</v>
      </c>
      <c r="C372" s="182" t="s">
        <v>33</v>
      </c>
      <c r="D372" s="182" t="s">
        <v>34</v>
      </c>
      <c r="E372" s="182" t="s">
        <v>35</v>
      </c>
      <c r="F372" s="182" t="s">
        <v>36</v>
      </c>
      <c r="G372" s="182" t="s">
        <v>37</v>
      </c>
      <c r="H372" s="177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1:33" x14ac:dyDescent="0.2">
      <c r="A373" s="190">
        <v>0</v>
      </c>
      <c r="B373" s="191"/>
      <c r="C373" s="191"/>
      <c r="D373" s="191"/>
      <c r="E373" s="191"/>
      <c r="F373" s="191"/>
      <c r="G373" s="64">
        <f>C369</f>
        <v>36000</v>
      </c>
      <c r="H373" s="177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1:33" x14ac:dyDescent="0.2">
      <c r="A374" s="190">
        <v>1</v>
      </c>
      <c r="B374" s="137">
        <v>45740</v>
      </c>
      <c r="C374" s="64">
        <v>4200</v>
      </c>
      <c r="D374" s="64">
        <f t="shared" ref="D374:D383" si="36">C374/1.2</f>
        <v>3500</v>
      </c>
      <c r="E374" s="64">
        <f t="shared" ref="E374:E383" si="37">C374-D374</f>
        <v>700</v>
      </c>
      <c r="F374" s="64" t="s">
        <v>41</v>
      </c>
      <c r="G374" s="64">
        <f t="shared" ref="G374:G383" si="38">(G373-C374)</f>
        <v>31800</v>
      </c>
      <c r="H374" s="177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1:33" x14ac:dyDescent="0.2">
      <c r="A375" s="190">
        <v>2</v>
      </c>
      <c r="B375" s="137">
        <v>45747</v>
      </c>
      <c r="C375" s="64">
        <v>4200</v>
      </c>
      <c r="D375" s="64">
        <f t="shared" si="36"/>
        <v>3500</v>
      </c>
      <c r="E375" s="64">
        <f t="shared" si="37"/>
        <v>700</v>
      </c>
      <c r="F375" s="64" t="s">
        <v>41</v>
      </c>
      <c r="G375" s="64">
        <f t="shared" si="38"/>
        <v>27600</v>
      </c>
      <c r="H375" s="177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1:33" x14ac:dyDescent="0.2">
      <c r="A376" s="190">
        <v>3</v>
      </c>
      <c r="B376" s="137">
        <v>45754</v>
      </c>
      <c r="C376" s="64">
        <v>4200</v>
      </c>
      <c r="D376" s="64">
        <f t="shared" si="36"/>
        <v>3500</v>
      </c>
      <c r="E376" s="64">
        <f t="shared" si="37"/>
        <v>700</v>
      </c>
      <c r="F376" s="64" t="s">
        <v>41</v>
      </c>
      <c r="G376" s="64">
        <f t="shared" si="38"/>
        <v>23400</v>
      </c>
      <c r="H376" s="177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1:33" x14ac:dyDescent="0.2">
      <c r="A377" s="190">
        <v>4</v>
      </c>
      <c r="B377" s="137">
        <v>45761</v>
      </c>
      <c r="C377" s="64">
        <v>4200</v>
      </c>
      <c r="D377" s="64">
        <f t="shared" si="36"/>
        <v>3500</v>
      </c>
      <c r="E377" s="64">
        <f t="shared" si="37"/>
        <v>700</v>
      </c>
      <c r="F377" s="64" t="s">
        <v>41</v>
      </c>
      <c r="G377" s="64">
        <f t="shared" si="38"/>
        <v>19200</v>
      </c>
      <c r="H377" s="177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1:33" x14ac:dyDescent="0.2">
      <c r="A378" s="190">
        <v>5</v>
      </c>
      <c r="B378" s="137">
        <v>45768</v>
      </c>
      <c r="C378" s="64">
        <v>0</v>
      </c>
      <c r="D378" s="64">
        <f t="shared" si="36"/>
        <v>0</v>
      </c>
      <c r="E378" s="64">
        <f t="shared" si="37"/>
        <v>0</v>
      </c>
      <c r="F378" s="64" t="s">
        <v>168</v>
      </c>
      <c r="G378" s="64">
        <f t="shared" si="38"/>
        <v>19200</v>
      </c>
      <c r="H378" s="177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1:33" x14ac:dyDescent="0.2">
      <c r="A379" s="190">
        <v>6</v>
      </c>
      <c r="B379" s="137">
        <v>45775</v>
      </c>
      <c r="C379" s="64">
        <v>4200</v>
      </c>
      <c r="D379" s="64">
        <f t="shared" si="36"/>
        <v>3500</v>
      </c>
      <c r="E379" s="64">
        <f t="shared" si="37"/>
        <v>700</v>
      </c>
      <c r="F379" s="64" t="s">
        <v>41</v>
      </c>
      <c r="G379" s="64">
        <f t="shared" si="38"/>
        <v>15000</v>
      </c>
      <c r="H379" s="177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1:33" x14ac:dyDescent="0.2">
      <c r="A380" s="190">
        <v>7</v>
      </c>
      <c r="B380" s="137">
        <v>45782</v>
      </c>
      <c r="C380" s="64">
        <v>4200</v>
      </c>
      <c r="D380" s="64">
        <f t="shared" si="36"/>
        <v>3500</v>
      </c>
      <c r="E380" s="64">
        <f t="shared" si="37"/>
        <v>700</v>
      </c>
      <c r="F380" s="64" t="s">
        <v>41</v>
      </c>
      <c r="G380" s="64">
        <f t="shared" si="38"/>
        <v>10800</v>
      </c>
      <c r="H380" s="177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1:33" x14ac:dyDescent="0.2">
      <c r="A381" s="190">
        <v>8</v>
      </c>
      <c r="B381" s="137">
        <v>45789</v>
      </c>
      <c r="C381" s="64">
        <v>4200</v>
      </c>
      <c r="D381" s="64">
        <f t="shared" si="36"/>
        <v>3500</v>
      </c>
      <c r="E381" s="64">
        <f t="shared" si="37"/>
        <v>700</v>
      </c>
      <c r="F381" s="64" t="s">
        <v>107</v>
      </c>
      <c r="G381" s="64">
        <f t="shared" si="38"/>
        <v>6600</v>
      </c>
      <c r="H381" s="177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1:33" x14ac:dyDescent="0.2">
      <c r="A382" s="190">
        <v>9</v>
      </c>
      <c r="B382" s="137">
        <v>45796</v>
      </c>
      <c r="C382" s="191">
        <v>4200</v>
      </c>
      <c r="D382" s="64">
        <f t="shared" si="36"/>
        <v>3500</v>
      </c>
      <c r="E382" s="64">
        <f t="shared" si="37"/>
        <v>700</v>
      </c>
      <c r="F382" s="191"/>
      <c r="G382" s="64">
        <f t="shared" si="38"/>
        <v>2400</v>
      </c>
      <c r="H382" s="177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1:33" x14ac:dyDescent="0.2">
      <c r="A383" s="190">
        <v>10</v>
      </c>
      <c r="B383" s="228">
        <v>45803</v>
      </c>
      <c r="C383" s="191">
        <v>2400</v>
      </c>
      <c r="D383" s="64">
        <f t="shared" si="36"/>
        <v>2000</v>
      </c>
      <c r="E383" s="64">
        <f t="shared" si="37"/>
        <v>400</v>
      </c>
      <c r="F383" s="191"/>
      <c r="G383" s="64">
        <f t="shared" si="38"/>
        <v>0</v>
      </c>
      <c r="H383" s="177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1:33" x14ac:dyDescent="0.2">
      <c r="A384" s="192"/>
      <c r="B384" s="193"/>
      <c r="C384" s="194"/>
      <c r="D384" s="143">
        <f>SUMIFS(D374:D383, F374:F383, "Y")</f>
        <v>21000</v>
      </c>
      <c r="E384" s="143">
        <f>SUMIFS(E374:E383, F374:F383, "Y")</f>
        <v>4200</v>
      </c>
      <c r="F384" s="143">
        <f>(SUMIFS(D374:D383, F374:F383, "Y") + SUMIFS(E374:E383, F374:F383, "Y"))</f>
        <v>25200</v>
      </c>
      <c r="G384" s="194"/>
      <c r="H384" s="195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1:33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1:33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1:33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1:33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1:33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1:33" x14ac:dyDescent="0.2">
      <c r="A390" s="256">
        <v>14</v>
      </c>
      <c r="B390" s="257"/>
      <c r="C390" s="173"/>
      <c r="D390" s="173"/>
      <c r="E390" s="173"/>
      <c r="F390" s="173"/>
      <c r="G390" s="173"/>
      <c r="H390" s="174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1:33" x14ac:dyDescent="0.2">
      <c r="A391" s="263" t="s">
        <v>7</v>
      </c>
      <c r="B391" s="259"/>
      <c r="C391" s="175">
        <v>30000</v>
      </c>
      <c r="D391" s="176"/>
      <c r="E391" s="176"/>
      <c r="F391" s="176"/>
      <c r="G391" s="176"/>
      <c r="H391" s="177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1:33" x14ac:dyDescent="0.2">
      <c r="A392" s="263" t="s">
        <v>8</v>
      </c>
      <c r="B392" s="259"/>
      <c r="C392" s="178" t="s">
        <v>338</v>
      </c>
      <c r="D392" s="176"/>
      <c r="E392" s="179"/>
      <c r="F392" s="179"/>
      <c r="G392" s="179"/>
      <c r="H392" s="180" t="s">
        <v>10</v>
      </c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1:33" x14ac:dyDescent="0.2">
      <c r="A393" s="263" t="s">
        <v>103</v>
      </c>
      <c r="B393" s="259"/>
      <c r="C393" s="64">
        <v>6000</v>
      </c>
      <c r="D393" s="181"/>
      <c r="E393" s="264" t="s">
        <v>14</v>
      </c>
      <c r="F393" s="182" t="s">
        <v>15</v>
      </c>
      <c r="G393" s="183">
        <v>0</v>
      </c>
      <c r="H393" s="184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1:33" x14ac:dyDescent="0.2">
      <c r="A394" s="263" t="s">
        <v>17</v>
      </c>
      <c r="B394" s="259"/>
      <c r="C394" s="64">
        <v>2</v>
      </c>
      <c r="D394" s="181"/>
      <c r="E394" s="261"/>
      <c r="F394" s="182" t="s">
        <v>18</v>
      </c>
      <c r="G394" s="183">
        <v>30000</v>
      </c>
      <c r="H394" s="184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1:33" x14ac:dyDescent="0.2">
      <c r="A395" s="263" t="s">
        <v>20</v>
      </c>
      <c r="B395" s="259"/>
      <c r="C395" s="64">
        <f>C393*C394</f>
        <v>12000</v>
      </c>
      <c r="D395" s="185"/>
      <c r="E395" s="186"/>
      <c r="F395" s="185"/>
      <c r="G395" s="181"/>
      <c r="H395" s="187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1:33" x14ac:dyDescent="0.2">
      <c r="A396" s="263" t="s">
        <v>22</v>
      </c>
      <c r="B396" s="259"/>
      <c r="C396" s="175">
        <f>C391+C395</f>
        <v>42000</v>
      </c>
      <c r="D396" s="185"/>
      <c r="E396" s="185"/>
      <c r="F396" s="185"/>
      <c r="G396" s="185"/>
      <c r="H396" s="187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1:33" x14ac:dyDescent="0.2">
      <c r="A397" s="263" t="s">
        <v>166</v>
      </c>
      <c r="B397" s="259"/>
      <c r="C397" s="188">
        <v>700</v>
      </c>
      <c r="D397" s="176" t="s">
        <v>198</v>
      </c>
      <c r="E397" s="176"/>
      <c r="F397" s="176"/>
      <c r="G397" s="176"/>
      <c r="H397" s="177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1:33" x14ac:dyDescent="0.2">
      <c r="A398" s="263" t="s">
        <v>28</v>
      </c>
      <c r="B398" s="259"/>
      <c r="C398" s="189" t="s">
        <v>179</v>
      </c>
      <c r="D398" s="176"/>
      <c r="E398" s="176"/>
      <c r="F398" s="176"/>
      <c r="G398" s="176"/>
      <c r="H398" s="177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1:33" x14ac:dyDescent="0.2">
      <c r="A399" s="190" t="s">
        <v>31</v>
      </c>
      <c r="B399" s="183" t="s">
        <v>106</v>
      </c>
      <c r="C399" s="182" t="s">
        <v>33</v>
      </c>
      <c r="D399" s="182" t="s">
        <v>34</v>
      </c>
      <c r="E399" s="182" t="s">
        <v>35</v>
      </c>
      <c r="F399" s="182" t="s">
        <v>36</v>
      </c>
      <c r="G399" s="182" t="s">
        <v>37</v>
      </c>
      <c r="H399" s="177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1:33" x14ac:dyDescent="0.2">
      <c r="A400" s="190">
        <v>0</v>
      </c>
      <c r="B400" s="191"/>
      <c r="C400" s="191"/>
      <c r="D400" s="191"/>
      <c r="E400" s="191"/>
      <c r="F400" s="191"/>
      <c r="G400" s="64">
        <f>C396</f>
        <v>42000</v>
      </c>
      <c r="H400" s="177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1:33" x14ac:dyDescent="0.2">
      <c r="A401" s="190">
        <v>1</v>
      </c>
      <c r="B401" s="137">
        <v>45747</v>
      </c>
      <c r="C401" s="64">
        <v>3500</v>
      </c>
      <c r="D401" s="64">
        <f t="shared" ref="D401:D409" si="39">C401/1.2</f>
        <v>2916.666666666667</v>
      </c>
      <c r="E401" s="64">
        <f t="shared" ref="E401:E409" si="40">C401-D401</f>
        <v>583.33333333333303</v>
      </c>
      <c r="F401" s="64" t="s">
        <v>41</v>
      </c>
      <c r="G401" s="64">
        <f t="shared" ref="G401:G409" si="41">(G400-C401)</f>
        <v>38500</v>
      </c>
      <c r="H401" s="177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1:33" x14ac:dyDescent="0.2">
      <c r="A402" s="190">
        <v>2</v>
      </c>
      <c r="B402" s="137">
        <v>45754</v>
      </c>
      <c r="C402" s="64">
        <v>2800</v>
      </c>
      <c r="D402" s="64">
        <f t="shared" si="39"/>
        <v>2333.3333333333335</v>
      </c>
      <c r="E402" s="64">
        <f t="shared" si="40"/>
        <v>466.66666666666652</v>
      </c>
      <c r="F402" s="64" t="s">
        <v>41</v>
      </c>
      <c r="G402" s="64">
        <f t="shared" si="41"/>
        <v>35700</v>
      </c>
      <c r="H402" s="177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1:33" x14ac:dyDescent="0.2">
      <c r="A403" s="190">
        <v>3</v>
      </c>
      <c r="B403" s="137">
        <v>45761</v>
      </c>
      <c r="C403" s="64">
        <v>4200</v>
      </c>
      <c r="D403" s="64">
        <f t="shared" si="39"/>
        <v>3500</v>
      </c>
      <c r="E403" s="64">
        <f t="shared" si="40"/>
        <v>700</v>
      </c>
      <c r="F403" s="64" t="s">
        <v>41</v>
      </c>
      <c r="G403" s="64">
        <f t="shared" si="41"/>
        <v>31500</v>
      </c>
      <c r="H403" s="177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1:33" x14ac:dyDescent="0.2">
      <c r="A404" s="190">
        <v>4</v>
      </c>
      <c r="B404" s="137">
        <v>45768</v>
      </c>
      <c r="C404" s="64">
        <v>1400</v>
      </c>
      <c r="D404" s="64">
        <f t="shared" si="39"/>
        <v>1166.6666666666667</v>
      </c>
      <c r="E404" s="64">
        <f t="shared" si="40"/>
        <v>233.33333333333326</v>
      </c>
      <c r="F404" s="64" t="s">
        <v>41</v>
      </c>
      <c r="G404" s="64">
        <f t="shared" si="41"/>
        <v>30100</v>
      </c>
      <c r="H404" s="177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1:33" x14ac:dyDescent="0.2">
      <c r="A405" s="190">
        <v>5</v>
      </c>
      <c r="B405" s="137">
        <v>45775</v>
      </c>
      <c r="C405" s="64">
        <v>2800</v>
      </c>
      <c r="D405" s="64">
        <f t="shared" si="39"/>
        <v>2333.3333333333335</v>
      </c>
      <c r="E405" s="64">
        <f t="shared" si="40"/>
        <v>466.66666666666652</v>
      </c>
      <c r="F405" s="64" t="s">
        <v>41</v>
      </c>
      <c r="G405" s="64">
        <f t="shared" si="41"/>
        <v>27300</v>
      </c>
      <c r="H405" s="177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1:33" x14ac:dyDescent="0.2">
      <c r="A406" s="190">
        <v>6</v>
      </c>
      <c r="B406" s="137">
        <v>45782</v>
      </c>
      <c r="C406" s="64">
        <v>2800</v>
      </c>
      <c r="D406" s="64">
        <f t="shared" si="39"/>
        <v>2333.3333333333335</v>
      </c>
      <c r="E406" s="64">
        <f t="shared" si="40"/>
        <v>466.66666666666652</v>
      </c>
      <c r="F406" s="64" t="s">
        <v>41</v>
      </c>
      <c r="G406" s="64">
        <f t="shared" si="41"/>
        <v>24500</v>
      </c>
      <c r="H406" s="177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1:33" x14ac:dyDescent="0.2">
      <c r="A407" s="190">
        <v>7</v>
      </c>
      <c r="B407" s="137">
        <v>45789</v>
      </c>
      <c r="C407" s="64">
        <v>2800</v>
      </c>
      <c r="D407" s="64">
        <f t="shared" si="39"/>
        <v>2333.3333333333335</v>
      </c>
      <c r="E407" s="64">
        <f t="shared" si="40"/>
        <v>466.66666666666652</v>
      </c>
      <c r="F407" s="64" t="s">
        <v>107</v>
      </c>
      <c r="G407" s="64">
        <f t="shared" si="41"/>
        <v>21700</v>
      </c>
      <c r="H407" s="177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1:33" x14ac:dyDescent="0.2">
      <c r="A408" s="190">
        <v>8</v>
      </c>
      <c r="B408" s="137">
        <v>45796</v>
      </c>
      <c r="C408" s="64"/>
      <c r="D408" s="64">
        <f t="shared" si="39"/>
        <v>0</v>
      </c>
      <c r="E408" s="64">
        <f t="shared" si="40"/>
        <v>0</v>
      </c>
      <c r="F408" s="64" t="s">
        <v>107</v>
      </c>
      <c r="G408" s="64">
        <f t="shared" si="41"/>
        <v>21700</v>
      </c>
      <c r="H408" s="177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1:33" x14ac:dyDescent="0.2">
      <c r="A409" s="190">
        <v>9</v>
      </c>
      <c r="B409" s="137">
        <v>45803</v>
      </c>
      <c r="C409" s="191"/>
      <c r="D409" s="64">
        <f t="shared" si="39"/>
        <v>0</v>
      </c>
      <c r="E409" s="64">
        <f t="shared" si="40"/>
        <v>0</v>
      </c>
      <c r="F409" s="191"/>
      <c r="G409" s="64">
        <f t="shared" si="41"/>
        <v>21700</v>
      </c>
      <c r="H409" s="177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1:33" x14ac:dyDescent="0.2">
      <c r="A410" s="190">
        <v>10</v>
      </c>
      <c r="B410" s="137">
        <v>45810</v>
      </c>
      <c r="C410" s="191"/>
      <c r="D410" s="191"/>
      <c r="E410" s="191"/>
      <c r="F410" s="191"/>
      <c r="G410" s="191"/>
      <c r="H410" s="177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1:33" x14ac:dyDescent="0.2">
      <c r="A411" s="192"/>
      <c r="B411" s="193"/>
      <c r="C411" s="194"/>
      <c r="D411" s="142">
        <f>SUMIFS(D401:D410, F401:F410, "Y")</f>
        <v>14583.333333333334</v>
      </c>
      <c r="E411" s="142">
        <f>SUMIFS(E401:E410, F401:F410, "Y")</f>
        <v>2916.6666666666656</v>
      </c>
      <c r="F411" s="142">
        <f>(SUMIFS(D401:D410, F401:F410, "Y") + SUMIFS(E401:E410, F401:F410, "Y"))</f>
        <v>17500</v>
      </c>
      <c r="G411" s="194"/>
      <c r="H411" s="195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1:33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1:33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1:33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1:33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1:33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1:33" x14ac:dyDescent="0.2">
      <c r="A417" s="256">
        <v>15</v>
      </c>
      <c r="B417" s="257"/>
      <c r="C417" s="251" t="s">
        <v>185</v>
      </c>
      <c r="D417" s="173"/>
      <c r="E417" s="173"/>
      <c r="F417" s="173"/>
      <c r="G417" s="173"/>
      <c r="H417" s="174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1:33" x14ac:dyDescent="0.2">
      <c r="A418" s="263" t="s">
        <v>7</v>
      </c>
      <c r="B418" s="259"/>
      <c r="C418" s="175">
        <v>30000</v>
      </c>
      <c r="D418" s="176"/>
      <c r="E418" s="176"/>
      <c r="F418" s="176"/>
      <c r="G418" s="176"/>
      <c r="H418" s="177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1:33" x14ac:dyDescent="0.2">
      <c r="A419" s="263" t="s">
        <v>8</v>
      </c>
      <c r="B419" s="259"/>
      <c r="C419" s="178" t="s">
        <v>339</v>
      </c>
      <c r="D419" s="176"/>
      <c r="E419" s="179"/>
      <c r="F419" s="179"/>
      <c r="G419" s="179"/>
      <c r="H419" s="180" t="s">
        <v>10</v>
      </c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1:33" x14ac:dyDescent="0.2">
      <c r="A420" s="263" t="s">
        <v>103</v>
      </c>
      <c r="B420" s="259"/>
      <c r="C420" s="64">
        <v>6000</v>
      </c>
      <c r="D420" s="181"/>
      <c r="E420" s="264" t="s">
        <v>14</v>
      </c>
      <c r="F420" s="182" t="s">
        <v>15</v>
      </c>
      <c r="G420" s="183">
        <v>0</v>
      </c>
      <c r="H420" s="184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1:33" x14ac:dyDescent="0.2">
      <c r="A421" s="263" t="s">
        <v>17</v>
      </c>
      <c r="B421" s="259"/>
      <c r="C421" s="64">
        <v>1</v>
      </c>
      <c r="D421" s="181"/>
      <c r="E421" s="261"/>
      <c r="F421" s="182" t="s">
        <v>18</v>
      </c>
      <c r="G421" s="183">
        <v>30000</v>
      </c>
      <c r="H421" s="184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1:33" x14ac:dyDescent="0.2">
      <c r="A422" s="263" t="s">
        <v>20</v>
      </c>
      <c r="B422" s="259"/>
      <c r="C422" s="64">
        <f>C420*C421</f>
        <v>6000</v>
      </c>
      <c r="D422" s="185"/>
      <c r="E422" s="186"/>
      <c r="F422" s="185"/>
      <c r="G422" s="181"/>
      <c r="H422" s="187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1:33" x14ac:dyDescent="0.2">
      <c r="A423" s="263" t="s">
        <v>22</v>
      </c>
      <c r="B423" s="259"/>
      <c r="C423" s="175">
        <f>C418+C422</f>
        <v>36000</v>
      </c>
      <c r="D423" s="185"/>
      <c r="E423" s="185"/>
      <c r="F423" s="185"/>
      <c r="G423" s="185"/>
      <c r="H423" s="187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1:33" x14ac:dyDescent="0.2">
      <c r="A424" s="263" t="s">
        <v>340</v>
      </c>
      <c r="B424" s="259"/>
      <c r="C424" s="188">
        <v>18000</v>
      </c>
      <c r="D424" s="176"/>
      <c r="E424" s="176"/>
      <c r="F424" s="176"/>
      <c r="G424" s="176"/>
      <c r="H424" s="177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1:33" x14ac:dyDescent="0.2">
      <c r="A425" s="263" t="s">
        <v>28</v>
      </c>
      <c r="B425" s="259"/>
      <c r="C425" s="189" t="s">
        <v>188</v>
      </c>
      <c r="D425" s="176"/>
      <c r="E425" s="176"/>
      <c r="F425" s="176"/>
      <c r="G425" s="176"/>
      <c r="H425" s="177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1:33" x14ac:dyDescent="0.2">
      <c r="A426" s="190" t="s">
        <v>31</v>
      </c>
      <c r="B426" s="183" t="s">
        <v>106</v>
      </c>
      <c r="C426" s="182" t="s">
        <v>33</v>
      </c>
      <c r="D426" s="182" t="s">
        <v>34</v>
      </c>
      <c r="E426" s="182" t="s">
        <v>35</v>
      </c>
      <c r="F426" s="182" t="s">
        <v>36</v>
      </c>
      <c r="G426" s="182" t="s">
        <v>37</v>
      </c>
      <c r="H426" s="177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1:33" x14ac:dyDescent="0.2">
      <c r="A427" s="190">
        <v>0</v>
      </c>
      <c r="B427" s="191"/>
      <c r="C427" s="191"/>
      <c r="D427" s="191"/>
      <c r="E427" s="191"/>
      <c r="F427" s="191"/>
      <c r="G427" s="64">
        <f>C423</f>
        <v>36000</v>
      </c>
      <c r="H427" s="177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1:33" x14ac:dyDescent="0.2">
      <c r="A428" s="190">
        <v>1</v>
      </c>
      <c r="B428" s="137">
        <v>45763</v>
      </c>
      <c r="C428" s="64">
        <v>18000</v>
      </c>
      <c r="D428" s="64">
        <f t="shared" ref="D428:D436" si="42">C428/1.2</f>
        <v>15000</v>
      </c>
      <c r="E428" s="64">
        <f t="shared" ref="E428:E436" si="43">C428-D428</f>
        <v>3000</v>
      </c>
      <c r="F428" s="64" t="s">
        <v>41</v>
      </c>
      <c r="G428" s="64">
        <f t="shared" ref="G428:G436" si="44">(G427-C428)</f>
        <v>18000</v>
      </c>
      <c r="H428" s="252">
        <v>45771</v>
      </c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1:33" x14ac:dyDescent="0.2">
      <c r="A429" s="190">
        <v>2</v>
      </c>
      <c r="B429" s="137">
        <v>45779</v>
      </c>
      <c r="C429" s="64">
        <v>0</v>
      </c>
      <c r="D429" s="64">
        <f t="shared" si="42"/>
        <v>0</v>
      </c>
      <c r="E429" s="64">
        <f t="shared" si="43"/>
        <v>0</v>
      </c>
      <c r="F429" s="64" t="s">
        <v>168</v>
      </c>
      <c r="G429" s="64">
        <f t="shared" si="44"/>
        <v>18000</v>
      </c>
      <c r="H429" s="177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1:33" x14ac:dyDescent="0.2">
      <c r="A430" s="190">
        <v>3</v>
      </c>
      <c r="B430" s="137">
        <v>45786</v>
      </c>
      <c r="C430" s="64">
        <v>18000</v>
      </c>
      <c r="D430" s="64">
        <f t="shared" si="42"/>
        <v>15000</v>
      </c>
      <c r="E430" s="64">
        <f t="shared" si="43"/>
        <v>3000</v>
      </c>
      <c r="F430" s="64" t="s">
        <v>107</v>
      </c>
      <c r="G430" s="64">
        <f t="shared" si="44"/>
        <v>0</v>
      </c>
      <c r="H430" s="177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1:33" x14ac:dyDescent="0.2">
      <c r="A431" s="190">
        <v>4</v>
      </c>
      <c r="B431" s="137"/>
      <c r="C431" s="64"/>
      <c r="D431" s="64">
        <f t="shared" si="42"/>
        <v>0</v>
      </c>
      <c r="E431" s="64">
        <f t="shared" si="43"/>
        <v>0</v>
      </c>
      <c r="F431" s="64" t="s">
        <v>107</v>
      </c>
      <c r="G431" s="64">
        <f t="shared" si="44"/>
        <v>0</v>
      </c>
      <c r="H431" s="177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 spans="1:33" x14ac:dyDescent="0.2">
      <c r="A432" s="190">
        <v>5</v>
      </c>
      <c r="B432" s="137"/>
      <c r="C432" s="64"/>
      <c r="D432" s="64">
        <f t="shared" si="42"/>
        <v>0</v>
      </c>
      <c r="E432" s="64">
        <f t="shared" si="43"/>
        <v>0</v>
      </c>
      <c r="F432" s="64" t="s">
        <v>107</v>
      </c>
      <c r="G432" s="64">
        <f t="shared" si="44"/>
        <v>0</v>
      </c>
      <c r="H432" s="177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  <row r="433" spans="1:33" x14ac:dyDescent="0.2">
      <c r="A433" s="190">
        <v>6</v>
      </c>
      <c r="B433" s="137"/>
      <c r="C433" s="64"/>
      <c r="D433" s="64">
        <f t="shared" si="42"/>
        <v>0</v>
      </c>
      <c r="E433" s="64">
        <f t="shared" si="43"/>
        <v>0</v>
      </c>
      <c r="F433" s="64" t="s">
        <v>107</v>
      </c>
      <c r="G433" s="64">
        <f t="shared" si="44"/>
        <v>0</v>
      </c>
      <c r="H433" s="177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</row>
    <row r="434" spans="1:33" x14ac:dyDescent="0.2">
      <c r="A434" s="190">
        <v>7</v>
      </c>
      <c r="B434" s="137"/>
      <c r="C434" s="64"/>
      <c r="D434" s="64">
        <f t="shared" si="42"/>
        <v>0</v>
      </c>
      <c r="E434" s="64">
        <f t="shared" si="43"/>
        <v>0</v>
      </c>
      <c r="F434" s="64" t="s">
        <v>107</v>
      </c>
      <c r="G434" s="64">
        <f t="shared" si="44"/>
        <v>0</v>
      </c>
      <c r="H434" s="177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</row>
    <row r="435" spans="1:33" x14ac:dyDescent="0.2">
      <c r="A435" s="190">
        <v>8</v>
      </c>
      <c r="B435" s="137"/>
      <c r="C435" s="64"/>
      <c r="D435" s="64">
        <f t="shared" si="42"/>
        <v>0</v>
      </c>
      <c r="E435" s="64">
        <f t="shared" si="43"/>
        <v>0</v>
      </c>
      <c r="F435" s="64" t="s">
        <v>107</v>
      </c>
      <c r="G435" s="64">
        <f t="shared" si="44"/>
        <v>0</v>
      </c>
      <c r="H435" s="177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</row>
    <row r="436" spans="1:33" x14ac:dyDescent="0.2">
      <c r="A436" s="190">
        <v>9</v>
      </c>
      <c r="B436" s="137"/>
      <c r="C436" s="191"/>
      <c r="D436" s="64">
        <f t="shared" si="42"/>
        <v>0</v>
      </c>
      <c r="E436" s="64">
        <f t="shared" si="43"/>
        <v>0</v>
      </c>
      <c r="F436" s="191"/>
      <c r="G436" s="64">
        <f t="shared" si="44"/>
        <v>0</v>
      </c>
      <c r="H436" s="177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</row>
    <row r="437" spans="1:33" x14ac:dyDescent="0.2">
      <c r="A437" s="190">
        <v>10</v>
      </c>
      <c r="B437" s="137"/>
      <c r="C437" s="191"/>
      <c r="D437" s="191"/>
      <c r="E437" s="191"/>
      <c r="F437" s="191"/>
      <c r="G437" s="191"/>
      <c r="H437" s="177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</row>
    <row r="438" spans="1:33" x14ac:dyDescent="0.2">
      <c r="A438" s="192"/>
      <c r="B438" s="193"/>
      <c r="C438" s="194"/>
      <c r="D438" s="143">
        <f>SUMIFS(D428:D437, F428:F437, "Y")</f>
        <v>15000</v>
      </c>
      <c r="E438" s="143">
        <f>SUMIFS(E428:E437, F428:F437, "Y")</f>
        <v>3000</v>
      </c>
      <c r="F438" s="143">
        <f>(SUMIFS(D428:D437, F428:F437, "Y") + SUMIFS(E428:E437, F428:F437, "Y"))</f>
        <v>18000</v>
      </c>
      <c r="G438" s="194"/>
      <c r="H438" s="195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</row>
    <row r="439" spans="1:33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</row>
    <row r="440" spans="1:33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</row>
    <row r="441" spans="1:33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</row>
    <row r="442" spans="1:33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</row>
    <row r="443" spans="1:33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</row>
    <row r="444" spans="1:33" x14ac:dyDescent="0.2">
      <c r="A444" s="256">
        <v>16</v>
      </c>
      <c r="B444" s="257"/>
      <c r="C444" s="119"/>
      <c r="D444" s="119"/>
      <c r="E444" s="119"/>
      <c r="F444" s="119"/>
      <c r="G444" s="119"/>
      <c r="H444" s="12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</row>
    <row r="445" spans="1:33" x14ac:dyDescent="0.2">
      <c r="A445" s="258" t="s">
        <v>7</v>
      </c>
      <c r="B445" s="259"/>
      <c r="C445" s="50">
        <v>10000</v>
      </c>
      <c r="D445" s="30"/>
      <c r="E445" s="30"/>
      <c r="F445" s="30"/>
      <c r="G445" s="30"/>
      <c r="H445" s="123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</row>
    <row r="446" spans="1:33" x14ac:dyDescent="0.2">
      <c r="A446" s="258" t="s">
        <v>8</v>
      </c>
      <c r="B446" s="259"/>
      <c r="C446" s="150">
        <v>45754</v>
      </c>
      <c r="D446" s="30"/>
      <c r="E446" s="49"/>
      <c r="F446" s="49"/>
      <c r="G446" s="49"/>
      <c r="H446" s="125" t="s">
        <v>10</v>
      </c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</row>
    <row r="447" spans="1:33" x14ac:dyDescent="0.2">
      <c r="A447" s="258" t="s">
        <v>103</v>
      </c>
      <c r="B447" s="259"/>
      <c r="C447" s="50">
        <v>2000</v>
      </c>
      <c r="D447" s="66"/>
      <c r="E447" s="260" t="s">
        <v>14</v>
      </c>
      <c r="F447" s="126" t="s">
        <v>15</v>
      </c>
      <c r="G447" s="50">
        <v>0</v>
      </c>
      <c r="H447" s="127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</row>
    <row r="448" spans="1:33" x14ac:dyDescent="0.2">
      <c r="A448" s="258" t="s">
        <v>17</v>
      </c>
      <c r="B448" s="259"/>
      <c r="C448" s="50">
        <v>2</v>
      </c>
      <c r="D448" s="66"/>
      <c r="E448" s="261"/>
      <c r="F448" s="126" t="s">
        <v>18</v>
      </c>
      <c r="G448" s="50">
        <v>10000</v>
      </c>
      <c r="H448" s="127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</row>
    <row r="449" spans="1:33" x14ac:dyDescent="0.2">
      <c r="A449" s="258" t="s">
        <v>20</v>
      </c>
      <c r="B449" s="259"/>
      <c r="C449" s="50">
        <f>C447*C448</f>
        <v>4000</v>
      </c>
      <c r="D449" s="30"/>
      <c r="E449" s="128"/>
      <c r="F449" s="30"/>
      <c r="G449" s="66"/>
      <c r="H449" s="123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</row>
    <row r="450" spans="1:33" x14ac:dyDescent="0.2">
      <c r="A450" s="258" t="s">
        <v>22</v>
      </c>
      <c r="B450" s="259"/>
      <c r="C450" s="121">
        <f>C445+C449</f>
        <v>14000</v>
      </c>
      <c r="D450" s="30"/>
      <c r="E450" s="30"/>
      <c r="F450" s="30"/>
      <c r="G450" s="30"/>
      <c r="H450" s="123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</row>
    <row r="451" spans="1:33" x14ac:dyDescent="0.2">
      <c r="A451" s="258" t="s">
        <v>24</v>
      </c>
      <c r="B451" s="259"/>
      <c r="C451" s="146">
        <v>250</v>
      </c>
      <c r="D451" s="30" t="s">
        <v>208</v>
      </c>
      <c r="E451" s="30"/>
      <c r="F451" s="30"/>
      <c r="G451" s="30"/>
      <c r="H451" s="123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</row>
    <row r="452" spans="1:33" x14ac:dyDescent="0.2">
      <c r="A452" s="258" t="s">
        <v>28</v>
      </c>
      <c r="B452" s="259"/>
      <c r="C452" s="130" t="s">
        <v>29</v>
      </c>
      <c r="D452" s="30"/>
      <c r="E452" s="30"/>
      <c r="F452" s="30"/>
      <c r="G452" s="30"/>
      <c r="H452" s="123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</row>
    <row r="453" spans="1:33" x14ac:dyDescent="0.2">
      <c r="A453" s="131" t="s">
        <v>31</v>
      </c>
      <c r="B453" s="132" t="s">
        <v>106</v>
      </c>
      <c r="C453" s="133" t="s">
        <v>33</v>
      </c>
      <c r="D453" s="133" t="s">
        <v>34</v>
      </c>
      <c r="E453" s="133" t="s">
        <v>35</v>
      </c>
      <c r="F453" s="133" t="s">
        <v>36</v>
      </c>
      <c r="G453" s="133" t="s">
        <v>37</v>
      </c>
      <c r="H453" s="123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</row>
    <row r="454" spans="1:33" x14ac:dyDescent="0.2">
      <c r="A454" s="134">
        <v>0</v>
      </c>
      <c r="B454" s="135"/>
      <c r="C454" s="135"/>
      <c r="D454" s="135"/>
      <c r="E454" s="135"/>
      <c r="F454" s="135"/>
      <c r="G454" s="50">
        <f>C450</f>
        <v>14000</v>
      </c>
      <c r="H454" s="123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</row>
    <row r="455" spans="1:33" x14ac:dyDescent="0.2">
      <c r="A455" s="134">
        <v>1</v>
      </c>
      <c r="B455" s="137">
        <v>45761</v>
      </c>
      <c r="C455" s="135">
        <v>1250</v>
      </c>
      <c r="D455" s="50">
        <f t="shared" ref="D455:D464" si="45">C455/1.4</f>
        <v>892.85714285714289</v>
      </c>
      <c r="E455" s="50">
        <f t="shared" ref="E455:E464" si="46">C455-D455</f>
        <v>357.14285714285711</v>
      </c>
      <c r="F455" s="50" t="s">
        <v>41</v>
      </c>
      <c r="G455" s="50">
        <f t="shared" ref="G455:G462" si="47">(G454-C455)</f>
        <v>12750</v>
      </c>
      <c r="H455" s="123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</row>
    <row r="456" spans="1:33" x14ac:dyDescent="0.2">
      <c r="A456" s="134">
        <v>2</v>
      </c>
      <c r="B456" s="137">
        <v>45768</v>
      </c>
      <c r="C456" s="135">
        <v>750</v>
      </c>
      <c r="D456" s="50">
        <f t="shared" si="45"/>
        <v>535.71428571428578</v>
      </c>
      <c r="E456" s="50">
        <f t="shared" si="46"/>
        <v>214.28571428571422</v>
      </c>
      <c r="F456" s="50" t="s">
        <v>41</v>
      </c>
      <c r="G456" s="50">
        <f t="shared" si="47"/>
        <v>12000</v>
      </c>
      <c r="H456" s="123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</row>
    <row r="457" spans="1:33" x14ac:dyDescent="0.2">
      <c r="A457" s="134">
        <v>3</v>
      </c>
      <c r="B457" s="137">
        <v>45775</v>
      </c>
      <c r="C457" s="135">
        <v>1000</v>
      </c>
      <c r="D457" s="50">
        <f t="shared" si="45"/>
        <v>714.28571428571433</v>
      </c>
      <c r="E457" s="50">
        <f t="shared" si="46"/>
        <v>285.71428571428567</v>
      </c>
      <c r="F457" s="50" t="s">
        <v>41</v>
      </c>
      <c r="G457" s="50">
        <f t="shared" si="47"/>
        <v>11000</v>
      </c>
      <c r="H457" s="123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</row>
    <row r="458" spans="1:33" x14ac:dyDescent="0.2">
      <c r="A458" s="134">
        <v>4</v>
      </c>
      <c r="B458" s="137">
        <v>45782</v>
      </c>
      <c r="C458" s="135">
        <v>1000</v>
      </c>
      <c r="D458" s="50">
        <f t="shared" si="45"/>
        <v>714.28571428571433</v>
      </c>
      <c r="E458" s="50">
        <f t="shared" si="46"/>
        <v>285.71428571428567</v>
      </c>
      <c r="F458" s="50" t="s">
        <v>41</v>
      </c>
      <c r="G458" s="50">
        <f t="shared" si="47"/>
        <v>10000</v>
      </c>
      <c r="H458" s="123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</row>
    <row r="459" spans="1:33" x14ac:dyDescent="0.2">
      <c r="A459" s="134">
        <v>5</v>
      </c>
      <c r="B459" s="137">
        <v>45789</v>
      </c>
      <c r="C459" s="135">
        <v>1000</v>
      </c>
      <c r="D459" s="50">
        <f t="shared" si="45"/>
        <v>714.28571428571433</v>
      </c>
      <c r="E459" s="50">
        <f t="shared" si="46"/>
        <v>285.71428571428567</v>
      </c>
      <c r="F459" s="50" t="s">
        <v>107</v>
      </c>
      <c r="G459" s="50">
        <f t="shared" si="47"/>
        <v>9000</v>
      </c>
      <c r="H459" s="123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</row>
    <row r="460" spans="1:33" x14ac:dyDescent="0.2">
      <c r="A460" s="134">
        <v>6</v>
      </c>
      <c r="B460" s="137">
        <v>45796</v>
      </c>
      <c r="C460" s="135"/>
      <c r="D460" s="50">
        <f t="shared" si="45"/>
        <v>0</v>
      </c>
      <c r="E460" s="50">
        <f t="shared" si="46"/>
        <v>0</v>
      </c>
      <c r="F460" s="50" t="s">
        <v>107</v>
      </c>
      <c r="G460" s="50">
        <f t="shared" si="47"/>
        <v>9000</v>
      </c>
      <c r="H460" s="123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</row>
    <row r="461" spans="1:33" x14ac:dyDescent="0.2">
      <c r="A461" s="134">
        <v>7</v>
      </c>
      <c r="B461" s="137">
        <v>45803</v>
      </c>
      <c r="C461" s="135"/>
      <c r="D461" s="50">
        <f t="shared" si="45"/>
        <v>0</v>
      </c>
      <c r="E461" s="50">
        <f t="shared" si="46"/>
        <v>0</v>
      </c>
      <c r="F461" s="50" t="s">
        <v>107</v>
      </c>
      <c r="G461" s="50">
        <f t="shared" si="47"/>
        <v>9000</v>
      </c>
      <c r="H461" s="123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</row>
    <row r="462" spans="1:33" x14ac:dyDescent="0.2">
      <c r="A462" s="134">
        <v>8</v>
      </c>
      <c r="B462" s="137">
        <v>45810</v>
      </c>
      <c r="C462" s="135"/>
      <c r="D462" s="50">
        <f t="shared" si="45"/>
        <v>0</v>
      </c>
      <c r="E462" s="50">
        <f t="shared" si="46"/>
        <v>0</v>
      </c>
      <c r="F462" s="50" t="s">
        <v>107</v>
      </c>
      <c r="G462" s="50">
        <f t="shared" si="47"/>
        <v>9000</v>
      </c>
      <c r="H462" s="123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</row>
    <row r="463" spans="1:33" x14ac:dyDescent="0.2">
      <c r="A463" s="134">
        <v>9</v>
      </c>
      <c r="B463" s="137"/>
      <c r="C463" s="135"/>
      <c r="D463" s="50">
        <f t="shared" si="45"/>
        <v>0</v>
      </c>
      <c r="E463" s="50">
        <f t="shared" si="46"/>
        <v>0</v>
      </c>
      <c r="F463" s="135"/>
      <c r="G463" s="135"/>
      <c r="H463" s="123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</row>
    <row r="464" spans="1:33" x14ac:dyDescent="0.2">
      <c r="A464" s="134">
        <v>10</v>
      </c>
      <c r="B464" s="137"/>
      <c r="C464" s="135"/>
      <c r="D464" s="50">
        <f t="shared" si="45"/>
        <v>0</v>
      </c>
      <c r="E464" s="50">
        <f t="shared" si="46"/>
        <v>0</v>
      </c>
      <c r="F464" s="135"/>
      <c r="G464" s="135"/>
      <c r="H464" s="123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</row>
    <row r="465" spans="1:33" x14ac:dyDescent="0.2">
      <c r="A465" s="138"/>
      <c r="B465" s="139"/>
      <c r="C465" s="140"/>
      <c r="D465" s="141">
        <f>SUMIFS(D455:D464, F455:F464, "Y")</f>
        <v>2857.1428571428573</v>
      </c>
      <c r="E465" s="142">
        <f>SUMIFS(E455:E464, F455:F464, "Y")</f>
        <v>1142.8571428571427</v>
      </c>
      <c r="F465" s="143">
        <f>(SUMIFS(D455:D464, F455:F464, "Y") + SUMIFS(E455:E464, F455:F464, "Y"))</f>
        <v>4000</v>
      </c>
      <c r="G465" s="140"/>
      <c r="H465" s="144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</row>
    <row r="466" spans="1:33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</row>
    <row r="467" spans="1:33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</row>
    <row r="468" spans="1:33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</row>
    <row r="469" spans="1:33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</row>
    <row r="470" spans="1:33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</row>
    <row r="471" spans="1:33" x14ac:dyDescent="0.2">
      <c r="A471" s="256">
        <v>17</v>
      </c>
      <c r="B471" s="257"/>
      <c r="C471" s="119"/>
      <c r="D471" s="119"/>
      <c r="E471" s="119"/>
      <c r="F471" s="119"/>
      <c r="G471" s="119"/>
      <c r="H471" s="12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</row>
    <row r="472" spans="1:33" x14ac:dyDescent="0.2">
      <c r="A472" s="258" t="s">
        <v>7</v>
      </c>
      <c r="B472" s="259"/>
      <c r="C472" s="148">
        <v>20000</v>
      </c>
      <c r="D472" s="30"/>
      <c r="E472" s="30"/>
      <c r="F472" s="30"/>
      <c r="G472" s="30"/>
      <c r="H472" s="123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</row>
    <row r="473" spans="1:33" x14ac:dyDescent="0.2">
      <c r="A473" s="258" t="s">
        <v>8</v>
      </c>
      <c r="B473" s="259"/>
      <c r="C473" s="82">
        <v>45754</v>
      </c>
      <c r="D473" s="30"/>
      <c r="E473" s="49"/>
      <c r="F473" s="49"/>
      <c r="G473" s="49"/>
      <c r="H473" s="125" t="s">
        <v>10</v>
      </c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</row>
    <row r="474" spans="1:33" x14ac:dyDescent="0.2">
      <c r="A474" s="258" t="s">
        <v>103</v>
      </c>
      <c r="B474" s="259"/>
      <c r="C474" s="135">
        <v>4000</v>
      </c>
      <c r="D474" s="66"/>
      <c r="E474" s="260" t="s">
        <v>14</v>
      </c>
      <c r="F474" s="126" t="s">
        <v>15</v>
      </c>
      <c r="G474" s="135">
        <v>0</v>
      </c>
      <c r="H474" s="127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</row>
    <row r="475" spans="1:33" x14ac:dyDescent="0.2">
      <c r="A475" s="258" t="s">
        <v>17</v>
      </c>
      <c r="B475" s="259"/>
      <c r="C475" s="50">
        <v>2</v>
      </c>
      <c r="D475" s="66"/>
      <c r="E475" s="261"/>
      <c r="F475" s="126" t="s">
        <v>18</v>
      </c>
      <c r="G475" s="50">
        <v>20000</v>
      </c>
      <c r="H475" s="127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</row>
    <row r="476" spans="1:33" x14ac:dyDescent="0.2">
      <c r="A476" s="258" t="s">
        <v>20</v>
      </c>
      <c r="B476" s="259"/>
      <c r="C476" s="50">
        <f>C474*C475</f>
        <v>8000</v>
      </c>
      <c r="D476" s="30"/>
      <c r="E476" s="128"/>
      <c r="F476" s="30"/>
      <c r="G476" s="66"/>
      <c r="H476" s="123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</row>
    <row r="477" spans="1:33" x14ac:dyDescent="0.2">
      <c r="A477" s="258" t="s">
        <v>22</v>
      </c>
      <c r="B477" s="259"/>
      <c r="C477" s="121">
        <f>C472+C476</f>
        <v>28000</v>
      </c>
      <c r="D477" s="30"/>
      <c r="E477" s="30"/>
      <c r="F477" s="30"/>
      <c r="G477" s="30"/>
      <c r="H477" s="123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</row>
    <row r="478" spans="1:33" x14ac:dyDescent="0.2">
      <c r="A478" s="258" t="s">
        <v>154</v>
      </c>
      <c r="B478" s="259"/>
      <c r="C478" s="146">
        <v>500</v>
      </c>
      <c r="D478" s="66" t="s">
        <v>208</v>
      </c>
      <c r="E478" s="30"/>
      <c r="F478" s="30"/>
      <c r="G478" s="30"/>
      <c r="H478" s="123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</row>
    <row r="479" spans="1:33" x14ac:dyDescent="0.2">
      <c r="A479" s="258" t="s">
        <v>28</v>
      </c>
      <c r="B479" s="259"/>
      <c r="C479" s="130" t="s">
        <v>29</v>
      </c>
      <c r="D479" s="30"/>
      <c r="E479" s="30"/>
      <c r="F479" s="30"/>
      <c r="G479" s="30"/>
      <c r="H479" s="123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</row>
    <row r="480" spans="1:33" x14ac:dyDescent="0.2">
      <c r="A480" s="134" t="s">
        <v>31</v>
      </c>
      <c r="B480" s="166" t="s">
        <v>106</v>
      </c>
      <c r="C480" s="126" t="s">
        <v>33</v>
      </c>
      <c r="D480" s="126" t="s">
        <v>34</v>
      </c>
      <c r="E480" s="126" t="s">
        <v>35</v>
      </c>
      <c r="F480" s="126" t="s">
        <v>36</v>
      </c>
      <c r="G480" s="126" t="s">
        <v>37</v>
      </c>
      <c r="H480" s="123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</row>
    <row r="481" spans="1:33" x14ac:dyDescent="0.2">
      <c r="A481" s="134">
        <v>0</v>
      </c>
      <c r="B481" s="135"/>
      <c r="C481" s="135"/>
      <c r="D481" s="135"/>
      <c r="E481" s="135"/>
      <c r="F481" s="135"/>
      <c r="G481" s="50">
        <f>C477</f>
        <v>28000</v>
      </c>
      <c r="H481" s="123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</row>
    <row r="482" spans="1:33" x14ac:dyDescent="0.2">
      <c r="A482" s="134">
        <v>1</v>
      </c>
      <c r="B482" s="137">
        <v>45761</v>
      </c>
      <c r="C482" s="135">
        <v>3000</v>
      </c>
      <c r="D482" s="135">
        <f t="shared" ref="D482:D491" si="48">C482/1.4</f>
        <v>2142.8571428571431</v>
      </c>
      <c r="E482" s="135">
        <f t="shared" ref="E482:E491" si="49">C482-D482</f>
        <v>857.14285714285688</v>
      </c>
      <c r="F482" s="50" t="s">
        <v>41</v>
      </c>
      <c r="G482" s="50">
        <f t="shared" ref="G482:G491" si="50">(G481-C482)</f>
        <v>25000</v>
      </c>
      <c r="H482" s="123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</row>
    <row r="483" spans="1:33" x14ac:dyDescent="0.2">
      <c r="A483" s="134">
        <v>2</v>
      </c>
      <c r="B483" s="137">
        <v>45768</v>
      </c>
      <c r="C483" s="135">
        <v>1000</v>
      </c>
      <c r="D483" s="135">
        <f t="shared" si="48"/>
        <v>714.28571428571433</v>
      </c>
      <c r="E483" s="135">
        <f t="shared" si="49"/>
        <v>285.71428571428567</v>
      </c>
      <c r="F483" s="50" t="s">
        <v>41</v>
      </c>
      <c r="G483" s="50">
        <f t="shared" si="50"/>
        <v>24000</v>
      </c>
      <c r="H483" s="123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</row>
    <row r="484" spans="1:33" x14ac:dyDescent="0.2">
      <c r="A484" s="134">
        <v>3</v>
      </c>
      <c r="B484" s="137">
        <v>45775</v>
      </c>
      <c r="C484" s="135">
        <v>1500</v>
      </c>
      <c r="D484" s="135">
        <f t="shared" si="48"/>
        <v>1071.4285714285716</v>
      </c>
      <c r="E484" s="135">
        <f t="shared" si="49"/>
        <v>428.57142857142844</v>
      </c>
      <c r="F484" s="50" t="s">
        <v>41</v>
      </c>
      <c r="G484" s="50">
        <f t="shared" si="50"/>
        <v>22500</v>
      </c>
      <c r="H484" s="123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</row>
    <row r="485" spans="1:33" x14ac:dyDescent="0.2">
      <c r="A485" s="134">
        <v>4</v>
      </c>
      <c r="B485" s="137">
        <v>45782</v>
      </c>
      <c r="C485" s="135">
        <v>2000</v>
      </c>
      <c r="D485" s="135">
        <f t="shared" si="48"/>
        <v>1428.5714285714287</v>
      </c>
      <c r="E485" s="135">
        <f t="shared" si="49"/>
        <v>571.42857142857133</v>
      </c>
      <c r="F485" s="50" t="s">
        <v>41</v>
      </c>
      <c r="G485" s="50">
        <f t="shared" si="50"/>
        <v>20500</v>
      </c>
      <c r="H485" s="123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</row>
    <row r="486" spans="1:33" x14ac:dyDescent="0.2">
      <c r="A486" s="134">
        <v>5</v>
      </c>
      <c r="B486" s="137">
        <v>45789</v>
      </c>
      <c r="C486" s="135">
        <v>2000</v>
      </c>
      <c r="D486" s="135">
        <f t="shared" si="48"/>
        <v>1428.5714285714287</v>
      </c>
      <c r="E486" s="135">
        <f t="shared" si="49"/>
        <v>571.42857142857133</v>
      </c>
      <c r="F486" s="50" t="s">
        <v>107</v>
      </c>
      <c r="G486" s="50">
        <f t="shared" si="50"/>
        <v>18500</v>
      </c>
      <c r="H486" s="123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</row>
    <row r="487" spans="1:33" x14ac:dyDescent="0.2">
      <c r="A487" s="134">
        <v>6</v>
      </c>
      <c r="B487" s="137">
        <v>45796</v>
      </c>
      <c r="C487" s="135"/>
      <c r="D487" s="135">
        <f t="shared" si="48"/>
        <v>0</v>
      </c>
      <c r="E487" s="135">
        <f t="shared" si="49"/>
        <v>0</v>
      </c>
      <c r="F487" s="50" t="s">
        <v>107</v>
      </c>
      <c r="G487" s="50">
        <f t="shared" si="50"/>
        <v>18500</v>
      </c>
      <c r="H487" s="123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</row>
    <row r="488" spans="1:33" x14ac:dyDescent="0.2">
      <c r="A488" s="134">
        <v>7</v>
      </c>
      <c r="B488" s="137">
        <v>45803</v>
      </c>
      <c r="C488" s="135"/>
      <c r="D488" s="135">
        <f t="shared" si="48"/>
        <v>0</v>
      </c>
      <c r="E488" s="135">
        <f t="shared" si="49"/>
        <v>0</v>
      </c>
      <c r="F488" s="50" t="s">
        <v>107</v>
      </c>
      <c r="G488" s="50">
        <f t="shared" si="50"/>
        <v>18500</v>
      </c>
      <c r="H488" s="123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</row>
    <row r="489" spans="1:33" x14ac:dyDescent="0.2">
      <c r="A489" s="134">
        <v>8</v>
      </c>
      <c r="B489" s="137">
        <v>45810</v>
      </c>
      <c r="C489" s="135"/>
      <c r="D489" s="135">
        <f t="shared" si="48"/>
        <v>0</v>
      </c>
      <c r="E489" s="135">
        <f t="shared" si="49"/>
        <v>0</v>
      </c>
      <c r="F489" s="50" t="s">
        <v>107</v>
      </c>
      <c r="G489" s="50">
        <f t="shared" si="50"/>
        <v>18500</v>
      </c>
      <c r="H489" s="123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</row>
    <row r="490" spans="1:33" x14ac:dyDescent="0.2">
      <c r="A490" s="134">
        <v>9</v>
      </c>
      <c r="B490" s="137">
        <v>45817</v>
      </c>
      <c r="C490" s="135"/>
      <c r="D490" s="135">
        <f t="shared" si="48"/>
        <v>0</v>
      </c>
      <c r="E490" s="135">
        <f t="shared" si="49"/>
        <v>0</v>
      </c>
      <c r="F490" s="50" t="s">
        <v>107</v>
      </c>
      <c r="G490" s="50">
        <f t="shared" si="50"/>
        <v>18500</v>
      </c>
      <c r="H490" s="123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</row>
    <row r="491" spans="1:33" x14ac:dyDescent="0.2">
      <c r="A491" s="235"/>
      <c r="B491" s="137">
        <v>45824</v>
      </c>
      <c r="C491" s="135"/>
      <c r="D491" s="135">
        <f t="shared" si="48"/>
        <v>0</v>
      </c>
      <c r="E491" s="135">
        <f t="shared" si="49"/>
        <v>0</v>
      </c>
      <c r="F491" s="135"/>
      <c r="G491" s="50">
        <f t="shared" si="50"/>
        <v>18500</v>
      </c>
      <c r="H491" s="123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</row>
    <row r="492" spans="1:33" x14ac:dyDescent="0.2">
      <c r="A492" s="138"/>
      <c r="B492" s="139"/>
      <c r="C492" s="140"/>
      <c r="D492" s="141">
        <f>SUMIFS(D482:D491, F482:F491, "Y")</f>
        <v>5357.1428571428578</v>
      </c>
      <c r="E492" s="141">
        <f>SUMIFS(E482:E491, F482:F491, "Y")</f>
        <v>2142.8571428571422</v>
      </c>
      <c r="F492" s="167">
        <f>(SUMIFS(D482:D491, F482:F491, "Y") + SUMIFS(E482:E491, F482:F491, "Y"))</f>
        <v>7500</v>
      </c>
      <c r="G492" s="140"/>
      <c r="H492" s="144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</row>
    <row r="493" spans="1:33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</row>
    <row r="494" spans="1:33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</row>
    <row r="495" spans="1:33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</row>
    <row r="496" spans="1:33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</row>
    <row r="497" spans="1:33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</row>
    <row r="498" spans="1:33" x14ac:dyDescent="0.2">
      <c r="A498" s="256">
        <v>18</v>
      </c>
      <c r="B498" s="257"/>
      <c r="C498" s="173"/>
      <c r="D498" s="173"/>
      <c r="E498" s="173"/>
      <c r="F498" s="173"/>
      <c r="G498" s="173"/>
      <c r="H498" s="174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</row>
    <row r="499" spans="1:33" x14ac:dyDescent="0.2">
      <c r="A499" s="263" t="s">
        <v>7</v>
      </c>
      <c r="B499" s="259"/>
      <c r="C499" s="175">
        <v>30000</v>
      </c>
      <c r="D499" s="176"/>
      <c r="E499" s="176"/>
      <c r="F499" s="176"/>
      <c r="G499" s="176"/>
      <c r="H499" s="177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</row>
    <row r="500" spans="1:33" x14ac:dyDescent="0.2">
      <c r="A500" s="263" t="s">
        <v>8</v>
      </c>
      <c r="B500" s="259"/>
      <c r="C500" s="178" t="s">
        <v>212</v>
      </c>
      <c r="D500" s="176"/>
      <c r="E500" s="179"/>
      <c r="F500" s="179"/>
      <c r="G500" s="179"/>
      <c r="H500" s="180" t="s">
        <v>10</v>
      </c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</row>
    <row r="501" spans="1:33" x14ac:dyDescent="0.2">
      <c r="A501" s="263" t="s">
        <v>103</v>
      </c>
      <c r="B501" s="259"/>
      <c r="C501" s="64">
        <v>6000</v>
      </c>
      <c r="D501" s="181"/>
      <c r="E501" s="264" t="s">
        <v>14</v>
      </c>
      <c r="F501" s="182" t="s">
        <v>15</v>
      </c>
      <c r="G501" s="183">
        <v>0</v>
      </c>
      <c r="H501" s="184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</row>
    <row r="502" spans="1:33" x14ac:dyDescent="0.2">
      <c r="A502" s="263" t="s">
        <v>17</v>
      </c>
      <c r="B502" s="259"/>
      <c r="C502" s="64">
        <v>2</v>
      </c>
      <c r="D502" s="181"/>
      <c r="E502" s="261"/>
      <c r="F502" s="182" t="s">
        <v>18</v>
      </c>
      <c r="G502" s="183">
        <v>30000</v>
      </c>
      <c r="H502" s="184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</row>
    <row r="503" spans="1:33" x14ac:dyDescent="0.2">
      <c r="A503" s="263" t="s">
        <v>20</v>
      </c>
      <c r="B503" s="259"/>
      <c r="C503" s="64">
        <f>C501*C502</f>
        <v>12000</v>
      </c>
      <c r="D503" s="185"/>
      <c r="E503" s="186"/>
      <c r="F503" s="185"/>
      <c r="G503" s="181"/>
      <c r="H503" s="187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</row>
    <row r="504" spans="1:33" x14ac:dyDescent="0.2">
      <c r="A504" s="263" t="s">
        <v>22</v>
      </c>
      <c r="B504" s="259"/>
      <c r="C504" s="175">
        <f>C499+C503</f>
        <v>42000</v>
      </c>
      <c r="D504" s="185"/>
      <c r="E504" s="185"/>
      <c r="F504" s="185"/>
      <c r="G504" s="185"/>
      <c r="H504" s="187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</row>
    <row r="505" spans="1:33" x14ac:dyDescent="0.2">
      <c r="A505" s="263" t="s">
        <v>166</v>
      </c>
      <c r="B505" s="259"/>
      <c r="C505" s="188">
        <v>700</v>
      </c>
      <c r="D505" s="176" t="s">
        <v>213</v>
      </c>
      <c r="E505" s="176"/>
      <c r="F505" s="176"/>
      <c r="G505" s="176"/>
      <c r="H505" s="177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</row>
    <row r="506" spans="1:33" x14ac:dyDescent="0.2">
      <c r="A506" s="263" t="s">
        <v>28</v>
      </c>
      <c r="B506" s="259"/>
      <c r="C506" s="189" t="s">
        <v>179</v>
      </c>
      <c r="D506" s="176"/>
      <c r="E506" s="176"/>
      <c r="F506" s="176"/>
      <c r="G506" s="176"/>
      <c r="H506" s="177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</row>
    <row r="507" spans="1:33" x14ac:dyDescent="0.2">
      <c r="A507" s="190" t="s">
        <v>31</v>
      </c>
      <c r="B507" s="183" t="s">
        <v>106</v>
      </c>
      <c r="C507" s="182" t="s">
        <v>33</v>
      </c>
      <c r="D507" s="182" t="s">
        <v>34</v>
      </c>
      <c r="E507" s="182" t="s">
        <v>35</v>
      </c>
      <c r="F507" s="182" t="s">
        <v>36</v>
      </c>
      <c r="G507" s="182" t="s">
        <v>37</v>
      </c>
      <c r="H507" s="177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</row>
    <row r="508" spans="1:33" x14ac:dyDescent="0.2">
      <c r="A508" s="190">
        <v>0</v>
      </c>
      <c r="B508" s="191"/>
      <c r="C508" s="191"/>
      <c r="D508" s="191"/>
      <c r="E508" s="191"/>
      <c r="F508" s="191"/>
      <c r="G508" s="64">
        <f>C504</f>
        <v>42000</v>
      </c>
      <c r="H508" s="177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</row>
    <row r="509" spans="1:33" x14ac:dyDescent="0.2">
      <c r="A509" s="190">
        <v>1</v>
      </c>
      <c r="B509" s="137">
        <v>45775</v>
      </c>
      <c r="C509" s="64">
        <v>2000</v>
      </c>
      <c r="D509" s="64">
        <f t="shared" ref="D509:D518" si="51">C509/1.4</f>
        <v>1428.5714285714287</v>
      </c>
      <c r="E509" s="64">
        <f t="shared" ref="E509:E518" si="52">C509-D509</f>
        <v>571.42857142857133</v>
      </c>
      <c r="F509" s="64" t="s">
        <v>41</v>
      </c>
      <c r="G509" s="64">
        <f t="shared" ref="G509:G518" si="53">(G508-C509)</f>
        <v>40000</v>
      </c>
      <c r="H509" s="177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</row>
    <row r="510" spans="1:33" x14ac:dyDescent="0.2">
      <c r="A510" s="190">
        <v>2</v>
      </c>
      <c r="B510" s="137">
        <v>45782</v>
      </c>
      <c r="C510" s="64">
        <v>2100</v>
      </c>
      <c r="D510" s="64">
        <f t="shared" si="51"/>
        <v>1500</v>
      </c>
      <c r="E510" s="64">
        <f t="shared" si="52"/>
        <v>600</v>
      </c>
      <c r="F510" s="64" t="s">
        <v>41</v>
      </c>
      <c r="G510" s="64">
        <f t="shared" si="53"/>
        <v>37900</v>
      </c>
      <c r="H510" s="177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</row>
    <row r="511" spans="1:33" x14ac:dyDescent="0.2">
      <c r="A511" s="190">
        <v>3</v>
      </c>
      <c r="B511" s="137">
        <v>45789</v>
      </c>
      <c r="C511" s="64">
        <v>2800</v>
      </c>
      <c r="D511" s="64">
        <f t="shared" si="51"/>
        <v>2000.0000000000002</v>
      </c>
      <c r="E511" s="64">
        <f t="shared" si="52"/>
        <v>799.99999999999977</v>
      </c>
      <c r="F511" s="64" t="s">
        <v>107</v>
      </c>
      <c r="G511" s="64">
        <f t="shared" si="53"/>
        <v>35100</v>
      </c>
      <c r="H511" s="177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</row>
    <row r="512" spans="1:33" x14ac:dyDescent="0.2">
      <c r="A512" s="190">
        <v>4</v>
      </c>
      <c r="B512" s="137">
        <v>45796</v>
      </c>
      <c r="C512" s="64"/>
      <c r="D512" s="64">
        <f t="shared" si="51"/>
        <v>0</v>
      </c>
      <c r="E512" s="64">
        <f t="shared" si="52"/>
        <v>0</v>
      </c>
      <c r="F512" s="64" t="s">
        <v>107</v>
      </c>
      <c r="G512" s="64">
        <f t="shared" si="53"/>
        <v>35100</v>
      </c>
      <c r="H512" s="177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</row>
    <row r="513" spans="1:33" x14ac:dyDescent="0.2">
      <c r="A513" s="190">
        <v>5</v>
      </c>
      <c r="B513" s="137">
        <v>45803</v>
      </c>
      <c r="C513" s="64"/>
      <c r="D513" s="64">
        <f t="shared" si="51"/>
        <v>0</v>
      </c>
      <c r="E513" s="64">
        <f t="shared" si="52"/>
        <v>0</v>
      </c>
      <c r="F513" s="64" t="s">
        <v>107</v>
      </c>
      <c r="G513" s="64">
        <f t="shared" si="53"/>
        <v>35100</v>
      </c>
      <c r="H513" s="177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</row>
    <row r="514" spans="1:33" x14ac:dyDescent="0.2">
      <c r="A514" s="190">
        <v>6</v>
      </c>
      <c r="B514" s="137">
        <v>45810</v>
      </c>
      <c r="C514" s="64"/>
      <c r="D514" s="64">
        <f t="shared" si="51"/>
        <v>0</v>
      </c>
      <c r="E514" s="64">
        <f t="shared" si="52"/>
        <v>0</v>
      </c>
      <c r="F514" s="64" t="s">
        <v>107</v>
      </c>
      <c r="G514" s="64">
        <f t="shared" si="53"/>
        <v>35100</v>
      </c>
      <c r="H514" s="177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</row>
    <row r="515" spans="1:33" x14ac:dyDescent="0.2">
      <c r="A515" s="190">
        <v>7</v>
      </c>
      <c r="B515" s="137">
        <v>45817</v>
      </c>
      <c r="C515" s="64"/>
      <c r="D515" s="64">
        <f t="shared" si="51"/>
        <v>0</v>
      </c>
      <c r="E515" s="64">
        <f t="shared" si="52"/>
        <v>0</v>
      </c>
      <c r="F515" s="64" t="s">
        <v>107</v>
      </c>
      <c r="G515" s="64">
        <f t="shared" si="53"/>
        <v>35100</v>
      </c>
      <c r="H515" s="177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</row>
    <row r="516" spans="1:33" x14ac:dyDescent="0.2">
      <c r="A516" s="190">
        <v>8</v>
      </c>
      <c r="B516" s="137">
        <v>45824</v>
      </c>
      <c r="C516" s="64"/>
      <c r="D516" s="64">
        <f t="shared" si="51"/>
        <v>0</v>
      </c>
      <c r="E516" s="64">
        <f t="shared" si="52"/>
        <v>0</v>
      </c>
      <c r="F516" s="64" t="s">
        <v>107</v>
      </c>
      <c r="G516" s="64">
        <f t="shared" si="53"/>
        <v>35100</v>
      </c>
      <c r="H516" s="177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</row>
    <row r="517" spans="1:33" x14ac:dyDescent="0.2">
      <c r="A517" s="190">
        <v>9</v>
      </c>
      <c r="B517" s="137">
        <v>45831</v>
      </c>
      <c r="C517" s="191"/>
      <c r="D517" s="64">
        <f t="shared" si="51"/>
        <v>0</v>
      </c>
      <c r="E517" s="64">
        <f t="shared" si="52"/>
        <v>0</v>
      </c>
      <c r="F517" s="191"/>
      <c r="G517" s="64">
        <f t="shared" si="53"/>
        <v>35100</v>
      </c>
      <c r="H517" s="177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</row>
    <row r="518" spans="1:33" x14ac:dyDescent="0.2">
      <c r="A518" s="190">
        <v>10</v>
      </c>
      <c r="B518" s="137">
        <v>45838</v>
      </c>
      <c r="C518" s="191"/>
      <c r="D518" s="64">
        <f t="shared" si="51"/>
        <v>0</v>
      </c>
      <c r="E518" s="64">
        <f t="shared" si="52"/>
        <v>0</v>
      </c>
      <c r="F518" s="191"/>
      <c r="G518" s="64">
        <f t="shared" si="53"/>
        <v>35100</v>
      </c>
      <c r="H518" s="177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</row>
    <row r="519" spans="1:33" x14ac:dyDescent="0.2">
      <c r="A519" s="192"/>
      <c r="B519" s="193"/>
      <c r="C519" s="194"/>
      <c r="D519" s="142">
        <f>SUMIFS(D509:D518, F509:F518, "Y")</f>
        <v>2928.5714285714284</v>
      </c>
      <c r="E519" s="142">
        <f>SUMIFS(E509:E518, F509:F518, "Y")</f>
        <v>1171.4285714285713</v>
      </c>
      <c r="F519" s="142">
        <f>(SUMIFS(D509:D518, F509:F518, "Y") + SUMIFS(E509:E518, F509:F518, "Y"))</f>
        <v>4100</v>
      </c>
      <c r="G519" s="194"/>
      <c r="H519" s="195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</row>
    <row r="520" spans="1:33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</row>
    <row r="521" spans="1:33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</row>
    <row r="522" spans="1:33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</row>
    <row r="523" spans="1:33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</row>
    <row r="524" spans="1:33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</row>
    <row r="525" spans="1:33" x14ac:dyDescent="0.2">
      <c r="A525" s="256">
        <v>19</v>
      </c>
      <c r="B525" s="257"/>
      <c r="C525" s="119"/>
      <c r="D525" s="119"/>
      <c r="E525" s="119"/>
      <c r="F525" s="119"/>
      <c r="G525" s="119"/>
      <c r="H525" s="12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</row>
    <row r="526" spans="1:33" x14ac:dyDescent="0.2">
      <c r="A526" s="258" t="s">
        <v>7</v>
      </c>
      <c r="B526" s="259"/>
      <c r="C526" s="135">
        <v>10000</v>
      </c>
      <c r="D526" s="30"/>
      <c r="E526" s="30"/>
      <c r="F526" s="30"/>
      <c r="G526" s="30"/>
      <c r="H526" s="123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</row>
    <row r="527" spans="1:33" x14ac:dyDescent="0.2">
      <c r="A527" s="258" t="s">
        <v>8</v>
      </c>
      <c r="B527" s="259"/>
      <c r="C527" s="82">
        <v>45775</v>
      </c>
      <c r="D527" s="30"/>
      <c r="E527" s="49"/>
      <c r="F527" s="49"/>
      <c r="G527" s="49"/>
      <c r="H527" s="125" t="s">
        <v>10</v>
      </c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</row>
    <row r="528" spans="1:33" x14ac:dyDescent="0.2">
      <c r="A528" s="258" t="s">
        <v>103</v>
      </c>
      <c r="B528" s="259"/>
      <c r="C528" s="135">
        <v>2000</v>
      </c>
      <c r="D528" s="66"/>
      <c r="E528" s="260" t="s">
        <v>14</v>
      </c>
      <c r="F528" s="126" t="s">
        <v>15</v>
      </c>
      <c r="G528" s="135">
        <v>0</v>
      </c>
      <c r="H528" s="127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</row>
    <row r="529" spans="1:33" x14ac:dyDescent="0.2">
      <c r="A529" s="258" t="s">
        <v>17</v>
      </c>
      <c r="B529" s="259"/>
      <c r="C529" s="50">
        <v>1</v>
      </c>
      <c r="D529" s="66"/>
      <c r="E529" s="261"/>
      <c r="F529" s="126" t="s">
        <v>18</v>
      </c>
      <c r="G529" s="50">
        <v>10000</v>
      </c>
      <c r="H529" s="127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</row>
    <row r="530" spans="1:33" x14ac:dyDescent="0.2">
      <c r="A530" s="258" t="s">
        <v>20</v>
      </c>
      <c r="B530" s="259"/>
      <c r="C530" s="50">
        <f>C528*C529</f>
        <v>2000</v>
      </c>
      <c r="D530" s="30"/>
      <c r="E530" s="128"/>
      <c r="F530" s="30"/>
      <c r="G530" s="66"/>
      <c r="H530" s="123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</row>
    <row r="531" spans="1:33" x14ac:dyDescent="0.2">
      <c r="A531" s="258" t="s">
        <v>22</v>
      </c>
      <c r="B531" s="259"/>
      <c r="C531" s="121">
        <f>C526+C530</f>
        <v>12000</v>
      </c>
      <c r="D531" s="30"/>
      <c r="E531" s="30"/>
      <c r="F531" s="30"/>
      <c r="G531" s="30"/>
      <c r="H531" s="123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</row>
    <row r="532" spans="1:33" x14ac:dyDescent="0.2">
      <c r="A532" s="258" t="s">
        <v>24</v>
      </c>
      <c r="B532" s="259"/>
      <c r="C532" s="146">
        <v>250</v>
      </c>
      <c r="D532" s="30" t="s">
        <v>341</v>
      </c>
      <c r="E532" s="30"/>
      <c r="F532" s="30"/>
      <c r="G532" s="30"/>
      <c r="H532" s="123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</row>
    <row r="533" spans="1:33" x14ac:dyDescent="0.2">
      <c r="A533" s="258" t="s">
        <v>28</v>
      </c>
      <c r="B533" s="259"/>
      <c r="C533" s="130" t="s">
        <v>29</v>
      </c>
      <c r="D533" s="30"/>
      <c r="E533" s="30"/>
      <c r="F533" s="30"/>
      <c r="G533" s="30"/>
      <c r="H533" s="123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</row>
    <row r="534" spans="1:33" x14ac:dyDescent="0.2">
      <c r="A534" s="131" t="s">
        <v>31</v>
      </c>
      <c r="B534" s="132" t="s">
        <v>106</v>
      </c>
      <c r="C534" s="133" t="s">
        <v>33</v>
      </c>
      <c r="D534" s="133" t="s">
        <v>34</v>
      </c>
      <c r="E534" s="133" t="s">
        <v>35</v>
      </c>
      <c r="F534" s="133" t="s">
        <v>36</v>
      </c>
      <c r="G534" s="133" t="s">
        <v>37</v>
      </c>
      <c r="H534" s="123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</row>
    <row r="535" spans="1:33" x14ac:dyDescent="0.2">
      <c r="A535" s="134">
        <v>0</v>
      </c>
      <c r="B535" s="135"/>
      <c r="C535" s="135"/>
      <c r="D535" s="135"/>
      <c r="E535" s="135"/>
      <c r="F535" s="135"/>
      <c r="G535" s="50">
        <f>C531</f>
        <v>12000</v>
      </c>
      <c r="H535" s="123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</row>
    <row r="536" spans="1:33" x14ac:dyDescent="0.2">
      <c r="A536" s="134">
        <v>1</v>
      </c>
      <c r="B536" s="137">
        <v>45782</v>
      </c>
      <c r="C536" s="135">
        <v>1000</v>
      </c>
      <c r="D536" s="135">
        <f>C536/1.4</f>
        <v>714.28571428571433</v>
      </c>
      <c r="E536" s="135">
        <f>C536-D536</f>
        <v>285.71428571428567</v>
      </c>
      <c r="F536" s="50" t="s">
        <v>41</v>
      </c>
      <c r="G536" s="50">
        <f t="shared" ref="G536:G545" si="54">(G535-C536)</f>
        <v>11000</v>
      </c>
      <c r="H536" s="123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</row>
    <row r="537" spans="1:33" x14ac:dyDescent="0.2">
      <c r="A537" s="134">
        <v>2</v>
      </c>
      <c r="B537" s="137">
        <v>45789</v>
      </c>
      <c r="C537" s="135">
        <v>1000</v>
      </c>
      <c r="D537" s="135"/>
      <c r="E537" s="135"/>
      <c r="F537" s="50" t="s">
        <v>107</v>
      </c>
      <c r="G537" s="50">
        <f t="shared" si="54"/>
        <v>10000</v>
      </c>
      <c r="H537" s="123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</row>
    <row r="538" spans="1:33" x14ac:dyDescent="0.2">
      <c r="A538" s="134">
        <v>3</v>
      </c>
      <c r="B538" s="137">
        <v>45796</v>
      </c>
      <c r="C538" s="135"/>
      <c r="D538" s="135"/>
      <c r="E538" s="135"/>
      <c r="F538" s="50" t="s">
        <v>107</v>
      </c>
      <c r="G538" s="50">
        <f t="shared" si="54"/>
        <v>10000</v>
      </c>
      <c r="H538" s="123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</row>
    <row r="539" spans="1:33" x14ac:dyDescent="0.2">
      <c r="A539" s="134">
        <v>4</v>
      </c>
      <c r="B539" s="137">
        <v>45803</v>
      </c>
      <c r="C539" s="135"/>
      <c r="D539" s="135"/>
      <c r="E539" s="135"/>
      <c r="F539" s="50" t="s">
        <v>107</v>
      </c>
      <c r="G539" s="50">
        <f t="shared" si="54"/>
        <v>10000</v>
      </c>
      <c r="H539" s="123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</row>
    <row r="540" spans="1:33" x14ac:dyDescent="0.2">
      <c r="A540" s="134">
        <v>5</v>
      </c>
      <c r="B540" s="137">
        <v>45810</v>
      </c>
      <c r="C540" s="135"/>
      <c r="D540" s="135"/>
      <c r="E540" s="135"/>
      <c r="F540" s="50" t="s">
        <v>107</v>
      </c>
      <c r="G540" s="50">
        <f t="shared" si="54"/>
        <v>10000</v>
      </c>
      <c r="H540" s="123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</row>
    <row r="541" spans="1:33" x14ac:dyDescent="0.2">
      <c r="A541" s="134">
        <v>6</v>
      </c>
      <c r="B541" s="137">
        <v>45817</v>
      </c>
      <c r="C541" s="135"/>
      <c r="D541" s="135"/>
      <c r="E541" s="135"/>
      <c r="F541" s="50" t="s">
        <v>107</v>
      </c>
      <c r="G541" s="50">
        <f t="shared" si="54"/>
        <v>10000</v>
      </c>
      <c r="H541" s="123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</row>
    <row r="542" spans="1:33" x14ac:dyDescent="0.2">
      <c r="A542" s="134">
        <v>7</v>
      </c>
      <c r="B542" s="137">
        <v>45824</v>
      </c>
      <c r="C542" s="135"/>
      <c r="D542" s="135"/>
      <c r="E542" s="135"/>
      <c r="F542" s="50" t="s">
        <v>107</v>
      </c>
      <c r="G542" s="50">
        <f t="shared" si="54"/>
        <v>10000</v>
      </c>
      <c r="H542" s="123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</row>
    <row r="543" spans="1:33" x14ac:dyDescent="0.2">
      <c r="A543" s="134">
        <v>8</v>
      </c>
      <c r="B543" s="137">
        <v>45831</v>
      </c>
      <c r="C543" s="135"/>
      <c r="D543" s="135"/>
      <c r="E543" s="135"/>
      <c r="F543" s="50" t="s">
        <v>107</v>
      </c>
      <c r="G543" s="50">
        <f t="shared" si="54"/>
        <v>10000</v>
      </c>
      <c r="H543" s="123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</row>
    <row r="544" spans="1:33" x14ac:dyDescent="0.2">
      <c r="A544" s="134">
        <v>9</v>
      </c>
      <c r="B544" s="137">
        <v>45838</v>
      </c>
      <c r="C544" s="135"/>
      <c r="D544" s="135"/>
      <c r="E544" s="135"/>
      <c r="F544" s="135"/>
      <c r="G544" s="50">
        <f t="shared" si="54"/>
        <v>10000</v>
      </c>
      <c r="H544" s="123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</row>
    <row r="545" spans="1:33" x14ac:dyDescent="0.2">
      <c r="A545" s="134">
        <v>10</v>
      </c>
      <c r="B545" s="137">
        <v>45845</v>
      </c>
      <c r="C545" s="135"/>
      <c r="D545" s="135"/>
      <c r="E545" s="135"/>
      <c r="F545" s="135"/>
      <c r="G545" s="50">
        <f t="shared" si="54"/>
        <v>10000</v>
      </c>
      <c r="H545" s="123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</row>
    <row r="546" spans="1:33" x14ac:dyDescent="0.2">
      <c r="A546" s="138"/>
      <c r="B546" s="139"/>
      <c r="C546" s="140"/>
      <c r="D546" s="167">
        <f>SUMIFS(D536:D545, F536:F545, "Y")</f>
        <v>714.28571428571433</v>
      </c>
      <c r="E546" s="143">
        <f>SUMIFS(E536:E545, F536:F545, "Y")</f>
        <v>285.71428571428567</v>
      </c>
      <c r="F546" s="143">
        <f>(SUMIFS(D536:D545, F536:F545, "Y") + SUMIFS(E536:E545, F536:F545, "Y"))</f>
        <v>1000</v>
      </c>
      <c r="G546" s="140"/>
      <c r="H546" s="144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</row>
    <row r="547" spans="1:33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</row>
    <row r="548" spans="1:33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</row>
    <row r="549" spans="1:33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</row>
    <row r="550" spans="1:33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</row>
    <row r="551" spans="1:33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</row>
    <row r="552" spans="1:33" x14ac:dyDescent="0.2">
      <c r="A552" s="256">
        <v>20</v>
      </c>
      <c r="B552" s="257"/>
      <c r="C552" s="119"/>
      <c r="D552" s="119"/>
      <c r="E552" s="119"/>
      <c r="F552" s="119"/>
      <c r="G552" s="119"/>
      <c r="H552" s="12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</row>
    <row r="553" spans="1:33" x14ac:dyDescent="0.2">
      <c r="A553" s="258" t="s">
        <v>7</v>
      </c>
      <c r="B553" s="259"/>
      <c r="C553" s="148">
        <v>40000</v>
      </c>
      <c r="D553" s="30"/>
      <c r="E553" s="30"/>
      <c r="F553" s="30"/>
      <c r="G553" s="30"/>
      <c r="H553" s="123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</row>
    <row r="554" spans="1:33" x14ac:dyDescent="0.2">
      <c r="A554" s="258" t="s">
        <v>8</v>
      </c>
      <c r="B554" s="259"/>
      <c r="C554" s="82">
        <v>45782</v>
      </c>
      <c r="D554" s="30"/>
      <c r="E554" s="49"/>
      <c r="F554" s="49"/>
      <c r="G554" s="49"/>
      <c r="H554" s="125" t="s">
        <v>10</v>
      </c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</row>
    <row r="555" spans="1:33" x14ac:dyDescent="0.2">
      <c r="A555" s="258" t="s">
        <v>152</v>
      </c>
      <c r="B555" s="259"/>
      <c r="C555" s="135">
        <v>6000</v>
      </c>
      <c r="D555" s="66"/>
      <c r="E555" s="260" t="s">
        <v>14</v>
      </c>
      <c r="F555" s="126" t="s">
        <v>15</v>
      </c>
      <c r="G555" s="50">
        <v>0</v>
      </c>
      <c r="H555" s="127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</row>
    <row r="556" spans="1:33" x14ac:dyDescent="0.2">
      <c r="A556" s="258" t="s">
        <v>17</v>
      </c>
      <c r="B556" s="259"/>
      <c r="C556" s="50">
        <v>2</v>
      </c>
      <c r="D556" s="66"/>
      <c r="E556" s="261"/>
      <c r="F556" s="126" t="s">
        <v>18</v>
      </c>
      <c r="G556" s="135">
        <v>40000</v>
      </c>
      <c r="H556" s="236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</row>
    <row r="557" spans="1:33" x14ac:dyDescent="0.2">
      <c r="A557" s="258" t="s">
        <v>20</v>
      </c>
      <c r="B557" s="259"/>
      <c r="C557" s="50">
        <f>C555*C556</f>
        <v>12000</v>
      </c>
      <c r="D557" s="30"/>
      <c r="E557" s="128"/>
      <c r="F557" s="30"/>
      <c r="G557" s="66"/>
      <c r="H557" s="123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</row>
    <row r="558" spans="1:33" x14ac:dyDescent="0.2">
      <c r="A558" s="258" t="s">
        <v>22</v>
      </c>
      <c r="B558" s="259"/>
      <c r="C558" s="121">
        <f>C553+C557</f>
        <v>52000</v>
      </c>
      <c r="D558" s="30"/>
      <c r="E558" s="30"/>
      <c r="F558" s="30"/>
      <c r="G558" s="30"/>
      <c r="H558" s="123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</row>
    <row r="559" spans="1:33" x14ac:dyDescent="0.2">
      <c r="A559" s="258" t="s">
        <v>24</v>
      </c>
      <c r="B559" s="259"/>
      <c r="C559" s="146">
        <v>900</v>
      </c>
      <c r="D559" s="30" t="s">
        <v>217</v>
      </c>
      <c r="E559" s="30"/>
      <c r="F559" s="30"/>
      <c r="G559" s="30"/>
      <c r="H559" s="123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</row>
    <row r="560" spans="1:33" x14ac:dyDescent="0.2">
      <c r="A560" s="258" t="s">
        <v>28</v>
      </c>
      <c r="B560" s="259"/>
      <c r="C560" s="130" t="s">
        <v>154</v>
      </c>
      <c r="D560" s="30"/>
      <c r="E560" s="30"/>
      <c r="F560" s="30"/>
      <c r="G560" s="30"/>
      <c r="H560" s="123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</row>
    <row r="561" spans="1:33" x14ac:dyDescent="0.2">
      <c r="A561" s="131" t="s">
        <v>31</v>
      </c>
      <c r="B561" s="132" t="s">
        <v>106</v>
      </c>
      <c r="C561" s="133" t="s">
        <v>33</v>
      </c>
      <c r="D561" s="133" t="s">
        <v>34</v>
      </c>
      <c r="E561" s="133" t="s">
        <v>35</v>
      </c>
      <c r="F561" s="133" t="s">
        <v>36</v>
      </c>
      <c r="G561" s="133" t="s">
        <v>37</v>
      </c>
      <c r="H561" s="123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</row>
    <row r="562" spans="1:33" x14ac:dyDescent="0.2">
      <c r="A562" s="134">
        <v>0</v>
      </c>
      <c r="B562" s="135"/>
      <c r="C562" s="135"/>
      <c r="D562" s="135"/>
      <c r="E562" s="135"/>
      <c r="F562" s="135"/>
      <c r="G562" s="50">
        <f>C558</f>
        <v>52000</v>
      </c>
      <c r="H562" s="123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</row>
    <row r="563" spans="1:33" x14ac:dyDescent="0.2">
      <c r="A563" s="134">
        <v>1</v>
      </c>
      <c r="B563" s="137">
        <v>45789</v>
      </c>
      <c r="C563" s="135">
        <v>3600</v>
      </c>
      <c r="D563" s="135">
        <f t="shared" ref="D563:D572" si="55">C563/1.4</f>
        <v>2571.4285714285716</v>
      </c>
      <c r="E563" s="135">
        <f t="shared" ref="E563:E572" si="56">C563-D563</f>
        <v>1028.5714285714284</v>
      </c>
      <c r="F563" s="50" t="s">
        <v>107</v>
      </c>
      <c r="G563" s="50">
        <f t="shared" ref="G563:G572" si="57">(G562-C563)</f>
        <v>48400</v>
      </c>
      <c r="H563" s="123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</row>
    <row r="564" spans="1:33" x14ac:dyDescent="0.2">
      <c r="A564" s="134">
        <v>2</v>
      </c>
      <c r="B564" s="137">
        <v>45796</v>
      </c>
      <c r="C564" s="135"/>
      <c r="D564" s="135">
        <f t="shared" si="55"/>
        <v>0</v>
      </c>
      <c r="E564" s="135">
        <f t="shared" si="56"/>
        <v>0</v>
      </c>
      <c r="F564" s="50" t="s">
        <v>107</v>
      </c>
      <c r="G564" s="50">
        <f t="shared" si="57"/>
        <v>48400</v>
      </c>
      <c r="H564" s="123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</row>
    <row r="565" spans="1:33" x14ac:dyDescent="0.2">
      <c r="A565" s="134">
        <v>3</v>
      </c>
      <c r="B565" s="137">
        <v>45803</v>
      </c>
      <c r="C565" s="135"/>
      <c r="D565" s="135">
        <f t="shared" si="55"/>
        <v>0</v>
      </c>
      <c r="E565" s="135">
        <f t="shared" si="56"/>
        <v>0</v>
      </c>
      <c r="F565" s="50" t="s">
        <v>107</v>
      </c>
      <c r="G565" s="50">
        <f t="shared" si="57"/>
        <v>48400</v>
      </c>
      <c r="H565" s="123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</row>
    <row r="566" spans="1:33" x14ac:dyDescent="0.2">
      <c r="A566" s="134">
        <v>4</v>
      </c>
      <c r="B566" s="137">
        <v>45810</v>
      </c>
      <c r="C566" s="135"/>
      <c r="D566" s="135">
        <f t="shared" si="55"/>
        <v>0</v>
      </c>
      <c r="E566" s="135">
        <f t="shared" si="56"/>
        <v>0</v>
      </c>
      <c r="F566" s="50" t="s">
        <v>107</v>
      </c>
      <c r="G566" s="50">
        <f t="shared" si="57"/>
        <v>48400</v>
      </c>
      <c r="H566" s="123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</row>
    <row r="567" spans="1:33" x14ac:dyDescent="0.2">
      <c r="A567" s="134">
        <v>5</v>
      </c>
      <c r="B567" s="137">
        <v>45817</v>
      </c>
      <c r="C567" s="135"/>
      <c r="D567" s="135">
        <f t="shared" si="55"/>
        <v>0</v>
      </c>
      <c r="E567" s="135">
        <f t="shared" si="56"/>
        <v>0</v>
      </c>
      <c r="F567" s="50" t="s">
        <v>107</v>
      </c>
      <c r="G567" s="50">
        <f t="shared" si="57"/>
        <v>48400</v>
      </c>
      <c r="H567" s="123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</row>
    <row r="568" spans="1:33" x14ac:dyDescent="0.2">
      <c r="A568" s="134">
        <v>6</v>
      </c>
      <c r="B568" s="137">
        <v>45824</v>
      </c>
      <c r="C568" s="135"/>
      <c r="D568" s="135">
        <f t="shared" si="55"/>
        <v>0</v>
      </c>
      <c r="E568" s="135">
        <f t="shared" si="56"/>
        <v>0</v>
      </c>
      <c r="F568" s="50" t="s">
        <v>107</v>
      </c>
      <c r="G568" s="50">
        <f t="shared" si="57"/>
        <v>48400</v>
      </c>
      <c r="H568" s="123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</row>
    <row r="569" spans="1:33" x14ac:dyDescent="0.2">
      <c r="A569" s="134">
        <v>7</v>
      </c>
      <c r="B569" s="137">
        <v>45831</v>
      </c>
      <c r="C569" s="135"/>
      <c r="D569" s="135">
        <f t="shared" si="55"/>
        <v>0</v>
      </c>
      <c r="E569" s="135">
        <f t="shared" si="56"/>
        <v>0</v>
      </c>
      <c r="F569" s="50" t="s">
        <v>107</v>
      </c>
      <c r="G569" s="50">
        <f t="shared" si="57"/>
        <v>48400</v>
      </c>
      <c r="H569" s="123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</row>
    <row r="570" spans="1:33" x14ac:dyDescent="0.2">
      <c r="A570" s="134">
        <v>8</v>
      </c>
      <c r="B570" s="137">
        <v>45838</v>
      </c>
      <c r="C570" s="135"/>
      <c r="D570" s="135">
        <f t="shared" si="55"/>
        <v>0</v>
      </c>
      <c r="E570" s="135">
        <f t="shared" si="56"/>
        <v>0</v>
      </c>
      <c r="F570" s="50" t="s">
        <v>107</v>
      </c>
      <c r="G570" s="50">
        <f t="shared" si="57"/>
        <v>48400</v>
      </c>
      <c r="H570" s="123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</row>
    <row r="571" spans="1:33" x14ac:dyDescent="0.2">
      <c r="A571" s="134">
        <v>9</v>
      </c>
      <c r="B571" s="137">
        <v>45845</v>
      </c>
      <c r="C571" s="135"/>
      <c r="D571" s="135">
        <f t="shared" si="55"/>
        <v>0</v>
      </c>
      <c r="E571" s="135">
        <f t="shared" si="56"/>
        <v>0</v>
      </c>
      <c r="F571" s="135"/>
      <c r="G571" s="50">
        <f t="shared" si="57"/>
        <v>48400</v>
      </c>
      <c r="H571" s="123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</row>
    <row r="572" spans="1:33" x14ac:dyDescent="0.2">
      <c r="A572" s="134">
        <v>10</v>
      </c>
      <c r="B572" s="137">
        <v>45852</v>
      </c>
      <c r="C572" s="135"/>
      <c r="D572" s="135">
        <f t="shared" si="55"/>
        <v>0</v>
      </c>
      <c r="E572" s="135">
        <f t="shared" si="56"/>
        <v>0</v>
      </c>
      <c r="F572" s="135"/>
      <c r="G572" s="50">
        <f t="shared" si="57"/>
        <v>48400</v>
      </c>
      <c r="H572" s="123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</row>
    <row r="573" spans="1:33" x14ac:dyDescent="0.2">
      <c r="A573" s="138"/>
      <c r="B573" s="139"/>
      <c r="C573" s="140"/>
      <c r="D573" s="141">
        <f>SUMIFS(D563:D572, F563:F572, "Y")</f>
        <v>0</v>
      </c>
      <c r="E573" s="142">
        <f>SUMIFS(E563:E572, F563:F572, "Y")</f>
        <v>0</v>
      </c>
      <c r="F573" s="143">
        <f>(SUMIFS(D563:D572, F563:F572, "Y") + SUMIFS(E563:E572, F563:F572, "Y"))</f>
        <v>0</v>
      </c>
      <c r="G573" s="140"/>
      <c r="H573" s="144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</row>
    <row r="574" spans="1:33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</row>
    <row r="575" spans="1:33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</row>
    <row r="576" spans="1:33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</row>
    <row r="577" spans="1:33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</row>
    <row r="578" spans="1:33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</row>
    <row r="579" spans="1:33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</row>
    <row r="580" spans="1:33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</row>
    <row r="581" spans="1:33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</row>
    <row r="582" spans="1:33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</row>
    <row r="583" spans="1:33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</row>
    <row r="584" spans="1:33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</row>
    <row r="585" spans="1:33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</row>
    <row r="586" spans="1:33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</row>
    <row r="587" spans="1:33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</row>
    <row r="588" spans="1:33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</row>
    <row r="589" spans="1:33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</row>
    <row r="590" spans="1:33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</row>
    <row r="591" spans="1:33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</row>
    <row r="592" spans="1:33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</row>
    <row r="593" spans="1:33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</row>
    <row r="594" spans="1:33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</row>
    <row r="595" spans="1:33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</row>
    <row r="596" spans="1:33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</row>
    <row r="597" spans="1:33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</row>
    <row r="598" spans="1:33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</row>
    <row r="599" spans="1:33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</row>
    <row r="600" spans="1:33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</row>
    <row r="601" spans="1:33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</row>
    <row r="602" spans="1:33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</row>
    <row r="603" spans="1:33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</row>
    <row r="604" spans="1:33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</row>
    <row r="605" spans="1:33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</row>
    <row r="606" spans="1:33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</row>
    <row r="607" spans="1:33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</row>
    <row r="608" spans="1:33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</row>
    <row r="609" spans="1:33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</row>
    <row r="610" spans="1:33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</row>
    <row r="611" spans="1:33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</row>
    <row r="612" spans="1:33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</row>
    <row r="613" spans="1:33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</row>
    <row r="614" spans="1:33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</row>
    <row r="615" spans="1:33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</row>
    <row r="616" spans="1:33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</row>
    <row r="617" spans="1:33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</row>
    <row r="618" spans="1:33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</row>
    <row r="619" spans="1:33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</row>
    <row r="620" spans="1:33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</row>
    <row r="621" spans="1:33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</row>
    <row r="622" spans="1:33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</row>
    <row r="623" spans="1:33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</row>
    <row r="624" spans="1:33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</row>
    <row r="625" spans="1:33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</row>
    <row r="626" spans="1:33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</row>
    <row r="627" spans="1:33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</row>
    <row r="628" spans="1:33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</row>
    <row r="629" spans="1:33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</row>
    <row r="630" spans="1:33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</row>
    <row r="631" spans="1:33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</row>
    <row r="632" spans="1:33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</row>
    <row r="633" spans="1:33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</row>
    <row r="634" spans="1:33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</row>
    <row r="635" spans="1:33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</row>
    <row r="636" spans="1:33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</row>
    <row r="637" spans="1:33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</row>
    <row r="638" spans="1:33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</row>
    <row r="639" spans="1:33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</row>
    <row r="640" spans="1:33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</row>
    <row r="641" spans="1:33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</row>
    <row r="642" spans="1:33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</row>
    <row r="643" spans="1:33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</row>
    <row r="644" spans="1:33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</row>
    <row r="645" spans="1:33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</row>
    <row r="646" spans="1:33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</row>
    <row r="647" spans="1:33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</row>
    <row r="648" spans="1:33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</row>
    <row r="649" spans="1:33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</row>
    <row r="650" spans="1:33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</row>
    <row r="651" spans="1:33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</row>
    <row r="652" spans="1:33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</row>
    <row r="653" spans="1:33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</row>
    <row r="654" spans="1:33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</row>
    <row r="655" spans="1:33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</row>
    <row r="656" spans="1:33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</row>
    <row r="657" spans="1:33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</row>
    <row r="658" spans="1:33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</row>
    <row r="659" spans="1:33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</row>
    <row r="660" spans="1:33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</row>
    <row r="661" spans="1:33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</row>
    <row r="662" spans="1:33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</row>
    <row r="663" spans="1:33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</row>
    <row r="664" spans="1:33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</row>
    <row r="665" spans="1:33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</row>
    <row r="666" spans="1:33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</row>
    <row r="667" spans="1:33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</row>
    <row r="668" spans="1:33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</row>
    <row r="669" spans="1:33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</row>
    <row r="670" spans="1:33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</row>
    <row r="671" spans="1:33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</row>
    <row r="672" spans="1:33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</row>
    <row r="673" spans="1:33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</row>
    <row r="674" spans="1:33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</row>
    <row r="675" spans="1:33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</row>
    <row r="676" spans="1:33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</row>
    <row r="677" spans="1:33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</row>
    <row r="678" spans="1:33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</row>
    <row r="679" spans="1:33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</row>
    <row r="680" spans="1:33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</row>
    <row r="681" spans="1:33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</row>
    <row r="682" spans="1:33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</row>
    <row r="683" spans="1:33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</row>
    <row r="684" spans="1:33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</row>
    <row r="685" spans="1:33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</row>
    <row r="686" spans="1:33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</row>
    <row r="687" spans="1:33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</row>
    <row r="688" spans="1:33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</row>
    <row r="689" spans="1:33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</row>
    <row r="690" spans="1:33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</row>
    <row r="691" spans="1:33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</row>
    <row r="692" spans="1:33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</row>
    <row r="693" spans="1:33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</row>
    <row r="694" spans="1:33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</row>
    <row r="695" spans="1:33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</row>
    <row r="696" spans="1:33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</row>
    <row r="697" spans="1:33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</row>
    <row r="698" spans="1:33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</row>
    <row r="699" spans="1:33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</row>
    <row r="700" spans="1:33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</row>
    <row r="701" spans="1:33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</row>
    <row r="702" spans="1:33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</row>
    <row r="703" spans="1:33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</row>
    <row r="704" spans="1:33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</row>
    <row r="705" spans="1:33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</row>
    <row r="706" spans="1:33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</row>
    <row r="707" spans="1:33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</row>
    <row r="708" spans="1:33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</row>
    <row r="709" spans="1:33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</row>
    <row r="710" spans="1:33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</row>
    <row r="711" spans="1:33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</row>
    <row r="712" spans="1:33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</row>
    <row r="713" spans="1:33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</row>
    <row r="714" spans="1:33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</row>
    <row r="715" spans="1:33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</row>
    <row r="716" spans="1:33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</row>
    <row r="717" spans="1:33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</row>
    <row r="718" spans="1:33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</row>
    <row r="719" spans="1:33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</row>
    <row r="720" spans="1:33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</row>
    <row r="721" spans="1:33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</row>
    <row r="722" spans="1:33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</row>
    <row r="723" spans="1:33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</row>
    <row r="724" spans="1:33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</row>
    <row r="725" spans="1:33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</row>
    <row r="726" spans="1:33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</row>
    <row r="727" spans="1:33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</row>
    <row r="728" spans="1:33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</row>
    <row r="729" spans="1:33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</row>
    <row r="730" spans="1:33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</row>
    <row r="731" spans="1:33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</row>
    <row r="732" spans="1:33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</row>
    <row r="733" spans="1:33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</row>
    <row r="734" spans="1:33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</row>
    <row r="735" spans="1:33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</row>
    <row r="736" spans="1:33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</row>
    <row r="737" spans="1:33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</row>
    <row r="738" spans="1:33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</row>
    <row r="739" spans="1:33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</row>
    <row r="740" spans="1:33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</row>
    <row r="741" spans="1:33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</row>
    <row r="742" spans="1:33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</row>
    <row r="743" spans="1:33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</row>
    <row r="744" spans="1:33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</row>
    <row r="745" spans="1:33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</row>
    <row r="746" spans="1:33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</row>
    <row r="747" spans="1:33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</row>
    <row r="748" spans="1:33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</row>
    <row r="749" spans="1:33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</row>
    <row r="750" spans="1:33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</row>
    <row r="751" spans="1:33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</row>
    <row r="752" spans="1:33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</row>
    <row r="753" spans="1:33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</row>
    <row r="754" spans="1:33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</row>
    <row r="755" spans="1:33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</row>
    <row r="756" spans="1:33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</row>
    <row r="757" spans="1:33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</row>
    <row r="758" spans="1:33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</row>
    <row r="759" spans="1:33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</row>
    <row r="760" spans="1:33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</row>
    <row r="761" spans="1:33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</row>
    <row r="762" spans="1:33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</row>
    <row r="763" spans="1:33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</row>
    <row r="764" spans="1:33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</row>
    <row r="765" spans="1:33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</row>
    <row r="766" spans="1:33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</row>
    <row r="767" spans="1:33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</row>
    <row r="768" spans="1:33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</row>
    <row r="769" spans="1:33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</row>
    <row r="770" spans="1:33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</row>
    <row r="771" spans="1:33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</row>
    <row r="772" spans="1:33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</row>
    <row r="773" spans="1:33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</row>
    <row r="774" spans="1:33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</row>
    <row r="775" spans="1:33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</row>
    <row r="776" spans="1:33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</row>
    <row r="777" spans="1:33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</row>
    <row r="778" spans="1:33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</row>
    <row r="779" spans="1:33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</row>
    <row r="780" spans="1:33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</row>
    <row r="781" spans="1:33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</row>
    <row r="782" spans="1:33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</row>
    <row r="783" spans="1:33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</row>
    <row r="784" spans="1:33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</row>
    <row r="785" spans="1:33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</row>
    <row r="786" spans="1:33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</row>
    <row r="787" spans="1:33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</row>
    <row r="788" spans="1:33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</row>
    <row r="789" spans="1:33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</row>
    <row r="790" spans="1:33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</row>
    <row r="791" spans="1:33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</row>
    <row r="792" spans="1:33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</row>
    <row r="793" spans="1:33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</row>
    <row r="794" spans="1:33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</row>
    <row r="795" spans="1:33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</row>
    <row r="796" spans="1:33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</row>
    <row r="797" spans="1:33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</row>
    <row r="798" spans="1:33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</row>
    <row r="799" spans="1:33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</row>
    <row r="800" spans="1:33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</row>
    <row r="801" spans="1:33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</row>
    <row r="802" spans="1:33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</row>
    <row r="803" spans="1:33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</row>
    <row r="804" spans="1:33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</row>
    <row r="805" spans="1:33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</row>
    <row r="806" spans="1:33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</row>
    <row r="807" spans="1:33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</row>
    <row r="808" spans="1:33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</row>
    <row r="809" spans="1:33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</row>
    <row r="810" spans="1:33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</row>
    <row r="811" spans="1:33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</row>
    <row r="812" spans="1:33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</row>
    <row r="813" spans="1:33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</row>
    <row r="814" spans="1:33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</row>
    <row r="815" spans="1:33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</row>
    <row r="816" spans="1:33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</row>
    <row r="817" spans="1:33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</row>
    <row r="818" spans="1:33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</row>
    <row r="819" spans="1:33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</row>
    <row r="820" spans="1:33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</row>
    <row r="821" spans="1:33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</row>
    <row r="822" spans="1:33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</row>
    <row r="823" spans="1:33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</row>
    <row r="824" spans="1:33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</row>
    <row r="825" spans="1:33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</row>
    <row r="826" spans="1:33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</row>
    <row r="827" spans="1:33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</row>
    <row r="828" spans="1:33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</row>
    <row r="829" spans="1:33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</row>
    <row r="830" spans="1:33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</row>
    <row r="831" spans="1:33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</row>
    <row r="832" spans="1:33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</row>
    <row r="833" spans="1:33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</row>
    <row r="834" spans="1:33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</row>
    <row r="835" spans="1:33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</row>
    <row r="836" spans="1:33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</row>
    <row r="837" spans="1:33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</row>
    <row r="838" spans="1:33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</row>
    <row r="839" spans="1:33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</row>
    <row r="840" spans="1:33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</row>
    <row r="841" spans="1:33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</row>
    <row r="842" spans="1:33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</row>
    <row r="843" spans="1:33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</row>
    <row r="844" spans="1:33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</row>
    <row r="845" spans="1:33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</row>
    <row r="846" spans="1:33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</row>
    <row r="847" spans="1:33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</row>
    <row r="848" spans="1:33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</row>
    <row r="849" spans="1:33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</row>
    <row r="850" spans="1:33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</row>
    <row r="851" spans="1:33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</row>
    <row r="852" spans="1:33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</row>
    <row r="853" spans="1:33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</row>
    <row r="854" spans="1:33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</row>
    <row r="855" spans="1:33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</row>
    <row r="856" spans="1:33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</row>
    <row r="857" spans="1:33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</row>
    <row r="858" spans="1:33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</row>
    <row r="859" spans="1:33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</row>
    <row r="860" spans="1:33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</row>
    <row r="861" spans="1:33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</row>
    <row r="862" spans="1:33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</row>
    <row r="863" spans="1:33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</row>
    <row r="864" spans="1:33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</row>
    <row r="865" spans="1:33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</row>
    <row r="866" spans="1:33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</row>
    <row r="867" spans="1:33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</row>
    <row r="868" spans="1:33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</row>
    <row r="869" spans="1:33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</row>
    <row r="870" spans="1:33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</row>
    <row r="871" spans="1:33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</row>
    <row r="872" spans="1:33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</row>
    <row r="873" spans="1:33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</row>
    <row r="874" spans="1:33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</row>
    <row r="875" spans="1:33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</row>
    <row r="876" spans="1:33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</row>
    <row r="877" spans="1:33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</row>
    <row r="878" spans="1:33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</row>
    <row r="879" spans="1:33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</row>
    <row r="880" spans="1:33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</row>
    <row r="881" spans="1:33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</row>
    <row r="882" spans="1:33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</row>
    <row r="883" spans="1:33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</row>
    <row r="884" spans="1:33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</row>
    <row r="885" spans="1:33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</row>
    <row r="886" spans="1:33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</row>
    <row r="887" spans="1:33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</row>
    <row r="888" spans="1:33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</row>
    <row r="889" spans="1:33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</row>
    <row r="890" spans="1:33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</row>
    <row r="891" spans="1:33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</row>
    <row r="892" spans="1:33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</row>
    <row r="893" spans="1:33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</row>
    <row r="894" spans="1:33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</row>
    <row r="895" spans="1:33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</row>
    <row r="896" spans="1:33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</row>
    <row r="897" spans="1:33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</row>
    <row r="898" spans="1:33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</row>
    <row r="899" spans="1:33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</row>
    <row r="900" spans="1:33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</row>
    <row r="901" spans="1:33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</row>
    <row r="902" spans="1:33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</row>
    <row r="903" spans="1:33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</row>
    <row r="904" spans="1:33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</row>
    <row r="905" spans="1:33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</row>
    <row r="906" spans="1:33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</row>
    <row r="907" spans="1:33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</row>
    <row r="908" spans="1:33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</row>
    <row r="909" spans="1:33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</row>
    <row r="910" spans="1:33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</row>
    <row r="911" spans="1:33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</row>
    <row r="912" spans="1:33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</row>
    <row r="913" spans="1:33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</row>
    <row r="914" spans="1:33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</row>
    <row r="915" spans="1:33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</row>
    <row r="916" spans="1:33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</row>
    <row r="917" spans="1:33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</row>
    <row r="918" spans="1:33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</row>
    <row r="919" spans="1:33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</row>
    <row r="920" spans="1:33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</row>
    <row r="921" spans="1:33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</row>
    <row r="922" spans="1:33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</row>
    <row r="923" spans="1:33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</row>
    <row r="924" spans="1:33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</row>
    <row r="925" spans="1:33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</row>
    <row r="926" spans="1:33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</row>
    <row r="927" spans="1:33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</row>
    <row r="928" spans="1:33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</row>
    <row r="929" spans="1:33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</row>
    <row r="930" spans="1:33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</row>
    <row r="931" spans="1:33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</row>
    <row r="932" spans="1:33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</row>
    <row r="933" spans="1:33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</row>
    <row r="934" spans="1:33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</row>
    <row r="935" spans="1:33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</row>
    <row r="936" spans="1:33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</row>
    <row r="937" spans="1:33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</row>
    <row r="938" spans="1:33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</row>
    <row r="939" spans="1:33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</row>
    <row r="940" spans="1:33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</row>
    <row r="941" spans="1:33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</row>
  </sheetData>
  <mergeCells count="200">
    <mergeCell ref="A420:B420"/>
    <mergeCell ref="E420:E421"/>
    <mergeCell ref="A421:B421"/>
    <mergeCell ref="A422:B422"/>
    <mergeCell ref="A423:B423"/>
    <mergeCell ref="A424:B424"/>
    <mergeCell ref="A425:B425"/>
    <mergeCell ref="A394:B394"/>
    <mergeCell ref="A395:B395"/>
    <mergeCell ref="A396:B396"/>
    <mergeCell ref="A397:B397"/>
    <mergeCell ref="A398:B398"/>
    <mergeCell ref="A417:B417"/>
    <mergeCell ref="A418:B418"/>
    <mergeCell ref="A369:B369"/>
    <mergeCell ref="A370:B370"/>
    <mergeCell ref="A371:B371"/>
    <mergeCell ref="A390:B390"/>
    <mergeCell ref="A391:B391"/>
    <mergeCell ref="A392:B392"/>
    <mergeCell ref="A393:B393"/>
    <mergeCell ref="E393:E394"/>
    <mergeCell ref="A419:B419"/>
    <mergeCell ref="A343:B343"/>
    <mergeCell ref="A344:B344"/>
    <mergeCell ref="A363:B363"/>
    <mergeCell ref="A364:B364"/>
    <mergeCell ref="A365:B365"/>
    <mergeCell ref="A366:B366"/>
    <mergeCell ref="E366:E367"/>
    <mergeCell ref="A367:B367"/>
    <mergeCell ref="A368:B368"/>
    <mergeCell ref="A310:B310"/>
    <mergeCell ref="A336:B336"/>
    <mergeCell ref="A337:B337"/>
    <mergeCell ref="A338:B338"/>
    <mergeCell ref="E339:E340"/>
    <mergeCell ref="A339:B339"/>
    <mergeCell ref="A340:B340"/>
    <mergeCell ref="A341:B341"/>
    <mergeCell ref="A342:B342"/>
    <mergeCell ref="A302:B302"/>
    <mergeCell ref="A303:B303"/>
    <mergeCell ref="A304:B304"/>
    <mergeCell ref="A305:B305"/>
    <mergeCell ref="E305:E306"/>
    <mergeCell ref="A306:B306"/>
    <mergeCell ref="A307:B307"/>
    <mergeCell ref="A308:B308"/>
    <mergeCell ref="A309:B309"/>
    <mergeCell ref="A555:B555"/>
    <mergeCell ref="E555:E556"/>
    <mergeCell ref="A556:B556"/>
    <mergeCell ref="A557:B557"/>
    <mergeCell ref="A558:B558"/>
    <mergeCell ref="A559:B559"/>
    <mergeCell ref="A560:B560"/>
    <mergeCell ref="A529:B529"/>
    <mergeCell ref="A530:B530"/>
    <mergeCell ref="A531:B531"/>
    <mergeCell ref="A532:B532"/>
    <mergeCell ref="A533:B533"/>
    <mergeCell ref="A552:B552"/>
    <mergeCell ref="A553:B553"/>
    <mergeCell ref="A504:B504"/>
    <mergeCell ref="A505:B505"/>
    <mergeCell ref="A506:B506"/>
    <mergeCell ref="A525:B525"/>
    <mergeCell ref="A526:B526"/>
    <mergeCell ref="A527:B527"/>
    <mergeCell ref="A528:B528"/>
    <mergeCell ref="E528:E529"/>
    <mergeCell ref="A554:B554"/>
    <mergeCell ref="A478:B478"/>
    <mergeCell ref="A479:B479"/>
    <mergeCell ref="A498:B498"/>
    <mergeCell ref="A499:B499"/>
    <mergeCell ref="A500:B500"/>
    <mergeCell ref="A501:B501"/>
    <mergeCell ref="E501:E502"/>
    <mergeCell ref="A502:B502"/>
    <mergeCell ref="A503:B503"/>
    <mergeCell ref="A452:B452"/>
    <mergeCell ref="A471:B471"/>
    <mergeCell ref="A472:B472"/>
    <mergeCell ref="A473:B473"/>
    <mergeCell ref="E474:E475"/>
    <mergeCell ref="A474:B474"/>
    <mergeCell ref="A475:B475"/>
    <mergeCell ref="A476:B476"/>
    <mergeCell ref="A477:B477"/>
    <mergeCell ref="A444:B444"/>
    <mergeCell ref="A445:B445"/>
    <mergeCell ref="A446:B446"/>
    <mergeCell ref="A447:B447"/>
    <mergeCell ref="E447:E448"/>
    <mergeCell ref="A448:B448"/>
    <mergeCell ref="A449:B449"/>
    <mergeCell ref="A450:B450"/>
    <mergeCell ref="A451:B451"/>
    <mergeCell ref="A276:B276"/>
    <mergeCell ref="E276:E277"/>
    <mergeCell ref="A277:B277"/>
    <mergeCell ref="A278:B278"/>
    <mergeCell ref="A279:B279"/>
    <mergeCell ref="A280:B280"/>
    <mergeCell ref="A281:B281"/>
    <mergeCell ref="A250:B250"/>
    <mergeCell ref="A251:B251"/>
    <mergeCell ref="A252:B252"/>
    <mergeCell ref="A253:B253"/>
    <mergeCell ref="A254:B254"/>
    <mergeCell ref="A273:B273"/>
    <mergeCell ref="A274:B274"/>
    <mergeCell ref="A221:B221"/>
    <mergeCell ref="A222:B222"/>
    <mergeCell ref="A223:B223"/>
    <mergeCell ref="A246:B246"/>
    <mergeCell ref="A247:B247"/>
    <mergeCell ref="A248:B248"/>
    <mergeCell ref="A249:B249"/>
    <mergeCell ref="E249:E250"/>
    <mergeCell ref="A275:B275"/>
    <mergeCell ref="A195:B195"/>
    <mergeCell ref="A196:B196"/>
    <mergeCell ref="A215:B215"/>
    <mergeCell ref="A216:B216"/>
    <mergeCell ref="A217:B217"/>
    <mergeCell ref="A218:B218"/>
    <mergeCell ref="E218:E219"/>
    <mergeCell ref="A219:B219"/>
    <mergeCell ref="A220:B220"/>
    <mergeCell ref="A159:B159"/>
    <mergeCell ref="A188:B188"/>
    <mergeCell ref="A189:B189"/>
    <mergeCell ref="A190:B190"/>
    <mergeCell ref="E191:E192"/>
    <mergeCell ref="A191:B191"/>
    <mergeCell ref="A192:B192"/>
    <mergeCell ref="A193:B193"/>
    <mergeCell ref="A194:B194"/>
    <mergeCell ref="A151:B151"/>
    <mergeCell ref="A152:B152"/>
    <mergeCell ref="A153:B153"/>
    <mergeCell ref="A154:B154"/>
    <mergeCell ref="E154:E155"/>
    <mergeCell ref="A155:B155"/>
    <mergeCell ref="A156:B156"/>
    <mergeCell ref="A157:B157"/>
    <mergeCell ref="A158:B158"/>
    <mergeCell ref="A120:B120"/>
    <mergeCell ref="E120:E121"/>
    <mergeCell ref="A121:B121"/>
    <mergeCell ref="A122:B122"/>
    <mergeCell ref="A123:B123"/>
    <mergeCell ref="A124:B124"/>
    <mergeCell ref="A125:B125"/>
    <mergeCell ref="A87:B87"/>
    <mergeCell ref="A88:B88"/>
    <mergeCell ref="A89:B89"/>
    <mergeCell ref="A90:B90"/>
    <mergeCell ref="A91:B91"/>
    <mergeCell ref="A117:B117"/>
    <mergeCell ref="A118:B118"/>
    <mergeCell ref="A62:B62"/>
    <mergeCell ref="A63:B63"/>
    <mergeCell ref="A64:B64"/>
    <mergeCell ref="A83:B83"/>
    <mergeCell ref="A84:B84"/>
    <mergeCell ref="A85:B85"/>
    <mergeCell ref="A86:B86"/>
    <mergeCell ref="E86:E87"/>
    <mergeCell ref="A119:B119"/>
    <mergeCell ref="A36:B36"/>
    <mergeCell ref="A37:B37"/>
    <mergeCell ref="A56:B56"/>
    <mergeCell ref="A57:B57"/>
    <mergeCell ref="A58:B58"/>
    <mergeCell ref="A59:B59"/>
    <mergeCell ref="E59:E60"/>
    <mergeCell ref="A60:B60"/>
    <mergeCell ref="A61:B61"/>
    <mergeCell ref="A10:B10"/>
    <mergeCell ref="A29:B29"/>
    <mergeCell ref="A30:B30"/>
    <mergeCell ref="A31:B31"/>
    <mergeCell ref="E32:E33"/>
    <mergeCell ref="A32:B32"/>
    <mergeCell ref="A33:B33"/>
    <mergeCell ref="A34:B34"/>
    <mergeCell ref="A35:B35"/>
    <mergeCell ref="A2:B2"/>
    <mergeCell ref="A3:B3"/>
    <mergeCell ref="A4:B4"/>
    <mergeCell ref="A5:B5"/>
    <mergeCell ref="E5:E6"/>
    <mergeCell ref="A6:B6"/>
    <mergeCell ref="A7:B7"/>
    <mergeCell ref="A8:B8"/>
    <mergeCell ref="A9:B9"/>
  </mergeCells>
  <dataValidations count="1">
    <dataValidation type="list" allowBlank="1" showErrorMessage="1" sqref="F13:F22 F40:F49 F67:F76 F94:F110 F128:F144 F162:F181 F199:F208 F226:F239 F257:F266 F284:F295 F313:F329 F347:F356 F374:F383 F401:F410 F428:F437 F455:F464 F482:F491 F509:F518 F536:F545 F563:F572" xr:uid="{00000000-0002-0000-0300-000000000000}">
      <formula1>"Y,N,-"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006"/>
  <sheetViews>
    <sheetView workbookViewId="0"/>
  </sheetViews>
  <sheetFormatPr defaultColWidth="12.5703125" defaultRowHeight="15.75" customHeight="1" x14ac:dyDescent="0.2"/>
  <cols>
    <col min="1" max="1" width="9.42578125" customWidth="1"/>
    <col min="2" max="2" width="20.42578125" customWidth="1"/>
    <col min="3" max="3" width="16.42578125" customWidth="1"/>
    <col min="4" max="4" width="16.140625" customWidth="1"/>
    <col min="6" max="6" width="16.42578125" customWidth="1"/>
    <col min="10" max="10" width="29.85546875" customWidth="1"/>
    <col min="14" max="14" width="15.42578125" customWidth="1"/>
    <col min="16" max="16" width="15.7109375" customWidth="1"/>
    <col min="18" max="18" width="16.28515625" customWidth="1"/>
    <col min="20" max="20" width="16.28515625" customWidth="1"/>
    <col min="22" max="22" width="16" customWidth="1"/>
    <col min="24" max="24" width="15.42578125" customWidth="1"/>
    <col min="26" max="26" width="15.5703125" customWidth="1"/>
    <col min="28" max="28" width="14.140625" customWidth="1"/>
    <col min="30" max="30" width="14.5703125" customWidth="1"/>
    <col min="32" max="32" width="13.42578125" customWidth="1"/>
  </cols>
  <sheetData>
    <row r="1" spans="1:33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x14ac:dyDescent="0.2">
      <c r="A2" s="256">
        <v>1</v>
      </c>
      <c r="B2" s="257"/>
      <c r="C2" s="114" t="s">
        <v>270</v>
      </c>
      <c r="D2" s="31"/>
      <c r="E2" s="31"/>
      <c r="F2" s="31"/>
      <c r="G2" s="31"/>
      <c r="H2" s="32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x14ac:dyDescent="0.2">
      <c r="A3" s="265" t="s">
        <v>7</v>
      </c>
      <c r="B3" s="259"/>
      <c r="C3" s="33">
        <v>10000</v>
      </c>
      <c r="D3" s="34" t="s">
        <v>342</v>
      </c>
      <c r="E3" s="35"/>
      <c r="F3" s="35"/>
      <c r="G3" s="35"/>
      <c r="H3" s="36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x14ac:dyDescent="0.2">
      <c r="A4" s="265" t="s">
        <v>8</v>
      </c>
      <c r="B4" s="259"/>
      <c r="C4" s="112">
        <v>45673</v>
      </c>
      <c r="D4" s="35"/>
      <c r="E4" s="38"/>
      <c r="F4" s="38"/>
      <c r="G4" s="38"/>
      <c r="H4" s="39" t="s">
        <v>10</v>
      </c>
      <c r="I4" s="30"/>
      <c r="J4" s="47" t="s">
        <v>11</v>
      </c>
      <c r="K4" s="81" t="s">
        <v>12</v>
      </c>
      <c r="L4" s="81" t="s">
        <v>10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">
      <c r="A5" s="265" t="s">
        <v>103</v>
      </c>
      <c r="B5" s="259"/>
      <c r="C5" s="43">
        <v>2000</v>
      </c>
      <c r="D5" s="44"/>
      <c r="E5" s="266" t="s">
        <v>14</v>
      </c>
      <c r="F5" s="45" t="s">
        <v>15</v>
      </c>
      <c r="G5" s="43">
        <v>10000</v>
      </c>
      <c r="H5" s="46"/>
      <c r="I5" s="30"/>
      <c r="J5" s="47" t="s">
        <v>16</v>
      </c>
      <c r="K5" s="48">
        <f>SUM(G5,G32,G59,G86,G117,G146,G173,G200,G227)</f>
        <v>39650</v>
      </c>
      <c r="L5" s="1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s="265" t="s">
        <v>17</v>
      </c>
      <c r="B6" s="259"/>
      <c r="C6" s="43">
        <v>1</v>
      </c>
      <c r="D6" s="44"/>
      <c r="E6" s="261"/>
      <c r="F6" s="45" t="s">
        <v>18</v>
      </c>
      <c r="G6" s="43">
        <v>0</v>
      </c>
      <c r="H6" s="46"/>
      <c r="I6" s="30"/>
      <c r="J6" s="47" t="s">
        <v>19</v>
      </c>
      <c r="K6" s="50"/>
      <c r="L6" s="1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">
      <c r="A7" s="265" t="s">
        <v>20</v>
      </c>
      <c r="B7" s="259"/>
      <c r="C7" s="43">
        <f>C5*C6</f>
        <v>2000</v>
      </c>
      <c r="D7" s="35"/>
      <c r="E7" s="54"/>
      <c r="F7" s="35"/>
      <c r="G7" s="44"/>
      <c r="H7" s="36"/>
      <c r="I7" s="30"/>
      <c r="J7" s="47" t="s">
        <v>21</v>
      </c>
      <c r="K7" s="50">
        <f>SUM(C8,C35,C62,C89,C120,C149,C176,C203,C230)</f>
        <v>148000</v>
      </c>
      <c r="L7" s="1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x14ac:dyDescent="0.2">
      <c r="A8" s="265" t="s">
        <v>22</v>
      </c>
      <c r="B8" s="259"/>
      <c r="C8" s="33">
        <f>C3+C7</f>
        <v>12000</v>
      </c>
      <c r="D8" s="35"/>
      <c r="E8" s="35"/>
      <c r="F8" s="35"/>
      <c r="G8" s="35"/>
      <c r="H8" s="36"/>
      <c r="I8" s="30"/>
      <c r="J8" s="47" t="s">
        <v>23</v>
      </c>
      <c r="K8" s="50">
        <f>K7-SUM(F23,F50,F77,F108,F137,F164,F191,F218,F245)</f>
        <v>69550</v>
      </c>
      <c r="L8" s="1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">
      <c r="A9" s="265" t="s">
        <v>144</v>
      </c>
      <c r="B9" s="259"/>
      <c r="C9" s="116">
        <v>6000</v>
      </c>
      <c r="D9" s="35"/>
      <c r="E9" s="35"/>
      <c r="F9" s="35"/>
      <c r="G9" s="35"/>
      <c r="H9" s="36"/>
      <c r="I9" s="30"/>
      <c r="J9" s="47" t="s">
        <v>27</v>
      </c>
      <c r="K9" s="50">
        <f>SUM(G6,G33,G60,G87,G118,G147,G174,G201,G228)</f>
        <v>70350</v>
      </c>
      <c r="L9" s="1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x14ac:dyDescent="0.2">
      <c r="A10" s="265" t="s">
        <v>28</v>
      </c>
      <c r="B10" s="259"/>
      <c r="C10" s="58" t="s">
        <v>188</v>
      </c>
      <c r="D10" s="35"/>
      <c r="E10" s="35"/>
      <c r="F10" s="35"/>
      <c r="G10" s="35"/>
      <c r="H10" s="36"/>
      <c r="I10" s="30"/>
      <c r="J10" s="59" t="s">
        <v>30</v>
      </c>
      <c r="K10" s="60">
        <f>K7-K8-K9</f>
        <v>8100</v>
      </c>
      <c r="L10" s="49"/>
      <c r="M10" s="30"/>
      <c r="N10" s="30"/>
      <c r="O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">
      <c r="A11" s="62" t="s">
        <v>31</v>
      </c>
      <c r="B11" s="63" t="s">
        <v>106</v>
      </c>
      <c r="C11" s="45" t="s">
        <v>33</v>
      </c>
      <c r="D11" s="45" t="s">
        <v>34</v>
      </c>
      <c r="E11" s="45" t="s">
        <v>35</v>
      </c>
      <c r="F11" s="45" t="s">
        <v>36</v>
      </c>
      <c r="G11" s="45" t="s">
        <v>37</v>
      </c>
      <c r="H11" s="36"/>
      <c r="I11" s="30"/>
      <c r="J11" s="47" t="s">
        <v>38</v>
      </c>
      <c r="K11" s="64" t="e">
        <f ca="1">MINUS(K8,K5)</f>
        <v>#NAME?</v>
      </c>
      <c r="L11" s="130"/>
      <c r="M11" s="30"/>
      <c r="N11" s="30"/>
      <c r="O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x14ac:dyDescent="0.2">
      <c r="A12" s="62">
        <v>0</v>
      </c>
      <c r="B12" s="65"/>
      <c r="C12" s="65"/>
      <c r="D12" s="65"/>
      <c r="E12" s="65"/>
      <c r="F12" s="65"/>
      <c r="G12" s="43">
        <f>C8</f>
        <v>12000</v>
      </c>
      <c r="H12" s="36"/>
      <c r="I12" s="30"/>
      <c r="J12" s="47" t="s">
        <v>39</v>
      </c>
      <c r="K12" s="64">
        <f>SUM(E23,E50,E77,E108,E137,E164,E191,E218,E245)</f>
        <v>20628.571428571428</v>
      </c>
      <c r="L12" s="130"/>
      <c r="M12" s="30"/>
      <c r="N12" s="30"/>
      <c r="O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x14ac:dyDescent="0.2">
      <c r="A13" s="62">
        <v>1</v>
      </c>
      <c r="B13" s="100">
        <v>45689</v>
      </c>
      <c r="C13" s="43">
        <v>6000</v>
      </c>
      <c r="D13" s="43">
        <v>5000</v>
      </c>
      <c r="E13" s="43">
        <v>1000</v>
      </c>
      <c r="F13" s="43" t="s">
        <v>41</v>
      </c>
      <c r="G13" s="43">
        <f t="shared" ref="G13:G14" si="0">(G12-C13)</f>
        <v>6000</v>
      </c>
      <c r="H13" s="36"/>
      <c r="I13" s="30"/>
      <c r="J13" s="47" t="s">
        <v>42</v>
      </c>
      <c r="K13" s="64"/>
      <c r="L13" s="130"/>
      <c r="M13" s="153">
        <f>SUM(O13:O15)</f>
        <v>7250</v>
      </c>
      <c r="N13" s="68" t="s">
        <v>43</v>
      </c>
      <c r="O13" s="253">
        <v>2500</v>
      </c>
      <c r="P13" s="70" t="s">
        <v>44</v>
      </c>
      <c r="Q13" s="254">
        <f>SUM(C43,C68,C94)</f>
        <v>4000</v>
      </c>
      <c r="R13" s="70" t="s">
        <v>223</v>
      </c>
      <c r="S13" s="253">
        <f>SUM(C44,C69,C95)</f>
        <v>4250</v>
      </c>
      <c r="T13" s="70" t="s">
        <v>224</v>
      </c>
      <c r="U13" s="253">
        <v>5500</v>
      </c>
      <c r="V13" s="70" t="s">
        <v>225</v>
      </c>
      <c r="W13" s="253">
        <f>SUM(C46,C71,C97,C126)</f>
        <v>5250</v>
      </c>
      <c r="X13" s="70" t="s">
        <v>226</v>
      </c>
      <c r="Y13" s="253">
        <f>SUM(C72,C98,C127,C154)</f>
        <v>5150</v>
      </c>
      <c r="Z13" s="70" t="s">
        <v>49</v>
      </c>
      <c r="AA13" s="71">
        <f>SUM(C73,C99,C128,C155,C181)</f>
        <v>6400</v>
      </c>
      <c r="AB13" s="70" t="s">
        <v>50</v>
      </c>
      <c r="AC13" s="71">
        <f>SUM(C74,C100,C129,C156,C182)</f>
        <v>6400</v>
      </c>
      <c r="AD13" s="70" t="s">
        <v>51</v>
      </c>
      <c r="AE13" s="71">
        <f>SUM(C101,C130,C157,C183,C208)</f>
        <v>3900</v>
      </c>
      <c r="AF13" s="70" t="s">
        <v>52</v>
      </c>
      <c r="AG13" s="71">
        <f>SUM(C102,C131,C158,C184,C209)</f>
        <v>4500</v>
      </c>
    </row>
    <row r="14" spans="1:33" x14ac:dyDescent="0.2">
      <c r="A14" s="62">
        <v>2</v>
      </c>
      <c r="B14" s="100">
        <v>45705</v>
      </c>
      <c r="C14" s="43">
        <v>6000</v>
      </c>
      <c r="D14" s="43">
        <v>5000</v>
      </c>
      <c r="E14" s="43">
        <v>1000</v>
      </c>
      <c r="F14" s="43" t="s">
        <v>41</v>
      </c>
      <c r="G14" s="43">
        <f t="shared" si="0"/>
        <v>0</v>
      </c>
      <c r="H14" s="36"/>
      <c r="I14" s="30"/>
      <c r="J14" s="47" t="s">
        <v>54</v>
      </c>
      <c r="K14" s="50"/>
      <c r="L14" s="130"/>
      <c r="M14" s="66"/>
      <c r="N14" s="74" t="s">
        <v>55</v>
      </c>
      <c r="O14" s="75">
        <v>1750</v>
      </c>
      <c r="P14" s="76" t="s">
        <v>56</v>
      </c>
      <c r="Q14" s="255">
        <v>0</v>
      </c>
      <c r="R14" s="76" t="s">
        <v>57</v>
      </c>
      <c r="S14" s="75">
        <v>4000</v>
      </c>
      <c r="T14" s="76" t="s">
        <v>58</v>
      </c>
      <c r="U14" s="75">
        <v>0</v>
      </c>
      <c r="V14" s="76" t="s">
        <v>59</v>
      </c>
      <c r="W14" s="75">
        <v>5500</v>
      </c>
      <c r="X14" s="76" t="s">
        <v>60</v>
      </c>
      <c r="Y14" s="75">
        <v>250</v>
      </c>
      <c r="Z14" s="76" t="s">
        <v>61</v>
      </c>
      <c r="AA14" s="75">
        <v>2400</v>
      </c>
      <c r="AB14" s="76" t="s">
        <v>62</v>
      </c>
      <c r="AC14" s="75">
        <v>8800</v>
      </c>
      <c r="AD14" s="76" t="s">
        <v>63</v>
      </c>
      <c r="AE14" s="75">
        <v>3700</v>
      </c>
      <c r="AF14" s="76" t="s">
        <v>64</v>
      </c>
      <c r="AG14" s="75">
        <v>7600</v>
      </c>
    </row>
    <row r="15" spans="1:33" x14ac:dyDescent="0.2">
      <c r="A15" s="62">
        <v>3</v>
      </c>
      <c r="B15" s="113"/>
      <c r="C15" s="65"/>
      <c r="D15" s="65"/>
      <c r="E15" s="65"/>
      <c r="F15" s="43" t="s">
        <v>107</v>
      </c>
      <c r="G15" s="65"/>
      <c r="H15" s="36"/>
      <c r="I15" s="30"/>
      <c r="J15" s="30"/>
      <c r="K15" s="30"/>
      <c r="L15" s="30"/>
      <c r="M15" s="66"/>
      <c r="N15" s="74" t="s">
        <v>343</v>
      </c>
      <c r="O15" s="75">
        <v>3000</v>
      </c>
      <c r="P15" s="76"/>
      <c r="Q15" s="255"/>
      <c r="R15" s="74"/>
      <c r="S15" s="75"/>
      <c r="T15" s="74"/>
      <c r="U15" s="75"/>
      <c r="V15" s="74"/>
      <c r="W15" s="75"/>
      <c r="X15" s="74" t="s">
        <v>344</v>
      </c>
      <c r="Y15" s="75">
        <v>7000</v>
      </c>
      <c r="Z15" s="74"/>
      <c r="AA15" s="75"/>
      <c r="AB15" s="74"/>
      <c r="AC15" s="75"/>
      <c r="AD15" s="74"/>
      <c r="AE15" s="75"/>
      <c r="AF15" s="74"/>
      <c r="AG15" s="75"/>
    </row>
    <row r="16" spans="1:33" x14ac:dyDescent="0.2">
      <c r="A16" s="62">
        <v>4</v>
      </c>
      <c r="B16" s="113"/>
      <c r="C16" s="65"/>
      <c r="D16" s="65"/>
      <c r="E16" s="65"/>
      <c r="F16" s="43" t="s">
        <v>107</v>
      </c>
      <c r="G16" s="65"/>
      <c r="H16" s="36"/>
      <c r="I16" s="30"/>
      <c r="J16" s="56"/>
      <c r="K16" s="30"/>
      <c r="L16" s="30"/>
      <c r="M16" s="66"/>
      <c r="N16" s="74"/>
      <c r="O16" s="75"/>
      <c r="P16" s="74"/>
      <c r="Q16" s="75"/>
      <c r="R16" s="74"/>
      <c r="S16" s="75"/>
      <c r="T16" s="74"/>
      <c r="U16" s="75"/>
      <c r="V16" s="74" t="s">
        <v>345</v>
      </c>
      <c r="W16" s="75">
        <v>4500</v>
      </c>
      <c r="X16" s="74"/>
      <c r="Y16" s="75"/>
      <c r="Z16" s="74"/>
      <c r="AA16" s="75"/>
      <c r="AB16" s="74" t="s">
        <v>346</v>
      </c>
      <c r="AC16" s="75">
        <v>3500</v>
      </c>
      <c r="AD16" s="74"/>
      <c r="AE16" s="75"/>
      <c r="AF16" s="74"/>
      <c r="AG16" s="75"/>
    </row>
    <row r="17" spans="1:33" x14ac:dyDescent="0.2">
      <c r="A17" s="62">
        <v>5</v>
      </c>
      <c r="B17" s="106"/>
      <c r="C17" s="65"/>
      <c r="D17" s="65"/>
      <c r="E17" s="65"/>
      <c r="F17" s="43" t="s">
        <v>107</v>
      </c>
      <c r="G17" s="65"/>
      <c r="H17" s="36"/>
      <c r="I17" s="30"/>
      <c r="J17" s="30"/>
      <c r="K17" s="30"/>
      <c r="L17" s="30"/>
      <c r="M17" s="66"/>
      <c r="N17" s="77" t="s">
        <v>325</v>
      </c>
      <c r="O17" s="78"/>
      <c r="P17" s="77" t="s">
        <v>325</v>
      </c>
      <c r="Q17" s="78"/>
      <c r="R17" s="77" t="s">
        <v>325</v>
      </c>
      <c r="S17" s="78"/>
      <c r="T17" s="77" t="s">
        <v>325</v>
      </c>
      <c r="U17" s="78"/>
      <c r="V17" s="77" t="s">
        <v>325</v>
      </c>
      <c r="W17" s="78">
        <f>SUM(W13:W16)</f>
        <v>15250</v>
      </c>
      <c r="X17" s="77" t="s">
        <v>325</v>
      </c>
      <c r="Y17" s="78">
        <f>SUM(Y13:Y16)</f>
        <v>12400</v>
      </c>
      <c r="Z17" s="77" t="s">
        <v>325</v>
      </c>
      <c r="AA17" s="78">
        <f>SUM(AA13:AA16)</f>
        <v>8800</v>
      </c>
      <c r="AB17" s="77" t="s">
        <v>325</v>
      </c>
      <c r="AC17" s="78">
        <f>SUM(AC13:AC16)</f>
        <v>18700</v>
      </c>
      <c r="AD17" s="77" t="s">
        <v>325</v>
      </c>
      <c r="AE17" s="78">
        <f>SUM(AE13:AE16)</f>
        <v>7600</v>
      </c>
      <c r="AF17" s="77" t="s">
        <v>325</v>
      </c>
      <c r="AG17" s="78">
        <f>SUM(AG13:AG16)</f>
        <v>12100</v>
      </c>
    </row>
    <row r="18" spans="1:33" x14ac:dyDescent="0.2">
      <c r="A18" s="62">
        <v>6</v>
      </c>
      <c r="B18" s="106"/>
      <c r="C18" s="65"/>
      <c r="D18" s="65"/>
      <c r="E18" s="65"/>
      <c r="F18" s="43" t="s">
        <v>107</v>
      </c>
      <c r="G18" s="65"/>
      <c r="H18" s="36"/>
      <c r="I18" s="30"/>
      <c r="J18" s="80"/>
      <c r="K18" s="30"/>
      <c r="L18" s="30"/>
      <c r="M18" s="30"/>
      <c r="N18" s="30"/>
      <c r="O18" s="30">
        <f>1500+1000+1000</f>
        <v>3500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x14ac:dyDescent="0.2">
      <c r="A19" s="62">
        <v>7</v>
      </c>
      <c r="B19" s="106"/>
      <c r="C19" s="65"/>
      <c r="D19" s="65"/>
      <c r="E19" s="65"/>
      <c r="F19" s="43" t="s">
        <v>107</v>
      </c>
      <c r="G19" s="65"/>
      <c r="H19" s="36"/>
      <c r="I19" s="30"/>
      <c r="J19" s="30"/>
      <c r="K19" s="48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x14ac:dyDescent="0.2">
      <c r="A20" s="62">
        <v>8</v>
      </c>
      <c r="B20" s="106"/>
      <c r="C20" s="65"/>
      <c r="D20" s="65"/>
      <c r="E20" s="65"/>
      <c r="F20" s="43" t="s">
        <v>107</v>
      </c>
      <c r="G20" s="65"/>
      <c r="H20" s="36"/>
      <c r="I20" s="30"/>
      <c r="J20" s="30"/>
      <c r="K20" s="199"/>
      <c r="L20" s="152"/>
      <c r="M20" s="30"/>
      <c r="N20" s="70" t="s">
        <v>77</v>
      </c>
      <c r="O20" s="72">
        <f>SUM(C103,C132,C159,C185,C210,C235)</f>
        <v>8100</v>
      </c>
      <c r="P20" s="70" t="s">
        <v>78</v>
      </c>
      <c r="Q20" s="72">
        <f>SUM(C104,C133,C160,C186,C211,C236)</f>
        <v>8100</v>
      </c>
      <c r="R20" s="70"/>
      <c r="S20" s="72"/>
      <c r="T20" s="70"/>
      <c r="U20" s="72"/>
      <c r="V20" s="70"/>
      <c r="W20" s="72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x14ac:dyDescent="0.2">
      <c r="A21" s="105"/>
      <c r="B21" s="106"/>
      <c r="C21" s="65"/>
      <c r="D21" s="65"/>
      <c r="E21" s="65"/>
      <c r="F21" s="65"/>
      <c r="G21" s="65"/>
      <c r="H21" s="36"/>
      <c r="I21" s="30"/>
      <c r="J21" s="30"/>
      <c r="K21" s="122"/>
      <c r="L21" s="66"/>
      <c r="M21" s="30"/>
      <c r="N21" s="76" t="s">
        <v>237</v>
      </c>
      <c r="O21" s="75">
        <v>0</v>
      </c>
      <c r="P21" s="76" t="s">
        <v>84</v>
      </c>
      <c r="Q21" s="75">
        <v>8100</v>
      </c>
      <c r="R21" s="76"/>
      <c r="S21" s="75"/>
      <c r="T21" s="76"/>
      <c r="U21" s="75"/>
      <c r="V21" s="76"/>
      <c r="W21" s="75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x14ac:dyDescent="0.2">
      <c r="A22" s="105"/>
      <c r="B22" s="106"/>
      <c r="C22" s="65"/>
      <c r="D22" s="65"/>
      <c r="E22" s="65"/>
      <c r="F22" s="65"/>
      <c r="G22" s="65"/>
      <c r="H22" s="36"/>
      <c r="I22" s="30"/>
      <c r="J22" s="30"/>
      <c r="K22" s="122"/>
      <c r="L22" s="30"/>
      <c r="M22" s="30"/>
      <c r="N22" s="74"/>
      <c r="O22" s="75"/>
      <c r="P22" s="74"/>
      <c r="Q22" s="75"/>
      <c r="R22" s="74"/>
      <c r="S22" s="75"/>
      <c r="T22" s="74"/>
      <c r="U22" s="75"/>
      <c r="V22" s="74"/>
      <c r="W22" s="75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x14ac:dyDescent="0.2">
      <c r="A23" s="89"/>
      <c r="B23" s="90"/>
      <c r="C23" s="91"/>
      <c r="D23" s="92">
        <f>SUMIFS(D13:D22, F13:F22, "Y")</f>
        <v>10000</v>
      </c>
      <c r="E23" s="92">
        <f>SUMIFS(E13:E22, F13:F22, "Y")</f>
        <v>2000</v>
      </c>
      <c r="F23" s="92">
        <f>(SUMIFS(D13:D22, F13:F22, "Y") + SUMIFS(E13:E22, F13:F22, "Y"))</f>
        <v>12000</v>
      </c>
      <c r="G23" s="91"/>
      <c r="H23" s="93"/>
      <c r="I23" s="30"/>
      <c r="J23" s="53"/>
      <c r="K23" s="249"/>
      <c r="L23" s="30"/>
      <c r="M23" s="30"/>
      <c r="N23" s="74"/>
      <c r="O23" s="75"/>
      <c r="P23" s="74"/>
      <c r="Q23" s="75"/>
      <c r="R23" s="74"/>
      <c r="S23" s="75"/>
      <c r="T23" s="74"/>
      <c r="U23" s="75"/>
      <c r="V23" s="74"/>
      <c r="W23" s="75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">
      <c r="A24" s="30"/>
      <c r="B24" s="30"/>
      <c r="C24" s="30"/>
      <c r="D24" s="30"/>
      <c r="E24" s="30"/>
      <c r="F24" s="30"/>
      <c r="G24" s="30"/>
      <c r="H24" s="30"/>
      <c r="I24" s="30"/>
      <c r="J24" s="53"/>
      <c r="K24" s="30"/>
      <c r="L24" s="30"/>
      <c r="M24" s="30"/>
      <c r="N24" s="77" t="s">
        <v>72</v>
      </c>
      <c r="O24" s="78">
        <f>SUM(O20:O23)</f>
        <v>8100</v>
      </c>
      <c r="P24" s="77" t="s">
        <v>72</v>
      </c>
      <c r="Q24" s="78">
        <f>SUM(Q20:Q23)</f>
        <v>16200</v>
      </c>
      <c r="R24" s="77" t="s">
        <v>72</v>
      </c>
      <c r="S24" s="78">
        <f>SUM(S20:S23)</f>
        <v>0</v>
      </c>
      <c r="T24" s="77" t="s">
        <v>72</v>
      </c>
      <c r="U24" s="78">
        <f>SUM(U20:U23)</f>
        <v>0</v>
      </c>
      <c r="V24" s="77" t="s">
        <v>72</v>
      </c>
      <c r="W24" s="78">
        <f>SUM(W20:W23)</f>
        <v>0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x14ac:dyDescent="0.2">
      <c r="A25" s="30"/>
      <c r="B25" s="30"/>
      <c r="C25" s="30"/>
      <c r="D25" s="30"/>
      <c r="E25" s="30"/>
      <c r="F25" s="30"/>
      <c r="G25" s="30"/>
      <c r="H25" s="30"/>
      <c r="I25" s="30"/>
      <c r="J25" s="8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48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199"/>
      <c r="L27" s="30"/>
      <c r="M27" s="30"/>
      <c r="N27" s="70"/>
      <c r="O27" s="72"/>
      <c r="P27" s="70"/>
      <c r="Q27" s="72"/>
      <c r="R27" s="70"/>
      <c r="S27" s="72"/>
      <c r="T27" s="70"/>
      <c r="U27" s="72"/>
      <c r="V27" s="70"/>
      <c r="W27" s="72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122"/>
      <c r="L28" s="30"/>
      <c r="M28" s="30"/>
      <c r="N28" s="76"/>
      <c r="O28" s="75"/>
      <c r="P28" s="76"/>
      <c r="Q28" s="75">
        <v>0</v>
      </c>
      <c r="R28" s="76"/>
      <c r="S28" s="75"/>
      <c r="T28" s="76"/>
      <c r="U28" s="75"/>
      <c r="V28" s="76"/>
      <c r="W28" s="75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x14ac:dyDescent="0.2">
      <c r="A29" s="256">
        <v>2</v>
      </c>
      <c r="B29" s="257"/>
      <c r="C29" s="31"/>
      <c r="D29" s="31"/>
      <c r="E29" s="31"/>
      <c r="F29" s="31"/>
      <c r="G29" s="31"/>
      <c r="H29" s="32"/>
      <c r="I29" s="30"/>
      <c r="K29" s="122"/>
      <c r="L29" s="30"/>
      <c r="M29" s="30"/>
      <c r="N29" s="74"/>
      <c r="O29" s="75"/>
      <c r="P29" s="74"/>
      <c r="Q29" s="75"/>
      <c r="R29" s="74"/>
      <c r="S29" s="75"/>
      <c r="T29" s="74"/>
      <c r="U29" s="75"/>
      <c r="V29" s="74"/>
      <c r="W29" s="75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x14ac:dyDescent="0.2">
      <c r="A30" s="265" t="s">
        <v>7</v>
      </c>
      <c r="B30" s="259"/>
      <c r="C30" s="65">
        <v>10000</v>
      </c>
      <c r="D30" s="35"/>
      <c r="E30" s="35"/>
      <c r="F30" s="35"/>
      <c r="G30" s="35"/>
      <c r="H30" s="36"/>
      <c r="I30" s="30"/>
      <c r="K30" s="30"/>
      <c r="L30" s="30"/>
      <c r="M30" s="30"/>
      <c r="N30" s="74"/>
      <c r="O30" s="75"/>
      <c r="P30" s="74"/>
      <c r="Q30" s="75"/>
      <c r="R30" s="74"/>
      <c r="S30" s="75"/>
      <c r="T30" s="74"/>
      <c r="U30" s="75"/>
      <c r="V30" s="74"/>
      <c r="W30" s="75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x14ac:dyDescent="0.2">
      <c r="A31" s="265" t="s">
        <v>8</v>
      </c>
      <c r="B31" s="259"/>
      <c r="C31" s="113">
        <v>45693</v>
      </c>
      <c r="D31" s="35"/>
      <c r="E31" s="38"/>
      <c r="F31" s="38"/>
      <c r="G31" s="38"/>
      <c r="H31" s="39" t="s">
        <v>10</v>
      </c>
      <c r="I31" s="30"/>
      <c r="K31" s="30"/>
      <c r="L31" s="30"/>
      <c r="M31" s="30"/>
      <c r="N31" s="77" t="s">
        <v>72</v>
      </c>
      <c r="O31" s="78">
        <f>SUM(O27:O30)</f>
        <v>0</v>
      </c>
      <c r="P31" s="77" t="s">
        <v>72</v>
      </c>
      <c r="Q31" s="78">
        <f>SUM(Q27:Q30)</f>
        <v>0</v>
      </c>
      <c r="R31" s="77" t="s">
        <v>72</v>
      </c>
      <c r="S31" s="78">
        <f>SUM(S27:S30)</f>
        <v>0</v>
      </c>
      <c r="T31" s="77" t="s">
        <v>72</v>
      </c>
      <c r="U31" s="78">
        <f>SUM(U27:U30)</f>
        <v>0</v>
      </c>
      <c r="V31" s="77" t="s">
        <v>72</v>
      </c>
      <c r="W31" s="78">
        <f>SUM(W27:W30)</f>
        <v>0</v>
      </c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x14ac:dyDescent="0.2">
      <c r="A32" s="265" t="s">
        <v>103</v>
      </c>
      <c r="B32" s="259"/>
      <c r="C32" s="65">
        <v>2000</v>
      </c>
      <c r="D32" s="44"/>
      <c r="E32" s="266" t="s">
        <v>14</v>
      </c>
      <c r="F32" s="45" t="s">
        <v>15</v>
      </c>
      <c r="G32" s="65">
        <v>7000</v>
      </c>
      <c r="H32" s="46"/>
      <c r="I32" s="30"/>
      <c r="K32" s="48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x14ac:dyDescent="0.2">
      <c r="A33" s="265" t="s">
        <v>17</v>
      </c>
      <c r="B33" s="259"/>
      <c r="C33" s="43">
        <v>2</v>
      </c>
      <c r="D33" s="44"/>
      <c r="E33" s="261"/>
      <c r="F33" s="45" t="s">
        <v>18</v>
      </c>
      <c r="G33" s="43">
        <v>3000</v>
      </c>
      <c r="H33" s="46"/>
      <c r="I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">
      <c r="A34" s="265" t="s">
        <v>20</v>
      </c>
      <c r="B34" s="259"/>
      <c r="C34" s="43">
        <f>C32*C33</f>
        <v>4000</v>
      </c>
      <c r="D34" s="35"/>
      <c r="E34" s="54"/>
      <c r="F34" s="35"/>
      <c r="G34" s="44"/>
      <c r="H34" s="36"/>
      <c r="I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x14ac:dyDescent="0.2">
      <c r="A35" s="265" t="s">
        <v>22</v>
      </c>
      <c r="B35" s="259"/>
      <c r="C35" s="33">
        <f>C30+C34</f>
        <v>14000</v>
      </c>
      <c r="D35" s="35"/>
      <c r="E35" s="35"/>
      <c r="F35" s="35"/>
      <c r="G35" s="35"/>
      <c r="H35" s="36"/>
      <c r="I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x14ac:dyDescent="0.2">
      <c r="A36" s="265" t="s">
        <v>24</v>
      </c>
      <c r="B36" s="259"/>
      <c r="C36" s="57">
        <v>250</v>
      </c>
      <c r="D36" s="35" t="s">
        <v>347</v>
      </c>
      <c r="E36" s="35"/>
      <c r="F36" s="35"/>
      <c r="G36" s="35"/>
      <c r="H36" s="36"/>
      <c r="I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2">
      <c r="A37" s="265" t="s">
        <v>28</v>
      </c>
      <c r="B37" s="259"/>
      <c r="C37" s="58" t="s">
        <v>29</v>
      </c>
      <c r="D37" s="35"/>
      <c r="E37" s="35"/>
      <c r="F37" s="35"/>
      <c r="G37" s="35"/>
      <c r="H37" s="36"/>
      <c r="I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">
      <c r="A38" s="62" t="s">
        <v>31</v>
      </c>
      <c r="B38" s="63" t="s">
        <v>106</v>
      </c>
      <c r="C38" s="45" t="s">
        <v>33</v>
      </c>
      <c r="D38" s="45" t="s">
        <v>34</v>
      </c>
      <c r="E38" s="45" t="s">
        <v>35</v>
      </c>
      <c r="F38" s="45" t="s">
        <v>36</v>
      </c>
      <c r="G38" s="45" t="s">
        <v>37</v>
      </c>
      <c r="H38" s="36"/>
      <c r="I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x14ac:dyDescent="0.2">
      <c r="A39" s="62">
        <v>0</v>
      </c>
      <c r="B39" s="65"/>
      <c r="C39" s="65"/>
      <c r="D39" s="65"/>
      <c r="E39" s="65"/>
      <c r="F39" s="65"/>
      <c r="G39" s="43">
        <f>C35</f>
        <v>14000</v>
      </c>
      <c r="H39" s="36"/>
      <c r="I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2">
      <c r="A40" s="62">
        <v>1</v>
      </c>
      <c r="B40" s="100">
        <v>45698</v>
      </c>
      <c r="C40" s="65">
        <v>750</v>
      </c>
      <c r="D40" s="65">
        <f t="shared" ref="D40:D49" si="1">C40/1.4</f>
        <v>535.71428571428578</v>
      </c>
      <c r="E40" s="65">
        <f t="shared" ref="E40:E49" si="2">C40-D40</f>
        <v>214.28571428571422</v>
      </c>
      <c r="F40" s="43" t="s">
        <v>41</v>
      </c>
      <c r="G40" s="43">
        <f t="shared" ref="G40:G49" si="3">(G39-C40)</f>
        <v>13250</v>
      </c>
      <c r="H40" s="36"/>
      <c r="I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x14ac:dyDescent="0.2">
      <c r="A41" s="62">
        <v>2</v>
      </c>
      <c r="B41" s="100">
        <v>45705</v>
      </c>
      <c r="C41" s="65">
        <v>1750</v>
      </c>
      <c r="D41" s="65">
        <f t="shared" si="1"/>
        <v>1250</v>
      </c>
      <c r="E41" s="65">
        <f t="shared" si="2"/>
        <v>500</v>
      </c>
      <c r="F41" s="43" t="s">
        <v>41</v>
      </c>
      <c r="G41" s="43">
        <f t="shared" si="3"/>
        <v>11500</v>
      </c>
      <c r="H41" s="36"/>
      <c r="I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">
      <c r="A42" s="62">
        <v>3</v>
      </c>
      <c r="B42" s="100">
        <v>45712</v>
      </c>
      <c r="C42" s="65">
        <v>1500</v>
      </c>
      <c r="D42" s="65">
        <f t="shared" si="1"/>
        <v>1071.4285714285716</v>
      </c>
      <c r="E42" s="65">
        <f t="shared" si="2"/>
        <v>428.57142857142844</v>
      </c>
      <c r="F42" s="43" t="s">
        <v>41</v>
      </c>
      <c r="G42" s="43">
        <f t="shared" si="3"/>
        <v>10000</v>
      </c>
      <c r="H42" s="36"/>
      <c r="I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">
      <c r="A43" s="62">
        <v>4</v>
      </c>
      <c r="B43" s="100">
        <v>45719</v>
      </c>
      <c r="C43" s="65">
        <v>1500</v>
      </c>
      <c r="D43" s="65">
        <f t="shared" si="1"/>
        <v>1071.4285714285716</v>
      </c>
      <c r="E43" s="65">
        <f t="shared" si="2"/>
        <v>428.57142857142844</v>
      </c>
      <c r="F43" s="43" t="s">
        <v>41</v>
      </c>
      <c r="G43" s="43">
        <f t="shared" si="3"/>
        <v>8500</v>
      </c>
      <c r="H43" s="36"/>
      <c r="I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">
      <c r="A44" s="62">
        <v>5</v>
      </c>
      <c r="B44" s="103">
        <v>45726</v>
      </c>
      <c r="C44" s="65">
        <v>1250</v>
      </c>
      <c r="D44" s="65">
        <f t="shared" si="1"/>
        <v>892.85714285714289</v>
      </c>
      <c r="E44" s="65">
        <f t="shared" si="2"/>
        <v>357.14285714285711</v>
      </c>
      <c r="F44" s="43" t="s">
        <v>41</v>
      </c>
      <c r="G44" s="43">
        <f t="shared" si="3"/>
        <v>7250</v>
      </c>
      <c r="H44" s="36"/>
      <c r="I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">
      <c r="A45" s="62">
        <v>6</v>
      </c>
      <c r="B45" s="103">
        <v>45733</v>
      </c>
      <c r="C45" s="65">
        <v>1500</v>
      </c>
      <c r="D45" s="65">
        <f t="shared" si="1"/>
        <v>1071.4285714285716</v>
      </c>
      <c r="E45" s="65">
        <f t="shared" si="2"/>
        <v>428.57142857142844</v>
      </c>
      <c r="F45" s="43" t="s">
        <v>41</v>
      </c>
      <c r="G45" s="43">
        <f t="shared" si="3"/>
        <v>5750</v>
      </c>
      <c r="H45" s="36"/>
      <c r="I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x14ac:dyDescent="0.2">
      <c r="A46" s="62">
        <v>7</v>
      </c>
      <c r="B46" s="103">
        <v>45740</v>
      </c>
      <c r="C46" s="65">
        <v>1250</v>
      </c>
      <c r="D46" s="65">
        <f t="shared" si="1"/>
        <v>892.85714285714289</v>
      </c>
      <c r="E46" s="65">
        <f t="shared" si="2"/>
        <v>357.14285714285711</v>
      </c>
      <c r="F46" s="43" t="s">
        <v>41</v>
      </c>
      <c r="G46" s="43">
        <f t="shared" si="3"/>
        <v>4500</v>
      </c>
      <c r="H46" s="36"/>
      <c r="I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x14ac:dyDescent="0.2">
      <c r="A47" s="62">
        <v>8</v>
      </c>
      <c r="B47" s="103">
        <v>45740</v>
      </c>
      <c r="C47" s="65">
        <v>4500</v>
      </c>
      <c r="D47" s="65">
        <f t="shared" si="1"/>
        <v>3214.2857142857147</v>
      </c>
      <c r="E47" s="65">
        <f t="shared" si="2"/>
        <v>1285.7142857142853</v>
      </c>
      <c r="F47" s="43" t="s">
        <v>41</v>
      </c>
      <c r="G47" s="43">
        <f t="shared" si="3"/>
        <v>0</v>
      </c>
      <c r="H47" s="36"/>
      <c r="I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">
      <c r="A48" s="62">
        <v>9</v>
      </c>
      <c r="B48" s="103"/>
      <c r="C48" s="65"/>
      <c r="D48" s="65">
        <f t="shared" si="1"/>
        <v>0</v>
      </c>
      <c r="E48" s="65">
        <f t="shared" si="2"/>
        <v>0</v>
      </c>
      <c r="F48" s="65"/>
      <c r="G48" s="43">
        <f t="shared" si="3"/>
        <v>0</v>
      </c>
      <c r="H48" s="36"/>
      <c r="I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">
      <c r="A49" s="62">
        <v>10</v>
      </c>
      <c r="B49" s="103"/>
      <c r="C49" s="65"/>
      <c r="D49" s="65">
        <f t="shared" si="1"/>
        <v>0</v>
      </c>
      <c r="E49" s="65">
        <f t="shared" si="2"/>
        <v>0</v>
      </c>
      <c r="F49" s="65"/>
      <c r="G49" s="43">
        <f t="shared" si="3"/>
        <v>0</v>
      </c>
      <c r="H49" s="36"/>
      <c r="I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">
      <c r="A50" s="89"/>
      <c r="B50" s="90"/>
      <c r="C50" s="91"/>
      <c r="D50" s="111">
        <f>SUMIFS(D40:D49, F40:F49, "Y")</f>
        <v>10000</v>
      </c>
      <c r="E50" s="111">
        <f>SUMIFS(E40:E49, F40:F49, "Y")</f>
        <v>3999.9999999999991</v>
      </c>
      <c r="F50" s="92">
        <f>(SUMIFS(D40:D49, F40:F49, "Y") + SUMIFS(E40:E49, F40:F49, "Y"))</f>
        <v>14000</v>
      </c>
      <c r="G50" s="91"/>
      <c r="H50" s="93"/>
      <c r="I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">
      <c r="A51" s="30"/>
      <c r="B51" s="30"/>
      <c r="C51" s="30"/>
      <c r="D51" s="30"/>
      <c r="E51" s="30"/>
      <c r="F51" s="30"/>
      <c r="G51" s="30"/>
      <c r="H51" s="30"/>
      <c r="I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">
      <c r="A52" s="30"/>
      <c r="B52" s="30"/>
      <c r="C52" s="30"/>
      <c r="D52" s="30"/>
      <c r="E52" s="30"/>
      <c r="F52" s="30"/>
      <c r="G52" s="30"/>
      <c r="H52" s="30"/>
      <c r="I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">
      <c r="A53" s="30"/>
      <c r="B53" s="30"/>
      <c r="C53" s="30"/>
      <c r="D53" s="30"/>
      <c r="E53" s="30"/>
      <c r="F53" s="30"/>
      <c r="G53" s="30"/>
      <c r="H53" s="30"/>
      <c r="I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x14ac:dyDescent="0.2">
      <c r="A54" s="30"/>
      <c r="B54" s="30"/>
      <c r="C54" s="30"/>
      <c r="D54" s="30"/>
      <c r="E54" s="30"/>
      <c r="F54" s="30"/>
      <c r="G54" s="30"/>
      <c r="H54" s="30"/>
      <c r="I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x14ac:dyDescent="0.2">
      <c r="A55" s="30"/>
      <c r="B55" s="30"/>
      <c r="C55" s="30"/>
      <c r="D55" s="30"/>
      <c r="E55" s="30"/>
      <c r="F55" s="30"/>
      <c r="G55" s="30"/>
      <c r="H55" s="30"/>
      <c r="I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x14ac:dyDescent="0.2">
      <c r="A56" s="256">
        <v>3</v>
      </c>
      <c r="B56" s="257"/>
      <c r="C56" s="31"/>
      <c r="D56" s="31"/>
      <c r="E56" s="31"/>
      <c r="F56" s="31"/>
      <c r="G56" s="31"/>
      <c r="H56" s="32"/>
      <c r="I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x14ac:dyDescent="0.2">
      <c r="A57" s="265" t="s">
        <v>7</v>
      </c>
      <c r="B57" s="259"/>
      <c r="C57" s="65">
        <v>10000</v>
      </c>
      <c r="D57" s="35"/>
      <c r="E57" s="35"/>
      <c r="F57" s="35"/>
      <c r="G57" s="35"/>
      <c r="H57" s="36"/>
      <c r="I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">
      <c r="A58" s="265" t="s">
        <v>8</v>
      </c>
      <c r="B58" s="259"/>
      <c r="C58" s="113">
        <v>45705</v>
      </c>
      <c r="D58" s="35"/>
      <c r="E58" s="38"/>
      <c r="F58" s="38"/>
      <c r="G58" s="38"/>
      <c r="H58" s="39" t="s">
        <v>10</v>
      </c>
      <c r="I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x14ac:dyDescent="0.2">
      <c r="A59" s="265" t="s">
        <v>103</v>
      </c>
      <c r="B59" s="259"/>
      <c r="C59" s="65">
        <v>2000</v>
      </c>
      <c r="D59" s="44"/>
      <c r="E59" s="266" t="s">
        <v>14</v>
      </c>
      <c r="F59" s="45" t="s">
        <v>15</v>
      </c>
      <c r="G59" s="65">
        <v>250</v>
      </c>
      <c r="H59" s="46"/>
      <c r="I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">
      <c r="A60" s="265" t="s">
        <v>17</v>
      </c>
      <c r="B60" s="259"/>
      <c r="C60" s="43">
        <v>2</v>
      </c>
      <c r="D60" s="44"/>
      <c r="E60" s="261"/>
      <c r="F60" s="45" t="s">
        <v>18</v>
      </c>
      <c r="G60" s="43">
        <v>9750</v>
      </c>
      <c r="H60" s="46"/>
      <c r="I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2">
      <c r="A61" s="265" t="s">
        <v>20</v>
      </c>
      <c r="B61" s="259"/>
      <c r="C61" s="43">
        <f>C59*C60</f>
        <v>4000</v>
      </c>
      <c r="D61" s="35"/>
      <c r="E61" s="54"/>
      <c r="F61" s="35"/>
      <c r="G61" s="44"/>
      <c r="H61" s="36"/>
      <c r="I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">
      <c r="A62" s="265" t="s">
        <v>22</v>
      </c>
      <c r="B62" s="259"/>
      <c r="C62" s="33">
        <f>C57+C61</f>
        <v>14000</v>
      </c>
      <c r="D62" s="35"/>
      <c r="E62" s="35"/>
      <c r="F62" s="35"/>
      <c r="G62" s="35"/>
      <c r="H62" s="36"/>
      <c r="I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">
      <c r="A63" s="265" t="s">
        <v>24</v>
      </c>
      <c r="B63" s="259"/>
      <c r="C63" s="57">
        <v>250</v>
      </c>
      <c r="D63" s="35" t="s">
        <v>172</v>
      </c>
      <c r="E63" s="35"/>
      <c r="F63" s="35"/>
      <c r="G63" s="35"/>
      <c r="H63" s="36"/>
      <c r="I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">
      <c r="A64" s="265" t="s">
        <v>28</v>
      </c>
      <c r="B64" s="259"/>
      <c r="C64" s="58" t="s">
        <v>29</v>
      </c>
      <c r="D64" s="35"/>
      <c r="E64" s="35"/>
      <c r="F64" s="35"/>
      <c r="G64" s="35"/>
      <c r="H64" s="36"/>
      <c r="I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">
      <c r="A65" s="62" t="s">
        <v>31</v>
      </c>
      <c r="B65" s="63" t="s">
        <v>106</v>
      </c>
      <c r="C65" s="45" t="s">
        <v>33</v>
      </c>
      <c r="D65" s="45" t="s">
        <v>34</v>
      </c>
      <c r="E65" s="45" t="s">
        <v>35</v>
      </c>
      <c r="F65" s="45" t="s">
        <v>36</v>
      </c>
      <c r="G65" s="45" t="s">
        <v>37</v>
      </c>
      <c r="H65" s="36"/>
      <c r="I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">
      <c r="A66" s="62">
        <v>0</v>
      </c>
      <c r="B66" s="65"/>
      <c r="C66" s="65"/>
      <c r="D66" s="65"/>
      <c r="E66" s="65"/>
      <c r="F66" s="65"/>
      <c r="G66" s="43">
        <f>C62</f>
        <v>14000</v>
      </c>
      <c r="H66" s="36"/>
      <c r="I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">
      <c r="A67" s="62">
        <v>1</v>
      </c>
      <c r="B67" s="100">
        <v>45712</v>
      </c>
      <c r="C67" s="65">
        <v>1000</v>
      </c>
      <c r="D67" s="65">
        <f t="shared" ref="D67:D76" si="4">C67/1.4</f>
        <v>714.28571428571433</v>
      </c>
      <c r="E67" s="65">
        <f t="shared" ref="E67:E76" si="5">C67-D67</f>
        <v>285.71428571428567</v>
      </c>
      <c r="F67" s="43" t="s">
        <v>41</v>
      </c>
      <c r="G67" s="43">
        <f t="shared" ref="G67:G76" si="6">(G66-C67)</f>
        <v>13000</v>
      </c>
      <c r="H67" s="36"/>
      <c r="I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">
      <c r="A68" s="62">
        <v>2</v>
      </c>
      <c r="B68" s="100">
        <v>45719</v>
      </c>
      <c r="C68" s="65">
        <v>1500</v>
      </c>
      <c r="D68" s="65">
        <f t="shared" si="4"/>
        <v>1071.4285714285716</v>
      </c>
      <c r="E68" s="65">
        <f t="shared" si="5"/>
        <v>428.57142857142844</v>
      </c>
      <c r="F68" s="43" t="s">
        <v>41</v>
      </c>
      <c r="G68" s="43">
        <f t="shared" si="6"/>
        <v>11500</v>
      </c>
      <c r="H68" s="36"/>
      <c r="I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1:33" x14ac:dyDescent="0.2">
      <c r="A69" s="62">
        <v>3</v>
      </c>
      <c r="B69" s="100">
        <v>45726</v>
      </c>
      <c r="C69" s="65">
        <v>1250</v>
      </c>
      <c r="D69" s="65">
        <f t="shared" si="4"/>
        <v>892.85714285714289</v>
      </c>
      <c r="E69" s="65">
        <f t="shared" si="5"/>
        <v>357.14285714285711</v>
      </c>
      <c r="F69" s="43" t="s">
        <v>41</v>
      </c>
      <c r="G69" s="43">
        <f t="shared" si="6"/>
        <v>10250</v>
      </c>
      <c r="H69" s="36"/>
      <c r="I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1:33" x14ac:dyDescent="0.2">
      <c r="A70" s="62">
        <v>4</v>
      </c>
      <c r="B70" s="100">
        <v>45733</v>
      </c>
      <c r="C70" s="65">
        <v>1500</v>
      </c>
      <c r="D70" s="65">
        <f t="shared" si="4"/>
        <v>1071.4285714285716</v>
      </c>
      <c r="E70" s="65">
        <f t="shared" si="5"/>
        <v>428.57142857142844</v>
      </c>
      <c r="F70" s="43" t="s">
        <v>41</v>
      </c>
      <c r="G70" s="43">
        <f t="shared" si="6"/>
        <v>8750</v>
      </c>
      <c r="H70" s="36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1:33" x14ac:dyDescent="0.2">
      <c r="A71" s="62">
        <v>5</v>
      </c>
      <c r="B71" s="103">
        <v>45740</v>
      </c>
      <c r="C71" s="65">
        <v>1250</v>
      </c>
      <c r="D71" s="65">
        <f t="shared" si="4"/>
        <v>892.85714285714289</v>
      </c>
      <c r="E71" s="65">
        <f t="shared" si="5"/>
        <v>357.14285714285711</v>
      </c>
      <c r="F71" s="43" t="s">
        <v>41</v>
      </c>
      <c r="G71" s="43">
        <f t="shared" si="6"/>
        <v>7500</v>
      </c>
      <c r="H71" s="36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x14ac:dyDescent="0.2">
      <c r="A72" s="62">
        <v>6</v>
      </c>
      <c r="B72" s="103">
        <v>45747</v>
      </c>
      <c r="C72" s="65">
        <v>1250</v>
      </c>
      <c r="D72" s="65">
        <f t="shared" si="4"/>
        <v>892.85714285714289</v>
      </c>
      <c r="E72" s="65">
        <f t="shared" si="5"/>
        <v>357.14285714285711</v>
      </c>
      <c r="F72" s="43" t="s">
        <v>41</v>
      </c>
      <c r="G72" s="43">
        <f t="shared" si="6"/>
        <v>6250</v>
      </c>
      <c r="H72" s="36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1:33" x14ac:dyDescent="0.2">
      <c r="A73" s="62">
        <v>7</v>
      </c>
      <c r="B73" s="103">
        <v>45754</v>
      </c>
      <c r="C73" s="65">
        <v>1250</v>
      </c>
      <c r="D73" s="65">
        <f t="shared" si="4"/>
        <v>892.85714285714289</v>
      </c>
      <c r="E73" s="65">
        <f t="shared" si="5"/>
        <v>357.14285714285711</v>
      </c>
      <c r="F73" s="43" t="s">
        <v>41</v>
      </c>
      <c r="G73" s="43">
        <f t="shared" si="6"/>
        <v>5000</v>
      </c>
      <c r="H73" s="36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1:33" x14ac:dyDescent="0.2">
      <c r="A74" s="62">
        <v>8</v>
      </c>
      <c r="B74" s="103">
        <v>45761</v>
      </c>
      <c r="C74" s="65">
        <v>1500</v>
      </c>
      <c r="D74" s="65">
        <f t="shared" si="4"/>
        <v>1071.4285714285716</v>
      </c>
      <c r="E74" s="65">
        <f t="shared" si="5"/>
        <v>428.57142857142844</v>
      </c>
      <c r="F74" s="43" t="s">
        <v>41</v>
      </c>
      <c r="G74" s="43">
        <f t="shared" si="6"/>
        <v>3500</v>
      </c>
      <c r="H74" s="36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1:33" x14ac:dyDescent="0.2">
      <c r="A75" s="62">
        <v>9</v>
      </c>
      <c r="B75" s="103">
        <v>45761</v>
      </c>
      <c r="C75" s="65">
        <v>3500</v>
      </c>
      <c r="D75" s="65">
        <f t="shared" si="4"/>
        <v>2500</v>
      </c>
      <c r="E75" s="65">
        <f t="shared" si="5"/>
        <v>1000</v>
      </c>
      <c r="F75" s="43" t="s">
        <v>41</v>
      </c>
      <c r="G75" s="43">
        <f t="shared" si="6"/>
        <v>0</v>
      </c>
      <c r="H75" s="36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1:33" x14ac:dyDescent="0.2">
      <c r="A76" s="62">
        <v>10</v>
      </c>
      <c r="B76" s="103"/>
      <c r="C76" s="65"/>
      <c r="D76" s="65">
        <f t="shared" si="4"/>
        <v>0</v>
      </c>
      <c r="E76" s="65">
        <f t="shared" si="5"/>
        <v>0</v>
      </c>
      <c r="F76" s="65"/>
      <c r="G76" s="43">
        <f t="shared" si="6"/>
        <v>0</v>
      </c>
      <c r="H76" s="36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1:33" x14ac:dyDescent="0.2">
      <c r="A77" s="89"/>
      <c r="B77" s="90"/>
      <c r="C77" s="91"/>
      <c r="D77" s="111">
        <f>SUMIFS(D67:D76, F67:F76, "Y")</f>
        <v>10000</v>
      </c>
      <c r="E77" s="111">
        <f>SUMIFS(E67:E76, F67:F76, "Y")</f>
        <v>3999.9999999999991</v>
      </c>
      <c r="F77" s="92">
        <f>(SUMIFS(D67:D76, F67:F76, "Y") + SUMIFS(E67:E76, F67:F76, "Y"))</f>
        <v>14000</v>
      </c>
      <c r="G77" s="91"/>
      <c r="H77" s="9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1:33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1:33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1:33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1:33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1:33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1:33" x14ac:dyDescent="0.2">
      <c r="A83" s="256">
        <v>4</v>
      </c>
      <c r="B83" s="257"/>
      <c r="C83" s="119"/>
      <c r="D83" s="119"/>
      <c r="E83" s="119"/>
      <c r="F83" s="119"/>
      <c r="G83" s="119"/>
      <c r="H83" s="12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1:33" x14ac:dyDescent="0.2">
      <c r="A84" s="258" t="s">
        <v>7</v>
      </c>
      <c r="B84" s="259"/>
      <c r="C84" s="50">
        <v>10000</v>
      </c>
      <c r="D84" s="30"/>
      <c r="E84" s="30"/>
      <c r="F84" s="30"/>
      <c r="G84" s="30"/>
      <c r="H84" s="12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1:33" x14ac:dyDescent="0.2">
      <c r="A85" s="258" t="s">
        <v>8</v>
      </c>
      <c r="B85" s="259"/>
      <c r="C85" s="150">
        <v>45713</v>
      </c>
      <c r="D85" s="30"/>
      <c r="E85" s="49"/>
      <c r="F85" s="49"/>
      <c r="G85" s="49"/>
      <c r="H85" s="125" t="s">
        <v>10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1:33" x14ac:dyDescent="0.2">
      <c r="A86" s="258" t="s">
        <v>103</v>
      </c>
      <c r="B86" s="259"/>
      <c r="C86" s="50">
        <v>2000</v>
      </c>
      <c r="D86" s="66"/>
      <c r="E86" s="260" t="s">
        <v>14</v>
      </c>
      <c r="F86" s="126" t="s">
        <v>15</v>
      </c>
      <c r="G86" s="50">
        <v>5750</v>
      </c>
      <c r="H86" s="127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1:33" x14ac:dyDescent="0.2">
      <c r="A87" s="258" t="s">
        <v>17</v>
      </c>
      <c r="B87" s="259"/>
      <c r="C87" s="50">
        <v>2</v>
      </c>
      <c r="D87" s="66"/>
      <c r="E87" s="261"/>
      <c r="F87" s="126" t="s">
        <v>18</v>
      </c>
      <c r="G87" s="50">
        <v>4250</v>
      </c>
      <c r="H87" s="127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1:33" x14ac:dyDescent="0.2">
      <c r="A88" s="258" t="s">
        <v>20</v>
      </c>
      <c r="B88" s="259"/>
      <c r="C88" s="50">
        <f>C86*C87</f>
        <v>4000</v>
      </c>
      <c r="D88" s="30"/>
      <c r="E88" s="128"/>
      <c r="F88" s="30"/>
      <c r="G88" s="66"/>
      <c r="H88" s="123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1:33" x14ac:dyDescent="0.2">
      <c r="A89" s="258" t="s">
        <v>22</v>
      </c>
      <c r="B89" s="259"/>
      <c r="C89" s="121">
        <f>C84+C88</f>
        <v>14000</v>
      </c>
      <c r="D89" s="30"/>
      <c r="E89" s="30"/>
      <c r="F89" s="30"/>
      <c r="G89" s="30"/>
      <c r="H89" s="123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1:33" x14ac:dyDescent="0.2">
      <c r="A90" s="258" t="s">
        <v>24</v>
      </c>
      <c r="B90" s="259"/>
      <c r="C90" s="146">
        <v>250</v>
      </c>
      <c r="D90" s="30" t="s">
        <v>178</v>
      </c>
      <c r="E90" s="30"/>
      <c r="F90" s="30"/>
      <c r="G90" s="30"/>
      <c r="H90" s="123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1:33" x14ac:dyDescent="0.2">
      <c r="A91" s="258" t="s">
        <v>28</v>
      </c>
      <c r="B91" s="259"/>
      <c r="C91" s="130" t="s">
        <v>29</v>
      </c>
      <c r="D91" s="30"/>
      <c r="E91" s="30"/>
      <c r="F91" s="30"/>
      <c r="G91" s="30"/>
      <c r="H91" s="123"/>
      <c r="I91" s="30"/>
      <c r="J91" s="30"/>
      <c r="K91" s="8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1:33" x14ac:dyDescent="0.2">
      <c r="A92" s="131" t="s">
        <v>31</v>
      </c>
      <c r="B92" s="132" t="s">
        <v>106</v>
      </c>
      <c r="C92" s="133" t="s">
        <v>33</v>
      </c>
      <c r="D92" s="133" t="s">
        <v>34</v>
      </c>
      <c r="E92" s="133" t="s">
        <v>35</v>
      </c>
      <c r="F92" s="133" t="s">
        <v>36</v>
      </c>
      <c r="G92" s="133" t="s">
        <v>37</v>
      </c>
      <c r="H92" s="123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1:33" x14ac:dyDescent="0.2">
      <c r="A93" s="134">
        <v>0</v>
      </c>
      <c r="B93" s="135"/>
      <c r="C93" s="135"/>
      <c r="D93" s="135"/>
      <c r="E93" s="135"/>
      <c r="F93" s="135"/>
      <c r="G93" s="50">
        <f>C89</f>
        <v>14000</v>
      </c>
      <c r="H93" s="123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1:33" x14ac:dyDescent="0.2">
      <c r="A94" s="134">
        <v>1</v>
      </c>
      <c r="B94" s="136">
        <v>45719</v>
      </c>
      <c r="C94" s="135">
        <v>1000</v>
      </c>
      <c r="D94" s="50">
        <f t="shared" ref="D94:D107" si="7">C94/1.4</f>
        <v>714.28571428571433</v>
      </c>
      <c r="E94" s="50">
        <f t="shared" ref="E94:E107" si="8">C94-D94</f>
        <v>285.71428571428567</v>
      </c>
      <c r="F94" s="50" t="s">
        <v>41</v>
      </c>
      <c r="G94" s="50">
        <f t="shared" ref="G94:G107" si="9">(G93-C94)</f>
        <v>13000</v>
      </c>
      <c r="H94" s="123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1:33" x14ac:dyDescent="0.2">
      <c r="A95" s="134">
        <v>2</v>
      </c>
      <c r="B95" s="136">
        <v>45726</v>
      </c>
      <c r="C95" s="135">
        <v>1750</v>
      </c>
      <c r="D95" s="50">
        <f t="shared" si="7"/>
        <v>1250</v>
      </c>
      <c r="E95" s="50">
        <f t="shared" si="8"/>
        <v>500</v>
      </c>
      <c r="F95" s="50" t="s">
        <v>41</v>
      </c>
      <c r="G95" s="50">
        <f t="shared" si="9"/>
        <v>11250</v>
      </c>
      <c r="H95" s="123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1:33" x14ac:dyDescent="0.2">
      <c r="A96" s="134">
        <v>3</v>
      </c>
      <c r="B96" s="136">
        <v>45733</v>
      </c>
      <c r="C96" s="135">
        <v>1500</v>
      </c>
      <c r="D96" s="50">
        <f t="shared" si="7"/>
        <v>1071.4285714285716</v>
      </c>
      <c r="E96" s="50">
        <f t="shared" si="8"/>
        <v>428.57142857142844</v>
      </c>
      <c r="F96" s="50" t="s">
        <v>41</v>
      </c>
      <c r="G96" s="50">
        <f t="shared" si="9"/>
        <v>9750</v>
      </c>
      <c r="H96" s="123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1:33" x14ac:dyDescent="0.2">
      <c r="A97" s="134">
        <v>4</v>
      </c>
      <c r="B97" s="137">
        <v>45740</v>
      </c>
      <c r="C97" s="135">
        <v>1250</v>
      </c>
      <c r="D97" s="50">
        <f t="shared" si="7"/>
        <v>892.85714285714289</v>
      </c>
      <c r="E97" s="50">
        <f t="shared" si="8"/>
        <v>357.14285714285711</v>
      </c>
      <c r="F97" s="50" t="s">
        <v>41</v>
      </c>
      <c r="G97" s="50">
        <f t="shared" si="9"/>
        <v>8500</v>
      </c>
      <c r="H97" s="123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1:33" x14ac:dyDescent="0.2">
      <c r="A98" s="134">
        <v>5</v>
      </c>
      <c r="B98" s="137">
        <v>45747</v>
      </c>
      <c r="C98" s="135">
        <v>1250</v>
      </c>
      <c r="D98" s="50">
        <f t="shared" si="7"/>
        <v>892.85714285714289</v>
      </c>
      <c r="E98" s="50">
        <f t="shared" si="8"/>
        <v>357.14285714285711</v>
      </c>
      <c r="F98" s="50" t="s">
        <v>41</v>
      </c>
      <c r="G98" s="50">
        <f t="shared" si="9"/>
        <v>7250</v>
      </c>
      <c r="H98" s="123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1:33" x14ac:dyDescent="0.2">
      <c r="A99" s="134">
        <v>6</v>
      </c>
      <c r="B99" s="137">
        <v>45754</v>
      </c>
      <c r="C99" s="135">
        <v>1250</v>
      </c>
      <c r="D99" s="50">
        <f t="shared" si="7"/>
        <v>892.85714285714289</v>
      </c>
      <c r="E99" s="50">
        <f t="shared" si="8"/>
        <v>357.14285714285711</v>
      </c>
      <c r="F99" s="50" t="s">
        <v>41</v>
      </c>
      <c r="G99" s="50">
        <f t="shared" si="9"/>
        <v>6000</v>
      </c>
      <c r="H99" s="123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1:33" x14ac:dyDescent="0.2">
      <c r="A100" s="134">
        <v>7</v>
      </c>
      <c r="B100" s="137">
        <v>45761</v>
      </c>
      <c r="C100" s="135">
        <v>1000</v>
      </c>
      <c r="D100" s="50">
        <f t="shared" si="7"/>
        <v>714.28571428571433</v>
      </c>
      <c r="E100" s="50">
        <f t="shared" si="8"/>
        <v>285.71428571428567</v>
      </c>
      <c r="F100" s="50" t="s">
        <v>41</v>
      </c>
      <c r="G100" s="50">
        <f t="shared" si="9"/>
        <v>5000</v>
      </c>
      <c r="H100" s="123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1:33" x14ac:dyDescent="0.2">
      <c r="A101" s="134">
        <v>8</v>
      </c>
      <c r="B101" s="137">
        <v>45768</v>
      </c>
      <c r="C101" s="135">
        <v>750</v>
      </c>
      <c r="D101" s="50">
        <f t="shared" si="7"/>
        <v>535.71428571428578</v>
      </c>
      <c r="E101" s="50">
        <f t="shared" si="8"/>
        <v>214.28571428571422</v>
      </c>
      <c r="F101" s="50" t="s">
        <v>41</v>
      </c>
      <c r="G101" s="50">
        <f t="shared" si="9"/>
        <v>4250</v>
      </c>
      <c r="H101" s="123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 x14ac:dyDescent="0.2">
      <c r="A102" s="134">
        <v>9</v>
      </c>
      <c r="B102" s="137">
        <v>45775</v>
      </c>
      <c r="C102" s="135">
        <v>1000</v>
      </c>
      <c r="D102" s="50">
        <f t="shared" si="7"/>
        <v>714.28571428571433</v>
      </c>
      <c r="E102" s="50">
        <f t="shared" si="8"/>
        <v>285.71428571428567</v>
      </c>
      <c r="F102" s="50" t="s">
        <v>41</v>
      </c>
      <c r="G102" s="50">
        <f t="shared" si="9"/>
        <v>3250</v>
      </c>
      <c r="H102" s="123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 x14ac:dyDescent="0.2">
      <c r="A103" s="134">
        <v>10</v>
      </c>
      <c r="B103" s="137">
        <v>45782</v>
      </c>
      <c r="C103" s="135">
        <v>1000</v>
      </c>
      <c r="D103" s="50">
        <f t="shared" si="7"/>
        <v>714.28571428571433</v>
      </c>
      <c r="E103" s="50">
        <f t="shared" si="8"/>
        <v>285.71428571428567</v>
      </c>
      <c r="F103" s="50" t="s">
        <v>41</v>
      </c>
      <c r="G103" s="50">
        <f t="shared" si="9"/>
        <v>2250</v>
      </c>
      <c r="H103" s="123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 x14ac:dyDescent="0.2">
      <c r="A104" s="134">
        <v>11</v>
      </c>
      <c r="B104" s="137">
        <v>45789</v>
      </c>
      <c r="C104" s="135">
        <v>1000</v>
      </c>
      <c r="D104" s="50">
        <f t="shared" si="7"/>
        <v>714.28571428571433</v>
      </c>
      <c r="E104" s="50">
        <f t="shared" si="8"/>
        <v>285.71428571428567</v>
      </c>
      <c r="F104" s="50" t="s">
        <v>107</v>
      </c>
      <c r="G104" s="50">
        <f t="shared" si="9"/>
        <v>1250</v>
      </c>
      <c r="H104" s="123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1:33" x14ac:dyDescent="0.2">
      <c r="A105" s="134">
        <v>12</v>
      </c>
      <c r="B105" s="137">
        <v>45796</v>
      </c>
      <c r="C105" s="135"/>
      <c r="D105" s="50">
        <f t="shared" si="7"/>
        <v>0</v>
      </c>
      <c r="E105" s="50">
        <f t="shared" si="8"/>
        <v>0</v>
      </c>
      <c r="F105" s="50" t="s">
        <v>107</v>
      </c>
      <c r="G105" s="50">
        <f t="shared" si="9"/>
        <v>1250</v>
      </c>
      <c r="H105" s="123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1:33" x14ac:dyDescent="0.2">
      <c r="A106" s="134">
        <v>13</v>
      </c>
      <c r="B106" s="137">
        <v>45803</v>
      </c>
      <c r="C106" s="135"/>
      <c r="D106" s="50">
        <f t="shared" si="7"/>
        <v>0</v>
      </c>
      <c r="E106" s="50">
        <f t="shared" si="8"/>
        <v>0</v>
      </c>
      <c r="F106" s="50" t="s">
        <v>107</v>
      </c>
      <c r="G106" s="50">
        <f t="shared" si="9"/>
        <v>1250</v>
      </c>
      <c r="H106" s="12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1:33" x14ac:dyDescent="0.2">
      <c r="A107" s="134">
        <v>14</v>
      </c>
      <c r="B107" s="137">
        <v>45810</v>
      </c>
      <c r="C107" s="135"/>
      <c r="D107" s="50">
        <f t="shared" si="7"/>
        <v>0</v>
      </c>
      <c r="E107" s="50">
        <f t="shared" si="8"/>
        <v>0</v>
      </c>
      <c r="F107" s="50" t="s">
        <v>107</v>
      </c>
      <c r="G107" s="50">
        <f t="shared" si="9"/>
        <v>1250</v>
      </c>
      <c r="H107" s="123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1:33" x14ac:dyDescent="0.2">
      <c r="A108" s="138"/>
      <c r="B108" s="139"/>
      <c r="C108" s="140"/>
      <c r="D108" s="141">
        <f>SUMIFS(D94:D103, F94:F103, "Y")</f>
        <v>8392.8571428571449</v>
      </c>
      <c r="E108" s="142">
        <f>SUMIFS(E94:E103, F94:F103, "Y")</f>
        <v>3357.1428571428569</v>
      </c>
      <c r="F108" s="143">
        <f>(SUMIFS(D94:D103, F94:F103, "Y") + SUMIFS(E94:E103, F94:F103, "Y"))</f>
        <v>11750.000000000002</v>
      </c>
      <c r="G108" s="140"/>
      <c r="H108" s="144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1:33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1:33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33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33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1:33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1:33" x14ac:dyDescent="0.2">
      <c r="A114" s="256">
        <v>5</v>
      </c>
      <c r="B114" s="257"/>
      <c r="C114" s="119"/>
      <c r="D114" s="119"/>
      <c r="E114" s="119"/>
      <c r="F114" s="119"/>
      <c r="G114" s="119"/>
      <c r="H114" s="12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 x14ac:dyDescent="0.2">
      <c r="A115" s="258" t="s">
        <v>7</v>
      </c>
      <c r="B115" s="259"/>
      <c r="C115" s="135">
        <v>10000</v>
      </c>
      <c r="D115" s="30"/>
      <c r="E115" s="30"/>
      <c r="F115" s="30"/>
      <c r="G115" s="30"/>
      <c r="H115" s="123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 x14ac:dyDescent="0.2">
      <c r="A116" s="258" t="s">
        <v>8</v>
      </c>
      <c r="B116" s="259"/>
      <c r="C116" s="82">
        <v>45726</v>
      </c>
      <c r="D116" s="30"/>
      <c r="E116" s="49"/>
      <c r="F116" s="49"/>
      <c r="G116" s="49"/>
      <c r="H116" s="125" t="s">
        <v>10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 x14ac:dyDescent="0.2">
      <c r="A117" s="258" t="s">
        <v>103</v>
      </c>
      <c r="B117" s="259"/>
      <c r="C117" s="135">
        <v>2000</v>
      </c>
      <c r="D117" s="66"/>
      <c r="E117" s="260" t="s">
        <v>14</v>
      </c>
      <c r="F117" s="126" t="s">
        <v>15</v>
      </c>
      <c r="G117" s="135">
        <v>1750</v>
      </c>
      <c r="H117" s="127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 x14ac:dyDescent="0.2">
      <c r="A118" s="258" t="s">
        <v>17</v>
      </c>
      <c r="B118" s="259"/>
      <c r="C118" s="50">
        <v>2</v>
      </c>
      <c r="D118" s="66"/>
      <c r="E118" s="261"/>
      <c r="F118" s="126" t="s">
        <v>18</v>
      </c>
      <c r="G118" s="50">
        <v>8250</v>
      </c>
      <c r="H118" s="127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 x14ac:dyDescent="0.2">
      <c r="A119" s="258" t="s">
        <v>20</v>
      </c>
      <c r="B119" s="259"/>
      <c r="C119" s="50">
        <f>C117*C118</f>
        <v>4000</v>
      </c>
      <c r="D119" s="30"/>
      <c r="E119" s="128"/>
      <c r="F119" s="30"/>
      <c r="G119" s="66"/>
      <c r="H119" s="123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 x14ac:dyDescent="0.2">
      <c r="A120" s="258" t="s">
        <v>22</v>
      </c>
      <c r="B120" s="259"/>
      <c r="C120" s="121">
        <f>C115+C119</f>
        <v>14000</v>
      </c>
      <c r="D120" s="30"/>
      <c r="E120" s="30"/>
      <c r="F120" s="30"/>
      <c r="G120" s="30"/>
      <c r="H120" s="123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 x14ac:dyDescent="0.2">
      <c r="A121" s="258" t="s">
        <v>24</v>
      </c>
      <c r="B121" s="259"/>
      <c r="C121" s="146">
        <v>250</v>
      </c>
      <c r="D121" s="30" t="s">
        <v>192</v>
      </c>
      <c r="E121" s="30"/>
      <c r="F121" s="30"/>
      <c r="G121" s="30"/>
      <c r="H121" s="123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 x14ac:dyDescent="0.2">
      <c r="A122" s="258" t="s">
        <v>28</v>
      </c>
      <c r="B122" s="259"/>
      <c r="C122" s="130" t="s">
        <v>29</v>
      </c>
      <c r="D122" s="30"/>
      <c r="E122" s="30"/>
      <c r="F122" s="30"/>
      <c r="G122" s="30"/>
      <c r="H122" s="123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 x14ac:dyDescent="0.2">
      <c r="A123" s="131" t="s">
        <v>31</v>
      </c>
      <c r="B123" s="132" t="s">
        <v>106</v>
      </c>
      <c r="C123" s="133" t="s">
        <v>33</v>
      </c>
      <c r="D123" s="133" t="s">
        <v>34</v>
      </c>
      <c r="E123" s="133" t="s">
        <v>35</v>
      </c>
      <c r="F123" s="133" t="s">
        <v>36</v>
      </c>
      <c r="G123" s="133" t="s">
        <v>37</v>
      </c>
      <c r="H123" s="123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 x14ac:dyDescent="0.2">
      <c r="A124" s="134">
        <v>0</v>
      </c>
      <c r="B124" s="135"/>
      <c r="C124" s="135"/>
      <c r="D124" s="135"/>
      <c r="E124" s="135"/>
      <c r="F124" s="135"/>
      <c r="G124" s="50">
        <f>C120</f>
        <v>14000</v>
      </c>
      <c r="H124" s="123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 x14ac:dyDescent="0.2">
      <c r="A125" s="134">
        <v>1</v>
      </c>
      <c r="B125" s="136">
        <v>45733</v>
      </c>
      <c r="C125" s="135">
        <v>1000</v>
      </c>
      <c r="D125" s="135">
        <f t="shared" ref="D125:D136" si="10">C125/1.4</f>
        <v>714.28571428571433</v>
      </c>
      <c r="E125" s="135">
        <f t="shared" ref="E125:E136" si="11">C125-D125</f>
        <v>285.71428571428567</v>
      </c>
      <c r="F125" s="50" t="s">
        <v>41</v>
      </c>
      <c r="G125" s="50">
        <f t="shared" ref="G125:G136" si="12">(G124-C125)</f>
        <v>13000</v>
      </c>
      <c r="H125" s="123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 x14ac:dyDescent="0.2">
      <c r="A126" s="134">
        <v>2</v>
      </c>
      <c r="B126" s="137">
        <v>45740</v>
      </c>
      <c r="C126" s="135">
        <v>1500</v>
      </c>
      <c r="D126" s="135">
        <f t="shared" si="10"/>
        <v>1071.4285714285716</v>
      </c>
      <c r="E126" s="135">
        <f t="shared" si="11"/>
        <v>428.57142857142844</v>
      </c>
      <c r="F126" s="50" t="s">
        <v>41</v>
      </c>
      <c r="G126" s="50">
        <f t="shared" si="12"/>
        <v>11500</v>
      </c>
      <c r="H126" s="123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 x14ac:dyDescent="0.2">
      <c r="A127" s="134">
        <v>3</v>
      </c>
      <c r="B127" s="137">
        <v>45747</v>
      </c>
      <c r="C127" s="135">
        <v>1250</v>
      </c>
      <c r="D127" s="135">
        <f t="shared" si="10"/>
        <v>892.85714285714289</v>
      </c>
      <c r="E127" s="135">
        <f t="shared" si="11"/>
        <v>357.14285714285711</v>
      </c>
      <c r="F127" s="50" t="s">
        <v>41</v>
      </c>
      <c r="G127" s="50">
        <f t="shared" si="12"/>
        <v>10250</v>
      </c>
      <c r="H127" s="123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 x14ac:dyDescent="0.2">
      <c r="A128" s="134">
        <v>4</v>
      </c>
      <c r="B128" s="137">
        <v>45754</v>
      </c>
      <c r="C128" s="135">
        <v>1250</v>
      </c>
      <c r="D128" s="135">
        <f t="shared" si="10"/>
        <v>892.85714285714289</v>
      </c>
      <c r="E128" s="135">
        <f t="shared" si="11"/>
        <v>357.14285714285711</v>
      </c>
      <c r="F128" s="50" t="s">
        <v>41</v>
      </c>
      <c r="G128" s="50">
        <f t="shared" si="12"/>
        <v>9000</v>
      </c>
      <c r="H128" s="123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1:33" x14ac:dyDescent="0.2">
      <c r="A129" s="134">
        <v>5</v>
      </c>
      <c r="B129" s="137">
        <v>45761</v>
      </c>
      <c r="C129" s="135">
        <v>1000</v>
      </c>
      <c r="D129" s="135">
        <f t="shared" si="10"/>
        <v>714.28571428571433</v>
      </c>
      <c r="E129" s="135">
        <f t="shared" si="11"/>
        <v>285.71428571428567</v>
      </c>
      <c r="F129" s="50" t="s">
        <v>41</v>
      </c>
      <c r="G129" s="50">
        <f t="shared" si="12"/>
        <v>8000</v>
      </c>
      <c r="H129" s="123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1:33" x14ac:dyDescent="0.2">
      <c r="A130" s="134">
        <v>6</v>
      </c>
      <c r="B130" s="137">
        <v>45768</v>
      </c>
      <c r="C130" s="135">
        <v>1000</v>
      </c>
      <c r="D130" s="135">
        <f t="shared" si="10"/>
        <v>714.28571428571433</v>
      </c>
      <c r="E130" s="135">
        <f t="shared" si="11"/>
        <v>285.71428571428567</v>
      </c>
      <c r="F130" s="50" t="s">
        <v>41</v>
      </c>
      <c r="G130" s="50">
        <f t="shared" si="12"/>
        <v>7000</v>
      </c>
      <c r="H130" s="123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1:33" x14ac:dyDescent="0.2">
      <c r="A131" s="134">
        <v>7</v>
      </c>
      <c r="B131" s="137">
        <v>45775</v>
      </c>
      <c r="C131" s="135">
        <v>750</v>
      </c>
      <c r="D131" s="135">
        <f t="shared" si="10"/>
        <v>535.71428571428578</v>
      </c>
      <c r="E131" s="135">
        <f t="shared" si="11"/>
        <v>214.28571428571422</v>
      </c>
      <c r="F131" s="50" t="s">
        <v>41</v>
      </c>
      <c r="G131" s="50">
        <f t="shared" si="12"/>
        <v>6250</v>
      </c>
      <c r="H131" s="123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1:33" x14ac:dyDescent="0.2">
      <c r="A132" s="134">
        <v>8</v>
      </c>
      <c r="B132" s="137">
        <v>45782</v>
      </c>
      <c r="C132" s="135">
        <v>1000</v>
      </c>
      <c r="D132" s="135">
        <f t="shared" si="10"/>
        <v>714.28571428571433</v>
      </c>
      <c r="E132" s="135">
        <f t="shared" si="11"/>
        <v>285.71428571428567</v>
      </c>
      <c r="F132" s="50" t="s">
        <v>41</v>
      </c>
      <c r="G132" s="50">
        <f t="shared" si="12"/>
        <v>5250</v>
      </c>
      <c r="H132" s="123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1:33" x14ac:dyDescent="0.2">
      <c r="A133" s="134">
        <v>9</v>
      </c>
      <c r="B133" s="137">
        <v>45789</v>
      </c>
      <c r="C133" s="135">
        <v>1000</v>
      </c>
      <c r="D133" s="135">
        <f t="shared" si="10"/>
        <v>714.28571428571433</v>
      </c>
      <c r="E133" s="135">
        <f t="shared" si="11"/>
        <v>285.71428571428567</v>
      </c>
      <c r="F133" s="135"/>
      <c r="G133" s="50">
        <f t="shared" si="12"/>
        <v>4250</v>
      </c>
      <c r="H133" s="123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1:33" x14ac:dyDescent="0.2">
      <c r="A134" s="134">
        <v>10</v>
      </c>
      <c r="B134" s="137">
        <v>45796</v>
      </c>
      <c r="C134" s="135"/>
      <c r="D134" s="135">
        <f t="shared" si="10"/>
        <v>0</v>
      </c>
      <c r="E134" s="135">
        <f t="shared" si="11"/>
        <v>0</v>
      </c>
      <c r="F134" s="135"/>
      <c r="G134" s="50">
        <f t="shared" si="12"/>
        <v>4250</v>
      </c>
      <c r="H134" s="123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1:33" x14ac:dyDescent="0.2">
      <c r="A135" s="134">
        <v>11</v>
      </c>
      <c r="B135" s="137">
        <v>45803</v>
      </c>
      <c r="C135" s="135"/>
      <c r="D135" s="135">
        <f t="shared" si="10"/>
        <v>0</v>
      </c>
      <c r="E135" s="135">
        <f t="shared" si="11"/>
        <v>0</v>
      </c>
      <c r="F135" s="135"/>
      <c r="G135" s="50">
        <f t="shared" si="12"/>
        <v>4250</v>
      </c>
      <c r="H135" s="123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1:33" x14ac:dyDescent="0.2">
      <c r="A136" s="134">
        <v>12</v>
      </c>
      <c r="B136" s="137">
        <v>45810</v>
      </c>
      <c r="C136" s="135"/>
      <c r="D136" s="135">
        <f t="shared" si="10"/>
        <v>0</v>
      </c>
      <c r="E136" s="135">
        <f t="shared" si="11"/>
        <v>0</v>
      </c>
      <c r="F136" s="135"/>
      <c r="G136" s="50">
        <f t="shared" si="12"/>
        <v>4250</v>
      </c>
      <c r="H136" s="123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1:33" x14ac:dyDescent="0.2">
      <c r="A137" s="138"/>
      <c r="B137" s="139"/>
      <c r="C137" s="140"/>
      <c r="D137" s="167">
        <f>SUMIFS(D125:D134, F125:F134, "Y")</f>
        <v>6250.0000000000009</v>
      </c>
      <c r="E137" s="143">
        <f>SUMIFS(E125:E134, F125:F134, "Y")</f>
        <v>2499.9999999999995</v>
      </c>
      <c r="F137" s="143">
        <f>(SUMIFS(D125:D134, F125:F134, "Y") + SUMIFS(E125:E134, F125:F134, "Y"))</f>
        <v>8750</v>
      </c>
      <c r="G137" s="140"/>
      <c r="H137" s="144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1:33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1:33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1:33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1:33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1:33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1:33" x14ac:dyDescent="0.2">
      <c r="A143" s="256">
        <v>6</v>
      </c>
      <c r="B143" s="257"/>
      <c r="C143" s="119"/>
      <c r="D143" s="119"/>
      <c r="E143" s="119"/>
      <c r="F143" s="119"/>
      <c r="G143" s="119"/>
      <c r="H143" s="12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1:33" x14ac:dyDescent="0.2">
      <c r="A144" s="258" t="s">
        <v>7</v>
      </c>
      <c r="B144" s="259"/>
      <c r="C144" s="135">
        <v>15000</v>
      </c>
      <c r="D144" s="30"/>
      <c r="E144" s="30"/>
      <c r="F144" s="30"/>
      <c r="G144" s="30"/>
      <c r="H144" s="123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1:33" x14ac:dyDescent="0.2">
      <c r="A145" s="258" t="s">
        <v>8</v>
      </c>
      <c r="B145" s="259"/>
      <c r="C145" s="82">
        <v>45740</v>
      </c>
      <c r="D145" s="30"/>
      <c r="E145" s="49"/>
      <c r="F145" s="49"/>
      <c r="G145" s="49"/>
      <c r="H145" s="125" t="s">
        <v>10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1:33" x14ac:dyDescent="0.2">
      <c r="A146" s="258" t="s">
        <v>103</v>
      </c>
      <c r="B146" s="259"/>
      <c r="C146" s="135">
        <v>3000</v>
      </c>
      <c r="D146" s="66"/>
      <c r="E146" s="260" t="s">
        <v>14</v>
      </c>
      <c r="F146" s="126" t="s">
        <v>15</v>
      </c>
      <c r="G146" s="135">
        <v>0</v>
      </c>
      <c r="H146" s="127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1:33" x14ac:dyDescent="0.2">
      <c r="A147" s="258" t="s">
        <v>17</v>
      </c>
      <c r="B147" s="259"/>
      <c r="C147" s="50">
        <v>2</v>
      </c>
      <c r="D147" s="66"/>
      <c r="E147" s="261"/>
      <c r="F147" s="126" t="s">
        <v>18</v>
      </c>
      <c r="G147" s="50">
        <v>15000</v>
      </c>
      <c r="H147" s="127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1:33" x14ac:dyDescent="0.2">
      <c r="A148" s="258" t="s">
        <v>20</v>
      </c>
      <c r="B148" s="259"/>
      <c r="C148" s="50">
        <f>C146*C147</f>
        <v>6000</v>
      </c>
      <c r="D148" s="30"/>
      <c r="E148" s="128"/>
      <c r="F148" s="30"/>
      <c r="G148" s="66"/>
      <c r="H148" s="123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1:33" x14ac:dyDescent="0.2">
      <c r="A149" s="258" t="s">
        <v>22</v>
      </c>
      <c r="B149" s="259"/>
      <c r="C149" s="121">
        <f>C144+C148</f>
        <v>21000</v>
      </c>
      <c r="D149" s="30"/>
      <c r="E149" s="30"/>
      <c r="F149" s="30"/>
      <c r="G149" s="30"/>
      <c r="H149" s="123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1:33" x14ac:dyDescent="0.2">
      <c r="A150" s="258" t="s">
        <v>24</v>
      </c>
      <c r="B150" s="259"/>
      <c r="C150" s="146">
        <v>350</v>
      </c>
      <c r="D150" s="30" t="s">
        <v>198</v>
      </c>
      <c r="E150" s="30"/>
      <c r="F150" s="30"/>
      <c r="G150" s="30"/>
      <c r="H150" s="123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1:33" x14ac:dyDescent="0.2">
      <c r="A151" s="258" t="s">
        <v>28</v>
      </c>
      <c r="B151" s="259"/>
      <c r="C151" s="130" t="s">
        <v>29</v>
      </c>
      <c r="D151" s="30"/>
      <c r="E151" s="30"/>
      <c r="F151" s="30"/>
      <c r="G151" s="30"/>
      <c r="H151" s="123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1:33" x14ac:dyDescent="0.2">
      <c r="A152" s="131" t="s">
        <v>31</v>
      </c>
      <c r="B152" s="132" t="s">
        <v>106</v>
      </c>
      <c r="C152" s="133" t="s">
        <v>33</v>
      </c>
      <c r="D152" s="133" t="s">
        <v>34</v>
      </c>
      <c r="E152" s="133" t="s">
        <v>35</v>
      </c>
      <c r="F152" s="133" t="s">
        <v>36</v>
      </c>
      <c r="G152" s="133" t="s">
        <v>37</v>
      </c>
      <c r="H152" s="1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1:33" x14ac:dyDescent="0.2">
      <c r="A153" s="134">
        <v>0</v>
      </c>
      <c r="B153" s="135"/>
      <c r="C153" s="135"/>
      <c r="D153" s="135"/>
      <c r="E153" s="135"/>
      <c r="F153" s="135"/>
      <c r="G153" s="50">
        <f>C149</f>
        <v>21000</v>
      </c>
      <c r="H153" s="123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1:33" x14ac:dyDescent="0.2">
      <c r="A154" s="134">
        <v>1</v>
      </c>
      <c r="B154" s="137">
        <v>45747</v>
      </c>
      <c r="C154" s="135">
        <v>1400</v>
      </c>
      <c r="D154" s="135">
        <f t="shared" ref="D154:D163" si="13">C154/1.4</f>
        <v>1000.0000000000001</v>
      </c>
      <c r="E154" s="135">
        <f t="shared" ref="E154:E163" si="14">C154-D154</f>
        <v>399.99999999999989</v>
      </c>
      <c r="F154" s="50" t="s">
        <v>41</v>
      </c>
      <c r="G154" s="50">
        <f t="shared" ref="G154:G163" si="15">(G153-C154)</f>
        <v>19600</v>
      </c>
      <c r="H154" s="123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1:33" x14ac:dyDescent="0.2">
      <c r="A155" s="134">
        <v>2</v>
      </c>
      <c r="B155" s="137">
        <v>45754</v>
      </c>
      <c r="C155" s="135">
        <v>1400</v>
      </c>
      <c r="D155" s="135">
        <f t="shared" si="13"/>
        <v>1000.0000000000001</v>
      </c>
      <c r="E155" s="135">
        <f t="shared" si="14"/>
        <v>399.99999999999989</v>
      </c>
      <c r="F155" s="50" t="s">
        <v>41</v>
      </c>
      <c r="G155" s="50">
        <f t="shared" si="15"/>
        <v>18200</v>
      </c>
      <c r="H155" s="123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1:33" x14ac:dyDescent="0.2">
      <c r="A156" s="134">
        <v>3</v>
      </c>
      <c r="B156" s="137">
        <v>45761</v>
      </c>
      <c r="C156" s="135">
        <v>1400</v>
      </c>
      <c r="D156" s="135">
        <f t="shared" si="13"/>
        <v>1000.0000000000001</v>
      </c>
      <c r="E156" s="135">
        <f t="shared" si="14"/>
        <v>399.99999999999989</v>
      </c>
      <c r="F156" s="50" t="s">
        <v>41</v>
      </c>
      <c r="G156" s="50">
        <f t="shared" si="15"/>
        <v>16800</v>
      </c>
      <c r="H156" s="123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1:33" x14ac:dyDescent="0.2">
      <c r="A157" s="134">
        <v>4</v>
      </c>
      <c r="B157" s="137">
        <v>45768</v>
      </c>
      <c r="C157" s="135">
        <v>700</v>
      </c>
      <c r="D157" s="135">
        <f t="shared" si="13"/>
        <v>500.00000000000006</v>
      </c>
      <c r="E157" s="135">
        <f t="shared" si="14"/>
        <v>199.99999999999994</v>
      </c>
      <c r="F157" s="50" t="s">
        <v>41</v>
      </c>
      <c r="G157" s="50">
        <f t="shared" si="15"/>
        <v>16100</v>
      </c>
      <c r="H157" s="123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1:33" x14ac:dyDescent="0.2">
      <c r="A158" s="134">
        <v>5</v>
      </c>
      <c r="B158" s="137">
        <v>45775</v>
      </c>
      <c r="C158" s="135">
        <v>1050</v>
      </c>
      <c r="D158" s="135">
        <f t="shared" si="13"/>
        <v>750</v>
      </c>
      <c r="E158" s="135">
        <f t="shared" si="14"/>
        <v>300</v>
      </c>
      <c r="F158" s="50" t="s">
        <v>41</v>
      </c>
      <c r="G158" s="50">
        <f t="shared" si="15"/>
        <v>15050</v>
      </c>
      <c r="H158" s="123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1:33" x14ac:dyDescent="0.2">
      <c r="A159" s="134">
        <v>6</v>
      </c>
      <c r="B159" s="137">
        <v>45782</v>
      </c>
      <c r="C159" s="135">
        <v>1050</v>
      </c>
      <c r="D159" s="135">
        <f t="shared" si="13"/>
        <v>750</v>
      </c>
      <c r="E159" s="135">
        <f t="shared" si="14"/>
        <v>300</v>
      </c>
      <c r="F159" s="50" t="s">
        <v>41</v>
      </c>
      <c r="G159" s="50">
        <f t="shared" si="15"/>
        <v>14000</v>
      </c>
      <c r="H159" s="123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1:33" x14ac:dyDescent="0.2">
      <c r="A160" s="134">
        <v>7</v>
      </c>
      <c r="B160" s="137">
        <v>45789</v>
      </c>
      <c r="C160" s="135">
        <v>1050</v>
      </c>
      <c r="D160" s="135">
        <f t="shared" si="13"/>
        <v>750</v>
      </c>
      <c r="E160" s="135">
        <f t="shared" si="14"/>
        <v>300</v>
      </c>
      <c r="F160" s="50" t="s">
        <v>107</v>
      </c>
      <c r="G160" s="50">
        <f t="shared" si="15"/>
        <v>12950</v>
      </c>
      <c r="H160" s="123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1:33" x14ac:dyDescent="0.2">
      <c r="A161" s="134">
        <v>8</v>
      </c>
      <c r="B161" s="137">
        <v>45796</v>
      </c>
      <c r="C161" s="135"/>
      <c r="D161" s="135">
        <f t="shared" si="13"/>
        <v>0</v>
      </c>
      <c r="E161" s="135">
        <f t="shared" si="14"/>
        <v>0</v>
      </c>
      <c r="F161" s="50" t="s">
        <v>107</v>
      </c>
      <c r="G161" s="50">
        <f t="shared" si="15"/>
        <v>12950</v>
      </c>
      <c r="H161" s="123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1:33" x14ac:dyDescent="0.2">
      <c r="A162" s="134">
        <v>9</v>
      </c>
      <c r="B162" s="137">
        <v>45803</v>
      </c>
      <c r="C162" s="135"/>
      <c r="D162" s="135">
        <f t="shared" si="13"/>
        <v>0</v>
      </c>
      <c r="E162" s="135">
        <f t="shared" si="14"/>
        <v>0</v>
      </c>
      <c r="F162" s="50" t="s">
        <v>107</v>
      </c>
      <c r="G162" s="50">
        <f t="shared" si="15"/>
        <v>12950</v>
      </c>
      <c r="H162" s="123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1:33" x14ac:dyDescent="0.2">
      <c r="A163" s="134">
        <v>10</v>
      </c>
      <c r="B163" s="137">
        <v>45810</v>
      </c>
      <c r="C163" s="135"/>
      <c r="D163" s="135">
        <f t="shared" si="13"/>
        <v>0</v>
      </c>
      <c r="E163" s="135">
        <f t="shared" si="14"/>
        <v>0</v>
      </c>
      <c r="F163" s="50" t="s">
        <v>107</v>
      </c>
      <c r="G163" s="50">
        <f t="shared" si="15"/>
        <v>12950</v>
      </c>
      <c r="H163" s="123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1:33" x14ac:dyDescent="0.2">
      <c r="A164" s="138"/>
      <c r="B164" s="139"/>
      <c r="C164" s="140"/>
      <c r="D164" s="167">
        <f>SUMIFS(D154:D163, F154:F163, "Y")</f>
        <v>5000</v>
      </c>
      <c r="E164" s="143">
        <f>SUMIFS(E154:E163, F154:F163, "Y")</f>
        <v>1999.9999999999995</v>
      </c>
      <c r="F164" s="143">
        <f>(SUMIFS(D154:D163, F154:F163, "Y") + SUMIFS(E154:E163, F154:F163, "Y"))</f>
        <v>7000</v>
      </c>
      <c r="G164" s="140"/>
      <c r="H164" s="144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1:33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1:33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1:33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1:33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1:33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1:33" x14ac:dyDescent="0.2">
      <c r="A170" s="256">
        <v>7</v>
      </c>
      <c r="B170" s="257"/>
      <c r="C170" s="119"/>
      <c r="D170" s="119"/>
      <c r="E170" s="119"/>
      <c r="F170" s="119"/>
      <c r="G170" s="119"/>
      <c r="H170" s="12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1:33" x14ac:dyDescent="0.2">
      <c r="A171" s="258" t="s">
        <v>7</v>
      </c>
      <c r="B171" s="259"/>
      <c r="C171" s="135">
        <v>10000</v>
      </c>
      <c r="D171" s="30"/>
      <c r="E171" s="30"/>
      <c r="F171" s="30"/>
      <c r="G171" s="30"/>
      <c r="H171" s="123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1:33" x14ac:dyDescent="0.2">
      <c r="A172" s="258" t="s">
        <v>8</v>
      </c>
      <c r="B172" s="259"/>
      <c r="C172" s="82">
        <v>45747</v>
      </c>
      <c r="D172" s="30"/>
      <c r="E172" s="49"/>
      <c r="F172" s="49"/>
      <c r="G172" s="49"/>
      <c r="H172" s="125" t="s">
        <v>10</v>
      </c>
      <c r="I172" s="30"/>
      <c r="J172" s="30"/>
      <c r="K172" s="30"/>
      <c r="L172" s="30">
        <v>7500</v>
      </c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1:33" x14ac:dyDescent="0.2">
      <c r="A173" s="258" t="s">
        <v>103</v>
      </c>
      <c r="B173" s="259"/>
      <c r="C173" s="135">
        <v>2000</v>
      </c>
      <c r="D173" s="66"/>
      <c r="E173" s="260" t="s">
        <v>14</v>
      </c>
      <c r="F173" s="126" t="s">
        <v>15</v>
      </c>
      <c r="G173" s="135">
        <v>7000</v>
      </c>
      <c r="H173" s="127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1:33" x14ac:dyDescent="0.2">
      <c r="A174" s="258" t="s">
        <v>17</v>
      </c>
      <c r="B174" s="259"/>
      <c r="C174" s="50">
        <v>2</v>
      </c>
      <c r="D174" s="66"/>
      <c r="E174" s="261"/>
      <c r="F174" s="126" t="s">
        <v>18</v>
      </c>
      <c r="G174" s="50">
        <v>3000</v>
      </c>
      <c r="H174" s="127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1:33" x14ac:dyDescent="0.2">
      <c r="A175" s="258" t="s">
        <v>20</v>
      </c>
      <c r="B175" s="259"/>
      <c r="C175" s="50">
        <f>C173*C174</f>
        <v>4000</v>
      </c>
      <c r="D175" s="30"/>
      <c r="E175" s="128"/>
      <c r="F175" s="30"/>
      <c r="G175" s="66"/>
      <c r="H175" s="123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1:33" x14ac:dyDescent="0.2">
      <c r="A176" s="258" t="s">
        <v>22</v>
      </c>
      <c r="B176" s="259"/>
      <c r="C176" s="121">
        <f>C171+C175</f>
        <v>14000</v>
      </c>
      <c r="D176" s="30"/>
      <c r="E176" s="30"/>
      <c r="F176" s="30"/>
      <c r="G176" s="30"/>
      <c r="H176" s="123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1:33" x14ac:dyDescent="0.2">
      <c r="A177" s="258" t="s">
        <v>24</v>
      </c>
      <c r="B177" s="259"/>
      <c r="C177" s="146">
        <v>250</v>
      </c>
      <c r="D177" s="30" t="s">
        <v>200</v>
      </c>
      <c r="E177" s="30"/>
      <c r="F177" s="30"/>
      <c r="G177" s="30"/>
      <c r="H177" s="123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1:33" x14ac:dyDescent="0.2">
      <c r="A178" s="258" t="s">
        <v>28</v>
      </c>
      <c r="B178" s="259"/>
      <c r="C178" s="130" t="s">
        <v>154</v>
      </c>
      <c r="D178" s="30"/>
      <c r="E178" s="30"/>
      <c r="F178" s="30"/>
      <c r="G178" s="30"/>
      <c r="H178" s="123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1:33" x14ac:dyDescent="0.2">
      <c r="A179" s="131" t="s">
        <v>31</v>
      </c>
      <c r="B179" s="132" t="s">
        <v>106</v>
      </c>
      <c r="C179" s="133" t="s">
        <v>33</v>
      </c>
      <c r="D179" s="133" t="s">
        <v>34</v>
      </c>
      <c r="E179" s="133" t="s">
        <v>35</v>
      </c>
      <c r="F179" s="133" t="s">
        <v>36</v>
      </c>
      <c r="G179" s="133" t="s">
        <v>37</v>
      </c>
      <c r="H179" s="123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1:33" x14ac:dyDescent="0.2">
      <c r="A180" s="134">
        <v>0</v>
      </c>
      <c r="B180" s="135"/>
      <c r="C180" s="135"/>
      <c r="D180" s="135"/>
      <c r="E180" s="135"/>
      <c r="F180" s="135"/>
      <c r="G180" s="50">
        <f>C176</f>
        <v>14000</v>
      </c>
      <c r="H180" s="123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1:33" x14ac:dyDescent="0.2">
      <c r="A181" s="134">
        <v>1</v>
      </c>
      <c r="B181" s="137">
        <v>45754</v>
      </c>
      <c r="C181" s="135">
        <v>1250</v>
      </c>
      <c r="D181" s="135">
        <f t="shared" ref="D181:D190" si="16">C181/1.4</f>
        <v>892.85714285714289</v>
      </c>
      <c r="E181" s="135">
        <f t="shared" ref="E181:E190" si="17">C181-D181</f>
        <v>357.14285714285711</v>
      </c>
      <c r="F181" s="50" t="s">
        <v>41</v>
      </c>
      <c r="G181" s="50">
        <f t="shared" ref="G181:G190" si="18">(G180-C181)</f>
        <v>12750</v>
      </c>
      <c r="H181" s="123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1:33" x14ac:dyDescent="0.2">
      <c r="A182" s="134">
        <v>2</v>
      </c>
      <c r="B182" s="137">
        <v>45761</v>
      </c>
      <c r="C182" s="135">
        <v>1500</v>
      </c>
      <c r="D182" s="135">
        <f t="shared" si="16"/>
        <v>1071.4285714285716</v>
      </c>
      <c r="E182" s="135">
        <f t="shared" si="17"/>
        <v>428.57142857142844</v>
      </c>
      <c r="F182" s="50" t="s">
        <v>41</v>
      </c>
      <c r="G182" s="50">
        <f t="shared" si="18"/>
        <v>11250</v>
      </c>
      <c r="H182" s="123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1:33" x14ac:dyDescent="0.2">
      <c r="A183" s="134">
        <v>3</v>
      </c>
      <c r="B183" s="137">
        <v>45768</v>
      </c>
      <c r="C183" s="135">
        <v>750</v>
      </c>
      <c r="D183" s="135">
        <f t="shared" si="16"/>
        <v>535.71428571428578</v>
      </c>
      <c r="E183" s="135">
        <f t="shared" si="17"/>
        <v>214.28571428571422</v>
      </c>
      <c r="F183" s="50" t="s">
        <v>41</v>
      </c>
      <c r="G183" s="50">
        <f t="shared" si="18"/>
        <v>10500</v>
      </c>
      <c r="H183" s="123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1:33" x14ac:dyDescent="0.2">
      <c r="A184" s="134">
        <v>4</v>
      </c>
      <c r="B184" s="137">
        <v>45775</v>
      </c>
      <c r="C184" s="135">
        <v>1000</v>
      </c>
      <c r="D184" s="135">
        <f t="shared" si="16"/>
        <v>714.28571428571433</v>
      </c>
      <c r="E184" s="135">
        <f t="shared" si="17"/>
        <v>285.71428571428567</v>
      </c>
      <c r="F184" s="50" t="s">
        <v>41</v>
      </c>
      <c r="G184" s="50">
        <f t="shared" si="18"/>
        <v>9500</v>
      </c>
      <c r="H184" s="123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1:33" x14ac:dyDescent="0.2">
      <c r="A185" s="134">
        <v>5</v>
      </c>
      <c r="B185" s="137">
        <v>45782</v>
      </c>
      <c r="C185" s="135">
        <v>1000</v>
      </c>
      <c r="D185" s="135">
        <f t="shared" si="16"/>
        <v>714.28571428571433</v>
      </c>
      <c r="E185" s="135">
        <f t="shared" si="17"/>
        <v>285.71428571428567</v>
      </c>
      <c r="F185" s="50" t="s">
        <v>41</v>
      </c>
      <c r="G185" s="50">
        <f t="shared" si="18"/>
        <v>8500</v>
      </c>
      <c r="H185" s="123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1:33" x14ac:dyDescent="0.2">
      <c r="A186" s="134">
        <v>6</v>
      </c>
      <c r="B186" s="137">
        <v>45789</v>
      </c>
      <c r="C186" s="135">
        <v>1000</v>
      </c>
      <c r="D186" s="135">
        <f t="shared" si="16"/>
        <v>714.28571428571433</v>
      </c>
      <c r="E186" s="135">
        <f t="shared" si="17"/>
        <v>285.71428571428567</v>
      </c>
      <c r="F186" s="50" t="s">
        <v>107</v>
      </c>
      <c r="G186" s="50">
        <f t="shared" si="18"/>
        <v>7500</v>
      </c>
      <c r="H186" s="123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1:33" x14ac:dyDescent="0.2">
      <c r="A187" s="134">
        <v>7</v>
      </c>
      <c r="B187" s="137">
        <v>45796</v>
      </c>
      <c r="C187" s="135"/>
      <c r="D187" s="135">
        <f t="shared" si="16"/>
        <v>0</v>
      </c>
      <c r="E187" s="135">
        <f t="shared" si="17"/>
        <v>0</v>
      </c>
      <c r="F187" s="50" t="s">
        <v>107</v>
      </c>
      <c r="G187" s="50">
        <f t="shared" si="18"/>
        <v>7500</v>
      </c>
      <c r="H187" s="123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1:33" x14ac:dyDescent="0.2">
      <c r="A188" s="134">
        <v>8</v>
      </c>
      <c r="B188" s="137">
        <v>45803</v>
      </c>
      <c r="C188" s="135"/>
      <c r="D188" s="135">
        <f t="shared" si="16"/>
        <v>0</v>
      </c>
      <c r="E188" s="135">
        <f t="shared" si="17"/>
        <v>0</v>
      </c>
      <c r="F188" s="50" t="s">
        <v>107</v>
      </c>
      <c r="G188" s="50">
        <f t="shared" si="18"/>
        <v>7500</v>
      </c>
      <c r="H188" s="123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1:33" x14ac:dyDescent="0.2">
      <c r="A189" s="134">
        <v>9</v>
      </c>
      <c r="B189" s="137">
        <v>45810</v>
      </c>
      <c r="C189" s="135"/>
      <c r="D189" s="135">
        <f t="shared" si="16"/>
        <v>0</v>
      </c>
      <c r="E189" s="135">
        <f t="shared" si="17"/>
        <v>0</v>
      </c>
      <c r="F189" s="135"/>
      <c r="G189" s="50">
        <f t="shared" si="18"/>
        <v>7500</v>
      </c>
      <c r="H189" s="123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1:33" x14ac:dyDescent="0.2">
      <c r="A190" s="235"/>
      <c r="B190" s="94"/>
      <c r="C190" s="135"/>
      <c r="D190" s="135">
        <f t="shared" si="16"/>
        <v>0</v>
      </c>
      <c r="E190" s="135">
        <f t="shared" si="17"/>
        <v>0</v>
      </c>
      <c r="F190" s="135"/>
      <c r="G190" s="50">
        <f t="shared" si="18"/>
        <v>7500</v>
      </c>
      <c r="H190" s="123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1:33" x14ac:dyDescent="0.2">
      <c r="A191" s="138"/>
      <c r="B191" s="139"/>
      <c r="C191" s="140"/>
      <c r="D191" s="167">
        <f>SUMIFS(D181:D190, F181:F190, "Y")</f>
        <v>3928.5714285714284</v>
      </c>
      <c r="E191" s="143">
        <f>SUMIFS(E181:E190, F181:F190, "Y")</f>
        <v>1571.4285714285711</v>
      </c>
      <c r="F191" s="143">
        <f>(SUMIFS(D181:D190, F181:F190, "Y") + SUMIFS(E181:E190, F181:F190, "Y"))</f>
        <v>5500</v>
      </c>
      <c r="G191" s="140"/>
      <c r="H191" s="144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33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1:33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1:33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1:33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1:33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1:33" x14ac:dyDescent="0.2">
      <c r="A197" s="256">
        <v>8</v>
      </c>
      <c r="B197" s="257"/>
      <c r="C197" s="119"/>
      <c r="D197" s="119"/>
      <c r="E197" s="119"/>
      <c r="F197" s="119"/>
      <c r="G197" s="119"/>
      <c r="H197" s="12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1:33" x14ac:dyDescent="0.2">
      <c r="A198" s="258" t="s">
        <v>7</v>
      </c>
      <c r="B198" s="259"/>
      <c r="C198" s="135">
        <v>15000</v>
      </c>
      <c r="D198" s="30"/>
      <c r="E198" s="30"/>
      <c r="F198" s="30"/>
      <c r="G198" s="30"/>
      <c r="H198" s="123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1:33" x14ac:dyDescent="0.2">
      <c r="A199" s="258" t="s">
        <v>8</v>
      </c>
      <c r="B199" s="259"/>
      <c r="C199" s="82">
        <v>45761</v>
      </c>
      <c r="D199" s="30"/>
      <c r="E199" s="49"/>
      <c r="F199" s="49"/>
      <c r="G199" s="49"/>
      <c r="H199" s="125" t="s">
        <v>10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1:33" x14ac:dyDescent="0.2">
      <c r="A200" s="258" t="s">
        <v>103</v>
      </c>
      <c r="B200" s="259"/>
      <c r="C200" s="135">
        <v>3000</v>
      </c>
      <c r="D200" s="66"/>
      <c r="E200" s="260" t="s">
        <v>14</v>
      </c>
      <c r="F200" s="126" t="s">
        <v>15</v>
      </c>
      <c r="G200" s="135">
        <v>0</v>
      </c>
      <c r="H200" s="127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1:33" x14ac:dyDescent="0.2">
      <c r="A201" s="258" t="s">
        <v>17</v>
      </c>
      <c r="B201" s="259"/>
      <c r="C201" s="50">
        <v>2</v>
      </c>
      <c r="D201" s="66"/>
      <c r="E201" s="261"/>
      <c r="F201" s="126" t="s">
        <v>18</v>
      </c>
      <c r="G201" s="50">
        <v>15000</v>
      </c>
      <c r="H201" s="127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1:33" x14ac:dyDescent="0.2">
      <c r="A202" s="258" t="s">
        <v>20</v>
      </c>
      <c r="B202" s="259"/>
      <c r="C202" s="50">
        <f>C200*C201</f>
        <v>6000</v>
      </c>
      <c r="D202" s="30"/>
      <c r="E202" s="128"/>
      <c r="F202" s="30"/>
      <c r="G202" s="66"/>
      <c r="H202" s="123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1:33" x14ac:dyDescent="0.2">
      <c r="A203" s="258" t="s">
        <v>22</v>
      </c>
      <c r="B203" s="259"/>
      <c r="C203" s="121">
        <f>C198+C202</f>
        <v>21000</v>
      </c>
      <c r="D203" s="30"/>
      <c r="E203" s="30"/>
      <c r="F203" s="30"/>
      <c r="G203" s="30"/>
      <c r="H203" s="123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1:33" x14ac:dyDescent="0.2">
      <c r="A204" s="258" t="s">
        <v>154</v>
      </c>
      <c r="B204" s="259"/>
      <c r="C204" s="146">
        <v>350</v>
      </c>
      <c r="D204" s="30"/>
      <c r="E204" s="30"/>
      <c r="F204" s="30"/>
      <c r="G204" s="30"/>
      <c r="H204" s="123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1:33" x14ac:dyDescent="0.2">
      <c r="A205" s="258" t="s">
        <v>28</v>
      </c>
      <c r="B205" s="259"/>
      <c r="C205" s="126" t="s">
        <v>154</v>
      </c>
      <c r="D205" s="30"/>
      <c r="E205" s="30"/>
      <c r="F205" s="30"/>
      <c r="G205" s="30"/>
      <c r="H205" s="123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1:33" x14ac:dyDescent="0.2">
      <c r="A206" s="131" t="s">
        <v>31</v>
      </c>
      <c r="B206" s="132" t="s">
        <v>106</v>
      </c>
      <c r="C206" s="133" t="s">
        <v>33</v>
      </c>
      <c r="D206" s="133" t="s">
        <v>34</v>
      </c>
      <c r="E206" s="133" t="s">
        <v>35</v>
      </c>
      <c r="F206" s="133" t="s">
        <v>36</v>
      </c>
      <c r="G206" s="133" t="s">
        <v>37</v>
      </c>
      <c r="H206" s="123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1:33" x14ac:dyDescent="0.2">
      <c r="A207" s="134">
        <v>0</v>
      </c>
      <c r="B207" s="135"/>
      <c r="C207" s="135"/>
      <c r="D207" s="135"/>
      <c r="E207" s="135"/>
      <c r="F207" s="135"/>
      <c r="G207" s="50">
        <f>C203</f>
        <v>21000</v>
      </c>
      <c r="H207" s="123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1:33" x14ac:dyDescent="0.2">
      <c r="A208" s="134">
        <v>1</v>
      </c>
      <c r="B208" s="137">
        <v>45768</v>
      </c>
      <c r="C208" s="135">
        <v>700</v>
      </c>
      <c r="D208" s="135">
        <f t="shared" ref="D208:D217" si="19">C208/1.4</f>
        <v>500.00000000000006</v>
      </c>
      <c r="E208" s="135">
        <f t="shared" ref="E208:E217" si="20">C208-D208</f>
        <v>199.99999999999994</v>
      </c>
      <c r="F208" s="50" t="s">
        <v>41</v>
      </c>
      <c r="G208" s="50">
        <f t="shared" ref="G208:G217" si="21">(G207-C208)</f>
        <v>20300</v>
      </c>
      <c r="H208" s="123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1:33" x14ac:dyDescent="0.2">
      <c r="A209" s="134">
        <v>2</v>
      </c>
      <c r="B209" s="137">
        <v>45775</v>
      </c>
      <c r="C209" s="135">
        <v>700</v>
      </c>
      <c r="D209" s="135">
        <f t="shared" si="19"/>
        <v>500.00000000000006</v>
      </c>
      <c r="E209" s="135">
        <f t="shared" si="20"/>
        <v>199.99999999999994</v>
      </c>
      <c r="F209" s="50" t="s">
        <v>41</v>
      </c>
      <c r="G209" s="50">
        <f t="shared" si="21"/>
        <v>19600</v>
      </c>
      <c r="H209" s="123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1:33" x14ac:dyDescent="0.2">
      <c r="A210" s="134">
        <v>3</v>
      </c>
      <c r="B210" s="137">
        <v>45782</v>
      </c>
      <c r="C210" s="135">
        <v>1050</v>
      </c>
      <c r="D210" s="135">
        <f t="shared" si="19"/>
        <v>750</v>
      </c>
      <c r="E210" s="135">
        <f t="shared" si="20"/>
        <v>300</v>
      </c>
      <c r="F210" s="50" t="s">
        <v>41</v>
      </c>
      <c r="G210" s="50">
        <f t="shared" si="21"/>
        <v>18550</v>
      </c>
      <c r="H210" s="123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1:33" x14ac:dyDescent="0.2">
      <c r="A211" s="134">
        <v>4</v>
      </c>
      <c r="B211" s="137">
        <v>45789</v>
      </c>
      <c r="C211" s="135">
        <v>1050</v>
      </c>
      <c r="D211" s="135">
        <f t="shared" si="19"/>
        <v>750</v>
      </c>
      <c r="E211" s="135">
        <f t="shared" si="20"/>
        <v>300</v>
      </c>
      <c r="F211" s="50" t="s">
        <v>107</v>
      </c>
      <c r="G211" s="50">
        <f t="shared" si="21"/>
        <v>17500</v>
      </c>
      <c r="H211" s="123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1:33" x14ac:dyDescent="0.2">
      <c r="A212" s="134">
        <v>5</v>
      </c>
      <c r="B212" s="137">
        <v>45796</v>
      </c>
      <c r="C212" s="135"/>
      <c r="D212" s="135">
        <f t="shared" si="19"/>
        <v>0</v>
      </c>
      <c r="E212" s="135">
        <f t="shared" si="20"/>
        <v>0</v>
      </c>
      <c r="F212" s="50" t="s">
        <v>107</v>
      </c>
      <c r="G212" s="50">
        <f t="shared" si="21"/>
        <v>17500</v>
      </c>
      <c r="H212" s="123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1:33" x14ac:dyDescent="0.2">
      <c r="A213" s="134">
        <v>6</v>
      </c>
      <c r="B213" s="137">
        <v>45803</v>
      </c>
      <c r="C213" s="135"/>
      <c r="D213" s="135">
        <f t="shared" si="19"/>
        <v>0</v>
      </c>
      <c r="E213" s="135">
        <f t="shared" si="20"/>
        <v>0</v>
      </c>
      <c r="F213" s="50" t="s">
        <v>107</v>
      </c>
      <c r="G213" s="50">
        <f t="shared" si="21"/>
        <v>17500</v>
      </c>
      <c r="H213" s="123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1:33" x14ac:dyDescent="0.2">
      <c r="A214" s="134">
        <v>7</v>
      </c>
      <c r="B214" s="137">
        <v>45810</v>
      </c>
      <c r="C214" s="135"/>
      <c r="D214" s="135">
        <f t="shared" si="19"/>
        <v>0</v>
      </c>
      <c r="E214" s="135">
        <f t="shared" si="20"/>
        <v>0</v>
      </c>
      <c r="F214" s="50" t="s">
        <v>107</v>
      </c>
      <c r="G214" s="50">
        <f t="shared" si="21"/>
        <v>17500</v>
      </c>
      <c r="H214" s="123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1:33" x14ac:dyDescent="0.2">
      <c r="A215" s="134">
        <v>8</v>
      </c>
      <c r="B215" s="94"/>
      <c r="C215" s="135"/>
      <c r="D215" s="135">
        <f t="shared" si="19"/>
        <v>0</v>
      </c>
      <c r="E215" s="135">
        <f t="shared" si="20"/>
        <v>0</v>
      </c>
      <c r="F215" s="50" t="s">
        <v>107</v>
      </c>
      <c r="G215" s="50">
        <f t="shared" si="21"/>
        <v>17500</v>
      </c>
      <c r="H215" s="123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1:33" x14ac:dyDescent="0.2">
      <c r="A216" s="235"/>
      <c r="B216" s="94"/>
      <c r="C216" s="135"/>
      <c r="D216" s="135">
        <f t="shared" si="19"/>
        <v>0</v>
      </c>
      <c r="E216" s="135">
        <f t="shared" si="20"/>
        <v>0</v>
      </c>
      <c r="F216" s="135"/>
      <c r="G216" s="50">
        <f t="shared" si="21"/>
        <v>17500</v>
      </c>
      <c r="H216" s="123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1:33" x14ac:dyDescent="0.2">
      <c r="A217" s="235"/>
      <c r="B217" s="94"/>
      <c r="C217" s="135"/>
      <c r="D217" s="135">
        <f t="shared" si="19"/>
        <v>0</v>
      </c>
      <c r="E217" s="135">
        <f t="shared" si="20"/>
        <v>0</v>
      </c>
      <c r="F217" s="135"/>
      <c r="G217" s="50">
        <f t="shared" si="21"/>
        <v>17500</v>
      </c>
      <c r="H217" s="123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1:33" x14ac:dyDescent="0.2">
      <c r="A218" s="138"/>
      <c r="B218" s="139"/>
      <c r="C218" s="140"/>
      <c r="D218" s="167">
        <f>SUMIFS(D208:D217, F208:F217, "Y")</f>
        <v>1750</v>
      </c>
      <c r="E218" s="143">
        <f>SUMIFS(E208:E217, F208:F217, "Y")</f>
        <v>699.99999999999989</v>
      </c>
      <c r="F218" s="143">
        <f>(SUMIFS(D208:D217, F208:F217, "Y") + SUMIFS(E208:E217, F208:F217, "Y"))</f>
        <v>2450</v>
      </c>
      <c r="G218" s="140"/>
      <c r="H218" s="144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1:33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1:33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1:33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1:33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1:33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1:33" x14ac:dyDescent="0.2">
      <c r="A224" s="256">
        <v>9</v>
      </c>
      <c r="B224" s="257"/>
      <c r="C224" s="119"/>
      <c r="D224" s="119"/>
      <c r="E224" s="119"/>
      <c r="F224" s="119"/>
      <c r="G224" s="119"/>
      <c r="H224" s="12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1:33" x14ac:dyDescent="0.2">
      <c r="A225" s="258" t="s">
        <v>7</v>
      </c>
      <c r="B225" s="259"/>
      <c r="C225" s="121">
        <v>20000</v>
      </c>
      <c r="D225" s="30"/>
      <c r="E225" s="30"/>
      <c r="F225" s="30"/>
      <c r="G225" s="30"/>
      <c r="H225" s="123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1:33" x14ac:dyDescent="0.2">
      <c r="A226" s="258" t="s">
        <v>8</v>
      </c>
      <c r="B226" s="259"/>
      <c r="C226" s="124" t="s">
        <v>348</v>
      </c>
      <c r="D226" s="30"/>
      <c r="E226" s="49"/>
      <c r="F226" s="49"/>
      <c r="G226" s="49"/>
      <c r="H226" s="125" t="s">
        <v>10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1:33" x14ac:dyDescent="0.2">
      <c r="A227" s="258" t="s">
        <v>13</v>
      </c>
      <c r="B227" s="259"/>
      <c r="C227" s="50">
        <v>2000</v>
      </c>
      <c r="D227" s="66"/>
      <c r="E227" s="260" t="s">
        <v>14</v>
      </c>
      <c r="F227" s="126" t="s">
        <v>15</v>
      </c>
      <c r="G227" s="50">
        <v>7900</v>
      </c>
      <c r="H227" s="127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1:33" x14ac:dyDescent="0.2">
      <c r="A228" s="258" t="s">
        <v>17</v>
      </c>
      <c r="B228" s="259"/>
      <c r="C228" s="50">
        <v>2</v>
      </c>
      <c r="D228" s="66"/>
      <c r="E228" s="261"/>
      <c r="F228" s="126" t="s">
        <v>18</v>
      </c>
      <c r="G228" s="50">
        <v>12100</v>
      </c>
      <c r="H228" s="127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1:33" x14ac:dyDescent="0.2">
      <c r="A229" s="258" t="s">
        <v>20</v>
      </c>
      <c r="B229" s="259"/>
      <c r="C229" s="50">
        <f>C227*C228</f>
        <v>4000</v>
      </c>
      <c r="D229" s="30"/>
      <c r="E229" s="128"/>
      <c r="F229" s="30"/>
      <c r="G229" s="66"/>
      <c r="H229" s="123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1:33" x14ac:dyDescent="0.2">
      <c r="A230" s="258" t="s">
        <v>22</v>
      </c>
      <c r="B230" s="259"/>
      <c r="C230" s="121">
        <f>C225+C229</f>
        <v>24000</v>
      </c>
      <c r="D230" s="30"/>
      <c r="E230" s="30"/>
      <c r="F230" s="30"/>
      <c r="G230" s="30"/>
      <c r="H230" s="123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1:33" x14ac:dyDescent="0.2">
      <c r="A231" s="258" t="s">
        <v>109</v>
      </c>
      <c r="B231" s="259"/>
      <c r="C231" s="146">
        <v>3000</v>
      </c>
      <c r="D231" s="122" t="s">
        <v>215</v>
      </c>
      <c r="E231" s="30"/>
      <c r="F231" s="30"/>
      <c r="G231" s="30"/>
      <c r="H231" s="123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1:33" x14ac:dyDescent="0.2">
      <c r="A232" s="258" t="s">
        <v>28</v>
      </c>
      <c r="B232" s="259"/>
      <c r="C232" s="130" t="s">
        <v>29</v>
      </c>
      <c r="D232" s="30"/>
      <c r="E232" s="30"/>
      <c r="F232" s="30"/>
      <c r="G232" s="30"/>
      <c r="H232" s="123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1:33" x14ac:dyDescent="0.2">
      <c r="A233" s="134" t="s">
        <v>31</v>
      </c>
      <c r="B233" s="166" t="s">
        <v>106</v>
      </c>
      <c r="C233" s="126" t="s">
        <v>33</v>
      </c>
      <c r="D233" s="126" t="s">
        <v>34</v>
      </c>
      <c r="E233" s="126" t="s">
        <v>35</v>
      </c>
      <c r="F233" s="126" t="s">
        <v>36</v>
      </c>
      <c r="G233" s="126" t="s">
        <v>37</v>
      </c>
      <c r="H233" s="123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1:33" x14ac:dyDescent="0.2">
      <c r="A234" s="134">
        <v>0</v>
      </c>
      <c r="B234" s="135"/>
      <c r="C234" s="135"/>
      <c r="D234" s="135"/>
      <c r="E234" s="135"/>
      <c r="F234" s="135"/>
      <c r="G234" s="50">
        <f>C230</f>
        <v>24000</v>
      </c>
      <c r="H234" s="123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1:33" x14ac:dyDescent="0.2">
      <c r="A235" s="134">
        <v>1</v>
      </c>
      <c r="B235" s="137">
        <v>45782</v>
      </c>
      <c r="C235" s="135">
        <v>3000</v>
      </c>
      <c r="D235" s="135">
        <f t="shared" ref="D235:D244" si="22">C235/1.2</f>
        <v>2500</v>
      </c>
      <c r="E235" s="135">
        <f t="shared" ref="E235:E244" si="23">C235-D235</f>
        <v>500</v>
      </c>
      <c r="F235" s="50" t="s">
        <v>41</v>
      </c>
      <c r="G235" s="50">
        <f t="shared" ref="G235:G244" si="24">(G234-C235)</f>
        <v>21000</v>
      </c>
      <c r="H235" s="123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1:33" x14ac:dyDescent="0.2">
      <c r="A236" s="134">
        <v>2</v>
      </c>
      <c r="B236" s="137">
        <v>45789</v>
      </c>
      <c r="C236" s="135">
        <v>3000</v>
      </c>
      <c r="D236" s="135">
        <f t="shared" si="22"/>
        <v>2500</v>
      </c>
      <c r="E236" s="135">
        <f t="shared" si="23"/>
        <v>500</v>
      </c>
      <c r="F236" s="50" t="s">
        <v>107</v>
      </c>
      <c r="G236" s="50">
        <f t="shared" si="24"/>
        <v>18000</v>
      </c>
      <c r="H236" s="123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1:33" x14ac:dyDescent="0.2">
      <c r="A237" s="134">
        <v>3</v>
      </c>
      <c r="B237" s="137">
        <v>45796</v>
      </c>
      <c r="C237" s="135">
        <v>3000</v>
      </c>
      <c r="D237" s="135">
        <f t="shared" si="22"/>
        <v>2500</v>
      </c>
      <c r="E237" s="135">
        <f t="shared" si="23"/>
        <v>500</v>
      </c>
      <c r="F237" s="50" t="s">
        <v>107</v>
      </c>
      <c r="G237" s="50">
        <f t="shared" si="24"/>
        <v>15000</v>
      </c>
      <c r="H237" s="123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1:33" x14ac:dyDescent="0.2">
      <c r="A238" s="134">
        <v>4</v>
      </c>
      <c r="B238" s="137">
        <v>45803</v>
      </c>
      <c r="C238" s="135">
        <v>3000</v>
      </c>
      <c r="D238" s="135">
        <f t="shared" si="22"/>
        <v>2500</v>
      </c>
      <c r="E238" s="135">
        <f t="shared" si="23"/>
        <v>500</v>
      </c>
      <c r="F238" s="50" t="s">
        <v>107</v>
      </c>
      <c r="G238" s="50">
        <f t="shared" si="24"/>
        <v>12000</v>
      </c>
      <c r="H238" s="123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1:33" x14ac:dyDescent="0.2">
      <c r="A239" s="134">
        <v>5</v>
      </c>
      <c r="B239" s="137">
        <v>45810</v>
      </c>
      <c r="C239" s="135">
        <v>3000</v>
      </c>
      <c r="D239" s="135">
        <f t="shared" si="22"/>
        <v>2500</v>
      </c>
      <c r="E239" s="135">
        <f t="shared" si="23"/>
        <v>500</v>
      </c>
      <c r="F239" s="50" t="s">
        <v>107</v>
      </c>
      <c r="G239" s="50">
        <f t="shared" si="24"/>
        <v>9000</v>
      </c>
      <c r="H239" s="123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1:33" x14ac:dyDescent="0.2">
      <c r="A240" s="134">
        <v>6</v>
      </c>
      <c r="B240" s="137">
        <v>45817</v>
      </c>
      <c r="C240" s="135">
        <v>3000</v>
      </c>
      <c r="D240" s="135">
        <f t="shared" si="22"/>
        <v>2500</v>
      </c>
      <c r="E240" s="135">
        <f t="shared" si="23"/>
        <v>500</v>
      </c>
      <c r="F240" s="50" t="s">
        <v>107</v>
      </c>
      <c r="G240" s="50">
        <f t="shared" si="24"/>
        <v>6000</v>
      </c>
      <c r="H240" s="123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1:33" x14ac:dyDescent="0.2">
      <c r="A241" s="134">
        <v>7</v>
      </c>
      <c r="B241" s="137">
        <v>45824</v>
      </c>
      <c r="C241" s="135">
        <v>3000</v>
      </c>
      <c r="D241" s="135">
        <f t="shared" si="22"/>
        <v>2500</v>
      </c>
      <c r="E241" s="135">
        <f t="shared" si="23"/>
        <v>500</v>
      </c>
      <c r="F241" s="50" t="s">
        <v>107</v>
      </c>
      <c r="G241" s="50">
        <f t="shared" si="24"/>
        <v>3000</v>
      </c>
      <c r="H241" s="123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1:33" x14ac:dyDescent="0.2">
      <c r="A242" s="134">
        <v>8</v>
      </c>
      <c r="B242" s="137">
        <v>45831</v>
      </c>
      <c r="C242" s="135">
        <v>3000</v>
      </c>
      <c r="D242" s="135">
        <f t="shared" si="22"/>
        <v>2500</v>
      </c>
      <c r="E242" s="135">
        <f t="shared" si="23"/>
        <v>500</v>
      </c>
      <c r="F242" s="50" t="s">
        <v>107</v>
      </c>
      <c r="G242" s="50">
        <f t="shared" si="24"/>
        <v>0</v>
      </c>
      <c r="H242" s="123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1:33" x14ac:dyDescent="0.2">
      <c r="A243" s="134">
        <v>9</v>
      </c>
      <c r="B243" s="137"/>
      <c r="C243" s="135"/>
      <c r="D243" s="135">
        <f t="shared" si="22"/>
        <v>0</v>
      </c>
      <c r="E243" s="135">
        <f t="shared" si="23"/>
        <v>0</v>
      </c>
      <c r="F243" s="50" t="s">
        <v>107</v>
      </c>
      <c r="G243" s="50">
        <f t="shared" si="24"/>
        <v>0</v>
      </c>
      <c r="H243" s="123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1:33" x14ac:dyDescent="0.2">
      <c r="A244" s="134">
        <v>10</v>
      </c>
      <c r="B244" s="137"/>
      <c r="C244" s="135"/>
      <c r="D244" s="135">
        <f t="shared" si="22"/>
        <v>0</v>
      </c>
      <c r="E244" s="135">
        <f t="shared" si="23"/>
        <v>0</v>
      </c>
      <c r="F244" s="50" t="s">
        <v>107</v>
      </c>
      <c r="G244" s="50">
        <f t="shared" si="24"/>
        <v>0</v>
      </c>
      <c r="H244" s="123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1:33" x14ac:dyDescent="0.2">
      <c r="A245" s="138"/>
      <c r="B245" s="139"/>
      <c r="C245" s="140"/>
      <c r="D245" s="167">
        <f>SUMIFS(D235:D244, F235:F244, "Y")</f>
        <v>2500</v>
      </c>
      <c r="E245" s="167">
        <f>SUMIFS(E235:E244, F235:F244, "Y")</f>
        <v>500</v>
      </c>
      <c r="F245" s="167">
        <f>(SUMIFS(D235:D244, F235:F244, "Y") + SUMIFS(E235:E244, F235:F244, "Y"))</f>
        <v>3000</v>
      </c>
      <c r="G245" s="140"/>
      <c r="H245" s="144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1:33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1:33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1:33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1:33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1:33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1:33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1:33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1:33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1:33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1:33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1:33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1:33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1:33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1:33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1:33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1:33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1:33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1:33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1:33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1:33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1:33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1:33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1:33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1:33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1:33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1:33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1:33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1:33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1:33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1:33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1:33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1:33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1:33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1:33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1:33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1:33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1:33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1:33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1:33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1:33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1:33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1:33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1:33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1:33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1:33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1:33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1:33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1:33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1:33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1:33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1:33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1:33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1:33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1:33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1:33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1:33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1:33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1:33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1:33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1:33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1:33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1:33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1:33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1:33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1:33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1:33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1:33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1:33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1:33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1:33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1:33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1:33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1:33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1:33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1:33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1:33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1:33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1:33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1:33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1:33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1:33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1:33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1:33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1:33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1:33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1:33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1:33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1:33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1:33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1:33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1:33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1:33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1:33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1:33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1:33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1:33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1:33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1:33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1:33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1:33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1:33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1:33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1:33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1:33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1:33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1:33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1:33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1:33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1:33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1:33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1:33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1:33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1:33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1:33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1:33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1:33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1:33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1:33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1:33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1:33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1:33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1:33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1:33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1:33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1:33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1:33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1:33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1:33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1:33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1:33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1:33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1:33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1:33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1:33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1:33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1:33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1:33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1:33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1:33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1:33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1:33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1:33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1:33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1:33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1:33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1:33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1:33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1:33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1:33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1:33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1:33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1:33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1:33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1:33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1:33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1:33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1:33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1:33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1:33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1:33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1:33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1:33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1:33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1:33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1:33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1:33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1:33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1:33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1:33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1:33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1:33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1:33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1:33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1:33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1:33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1:33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1:33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1:33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1:33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1:33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1:33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1:33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1:33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1:33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1:33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1:33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 spans="1:33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  <row r="433" spans="1:33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</row>
    <row r="434" spans="1:33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</row>
    <row r="435" spans="1:33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</row>
    <row r="436" spans="1:33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</row>
    <row r="437" spans="1:33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</row>
    <row r="438" spans="1:33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</row>
    <row r="439" spans="1:33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</row>
    <row r="440" spans="1:33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</row>
    <row r="441" spans="1:33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</row>
    <row r="442" spans="1:33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</row>
    <row r="443" spans="1:33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</row>
    <row r="444" spans="1:33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</row>
    <row r="445" spans="1:33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</row>
    <row r="446" spans="1:33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</row>
    <row r="447" spans="1:33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</row>
    <row r="448" spans="1:33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</row>
    <row r="449" spans="1:33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</row>
    <row r="450" spans="1:33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</row>
    <row r="451" spans="1:33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</row>
    <row r="452" spans="1:33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</row>
    <row r="453" spans="1:33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</row>
    <row r="454" spans="1:33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</row>
    <row r="455" spans="1:33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</row>
    <row r="456" spans="1:33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</row>
    <row r="457" spans="1:33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</row>
    <row r="458" spans="1:33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</row>
    <row r="459" spans="1:33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</row>
    <row r="460" spans="1:33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</row>
    <row r="461" spans="1:33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</row>
    <row r="462" spans="1:33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</row>
    <row r="463" spans="1:33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</row>
    <row r="464" spans="1:33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</row>
    <row r="465" spans="1:33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</row>
    <row r="466" spans="1:33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</row>
    <row r="467" spans="1:33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</row>
    <row r="468" spans="1:33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</row>
    <row r="469" spans="1:33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</row>
    <row r="470" spans="1:33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</row>
    <row r="471" spans="1:33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</row>
    <row r="472" spans="1:33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</row>
    <row r="473" spans="1:33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</row>
    <row r="474" spans="1:33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</row>
    <row r="475" spans="1:33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</row>
    <row r="476" spans="1:33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</row>
    <row r="477" spans="1:33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</row>
    <row r="478" spans="1:33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</row>
    <row r="479" spans="1:33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</row>
    <row r="480" spans="1:33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</row>
    <row r="481" spans="1:33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</row>
    <row r="482" spans="1:33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</row>
    <row r="483" spans="1:33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</row>
    <row r="484" spans="1:33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</row>
    <row r="485" spans="1:33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</row>
    <row r="486" spans="1:33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</row>
    <row r="487" spans="1:33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</row>
    <row r="488" spans="1:33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</row>
    <row r="489" spans="1:33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</row>
    <row r="490" spans="1:33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</row>
    <row r="491" spans="1:33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</row>
    <row r="492" spans="1:33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</row>
    <row r="493" spans="1:33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</row>
    <row r="494" spans="1:33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</row>
    <row r="495" spans="1:33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</row>
    <row r="496" spans="1:33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</row>
    <row r="497" spans="1:33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</row>
    <row r="498" spans="1:33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</row>
    <row r="499" spans="1:33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</row>
    <row r="500" spans="1:33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</row>
    <row r="501" spans="1:33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</row>
    <row r="502" spans="1:33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</row>
    <row r="503" spans="1:33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</row>
    <row r="504" spans="1:33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</row>
    <row r="505" spans="1:33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</row>
    <row r="506" spans="1:33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</row>
    <row r="507" spans="1:33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</row>
    <row r="508" spans="1:33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</row>
    <row r="509" spans="1:33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</row>
    <row r="510" spans="1:33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</row>
    <row r="511" spans="1:33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</row>
    <row r="512" spans="1:33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</row>
    <row r="513" spans="1:33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</row>
    <row r="514" spans="1:33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</row>
    <row r="515" spans="1:33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</row>
    <row r="516" spans="1:33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</row>
    <row r="517" spans="1:33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</row>
    <row r="518" spans="1:33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</row>
    <row r="519" spans="1:33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</row>
    <row r="520" spans="1:33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</row>
    <row r="521" spans="1:33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</row>
    <row r="522" spans="1:33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</row>
    <row r="523" spans="1:33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</row>
    <row r="524" spans="1:33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</row>
    <row r="525" spans="1:33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</row>
    <row r="526" spans="1:33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</row>
    <row r="527" spans="1:33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</row>
    <row r="528" spans="1:33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</row>
    <row r="529" spans="1:33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</row>
    <row r="530" spans="1:33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</row>
    <row r="531" spans="1:33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</row>
    <row r="532" spans="1:33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</row>
    <row r="533" spans="1:33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</row>
    <row r="534" spans="1:33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</row>
    <row r="535" spans="1:33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</row>
    <row r="536" spans="1:33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</row>
    <row r="537" spans="1:33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</row>
    <row r="538" spans="1:33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</row>
    <row r="539" spans="1:33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</row>
    <row r="540" spans="1:33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</row>
    <row r="541" spans="1:33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</row>
    <row r="542" spans="1:33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</row>
    <row r="543" spans="1:33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</row>
    <row r="544" spans="1:33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</row>
    <row r="545" spans="1:33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</row>
    <row r="546" spans="1:33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</row>
    <row r="547" spans="1:33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</row>
    <row r="548" spans="1:33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</row>
    <row r="549" spans="1:33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</row>
    <row r="550" spans="1:33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</row>
    <row r="551" spans="1:33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</row>
    <row r="552" spans="1:33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</row>
    <row r="553" spans="1:33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</row>
    <row r="554" spans="1:33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</row>
    <row r="555" spans="1:33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</row>
    <row r="556" spans="1:33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</row>
    <row r="557" spans="1:33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</row>
    <row r="558" spans="1:33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</row>
    <row r="559" spans="1:33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</row>
    <row r="560" spans="1:33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</row>
    <row r="561" spans="1:33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</row>
    <row r="562" spans="1:33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</row>
    <row r="563" spans="1:33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</row>
    <row r="564" spans="1:33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</row>
    <row r="565" spans="1:33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</row>
    <row r="566" spans="1:33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</row>
    <row r="567" spans="1:33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</row>
    <row r="568" spans="1:33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</row>
    <row r="569" spans="1:33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</row>
    <row r="570" spans="1:33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</row>
    <row r="571" spans="1:33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</row>
    <row r="572" spans="1:33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</row>
    <row r="573" spans="1:33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</row>
    <row r="574" spans="1:33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</row>
    <row r="575" spans="1:33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</row>
    <row r="576" spans="1:33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</row>
    <row r="577" spans="1:33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</row>
    <row r="578" spans="1:33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</row>
    <row r="579" spans="1:33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</row>
    <row r="580" spans="1:33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</row>
    <row r="581" spans="1:33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</row>
    <row r="582" spans="1:33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</row>
    <row r="583" spans="1:33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</row>
    <row r="584" spans="1:33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</row>
    <row r="585" spans="1:33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</row>
    <row r="586" spans="1:33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</row>
    <row r="587" spans="1:33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</row>
    <row r="588" spans="1:33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</row>
    <row r="589" spans="1:33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</row>
    <row r="590" spans="1:33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</row>
    <row r="591" spans="1:33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</row>
    <row r="592" spans="1:33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</row>
    <row r="593" spans="1:33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</row>
    <row r="594" spans="1:33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</row>
    <row r="595" spans="1:33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</row>
    <row r="596" spans="1:33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</row>
    <row r="597" spans="1:33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</row>
    <row r="598" spans="1:33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</row>
    <row r="599" spans="1:33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</row>
    <row r="600" spans="1:33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</row>
    <row r="601" spans="1:33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</row>
    <row r="602" spans="1:33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</row>
    <row r="603" spans="1:33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</row>
    <row r="604" spans="1:33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</row>
    <row r="605" spans="1:33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</row>
    <row r="606" spans="1:33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</row>
    <row r="607" spans="1:33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</row>
    <row r="608" spans="1:33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</row>
    <row r="609" spans="1:33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</row>
    <row r="610" spans="1:33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</row>
    <row r="611" spans="1:33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</row>
    <row r="612" spans="1:33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</row>
    <row r="613" spans="1:33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</row>
    <row r="614" spans="1:33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</row>
    <row r="615" spans="1:33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</row>
    <row r="616" spans="1:33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</row>
    <row r="617" spans="1:33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</row>
    <row r="618" spans="1:33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</row>
    <row r="619" spans="1:33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</row>
    <row r="620" spans="1:33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</row>
    <row r="621" spans="1:33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</row>
    <row r="622" spans="1:33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</row>
    <row r="623" spans="1:33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</row>
    <row r="624" spans="1:33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</row>
    <row r="625" spans="1:33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</row>
    <row r="626" spans="1:33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</row>
    <row r="627" spans="1:33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</row>
    <row r="628" spans="1:33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</row>
    <row r="629" spans="1:33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</row>
    <row r="630" spans="1:33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</row>
    <row r="631" spans="1:33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</row>
    <row r="632" spans="1:33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</row>
    <row r="633" spans="1:33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</row>
    <row r="634" spans="1:33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</row>
    <row r="635" spans="1:33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</row>
    <row r="636" spans="1:33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</row>
    <row r="637" spans="1:33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</row>
    <row r="638" spans="1:33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</row>
    <row r="639" spans="1:33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</row>
    <row r="640" spans="1:33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</row>
    <row r="641" spans="1:33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</row>
    <row r="642" spans="1:33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</row>
    <row r="643" spans="1:33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</row>
    <row r="644" spans="1:33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</row>
    <row r="645" spans="1:33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</row>
    <row r="646" spans="1:33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</row>
    <row r="647" spans="1:33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</row>
    <row r="648" spans="1:33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</row>
    <row r="649" spans="1:33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</row>
    <row r="650" spans="1:33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</row>
    <row r="651" spans="1:33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</row>
    <row r="652" spans="1:33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</row>
    <row r="653" spans="1:33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</row>
    <row r="654" spans="1:33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</row>
    <row r="655" spans="1:33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</row>
    <row r="656" spans="1:33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</row>
    <row r="657" spans="1:33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</row>
    <row r="658" spans="1:33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</row>
    <row r="659" spans="1:33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</row>
    <row r="660" spans="1:33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</row>
    <row r="661" spans="1:33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</row>
    <row r="662" spans="1:33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</row>
    <row r="663" spans="1:33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</row>
    <row r="664" spans="1:33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</row>
    <row r="665" spans="1:33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</row>
    <row r="666" spans="1:33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</row>
    <row r="667" spans="1:33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</row>
    <row r="668" spans="1:33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</row>
    <row r="669" spans="1:33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</row>
    <row r="670" spans="1:33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</row>
    <row r="671" spans="1:33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</row>
    <row r="672" spans="1:33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</row>
    <row r="673" spans="1:33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</row>
    <row r="674" spans="1:33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</row>
    <row r="675" spans="1:33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</row>
    <row r="676" spans="1:33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</row>
    <row r="677" spans="1:33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</row>
    <row r="678" spans="1:33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</row>
    <row r="679" spans="1:33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</row>
    <row r="680" spans="1:33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</row>
    <row r="681" spans="1:33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</row>
    <row r="682" spans="1:33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</row>
    <row r="683" spans="1:33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</row>
    <row r="684" spans="1:33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</row>
    <row r="685" spans="1:33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</row>
    <row r="686" spans="1:33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</row>
    <row r="687" spans="1:33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</row>
    <row r="688" spans="1:33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</row>
    <row r="689" spans="1:33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</row>
    <row r="690" spans="1:33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</row>
    <row r="691" spans="1:33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</row>
    <row r="692" spans="1:33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</row>
    <row r="693" spans="1:33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</row>
    <row r="694" spans="1:33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</row>
    <row r="695" spans="1:33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</row>
    <row r="696" spans="1:33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</row>
    <row r="697" spans="1:33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</row>
    <row r="698" spans="1:33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</row>
    <row r="699" spans="1:33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</row>
    <row r="700" spans="1:33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</row>
    <row r="701" spans="1:33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</row>
    <row r="702" spans="1:33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</row>
    <row r="703" spans="1:33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</row>
    <row r="704" spans="1:33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</row>
    <row r="705" spans="1:33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</row>
    <row r="706" spans="1:33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</row>
    <row r="707" spans="1:33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</row>
    <row r="708" spans="1:33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</row>
    <row r="709" spans="1:33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</row>
    <row r="710" spans="1:33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</row>
    <row r="711" spans="1:33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</row>
    <row r="712" spans="1:33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</row>
    <row r="713" spans="1:33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</row>
    <row r="714" spans="1:33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</row>
    <row r="715" spans="1:33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</row>
    <row r="716" spans="1:33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</row>
    <row r="717" spans="1:33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</row>
    <row r="718" spans="1:33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</row>
    <row r="719" spans="1:33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</row>
    <row r="720" spans="1:33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</row>
    <row r="721" spans="1:33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</row>
    <row r="722" spans="1:33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</row>
    <row r="723" spans="1:33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</row>
    <row r="724" spans="1:33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</row>
    <row r="725" spans="1:33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</row>
    <row r="726" spans="1:33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</row>
    <row r="727" spans="1:33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</row>
    <row r="728" spans="1:33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</row>
    <row r="729" spans="1:33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</row>
    <row r="730" spans="1:33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</row>
    <row r="731" spans="1:33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</row>
    <row r="732" spans="1:33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</row>
    <row r="733" spans="1:33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</row>
    <row r="734" spans="1:33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</row>
    <row r="735" spans="1:33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</row>
    <row r="736" spans="1:33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</row>
    <row r="737" spans="1:33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</row>
    <row r="738" spans="1:33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</row>
    <row r="739" spans="1:33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</row>
    <row r="740" spans="1:33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</row>
    <row r="741" spans="1:33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</row>
    <row r="742" spans="1:33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</row>
    <row r="743" spans="1:33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</row>
    <row r="744" spans="1:33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</row>
    <row r="745" spans="1:33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</row>
    <row r="746" spans="1:33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</row>
    <row r="747" spans="1:33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</row>
    <row r="748" spans="1:33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</row>
    <row r="749" spans="1:33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</row>
    <row r="750" spans="1:33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</row>
    <row r="751" spans="1:33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</row>
    <row r="752" spans="1:33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</row>
    <row r="753" spans="1:33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</row>
    <row r="754" spans="1:33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</row>
    <row r="755" spans="1:33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</row>
    <row r="756" spans="1:33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</row>
    <row r="757" spans="1:33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</row>
    <row r="758" spans="1:33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</row>
    <row r="759" spans="1:33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</row>
    <row r="760" spans="1:33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</row>
    <row r="761" spans="1:33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</row>
    <row r="762" spans="1:33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</row>
    <row r="763" spans="1:33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</row>
    <row r="764" spans="1:33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</row>
    <row r="765" spans="1:33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</row>
    <row r="766" spans="1:33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</row>
    <row r="767" spans="1:33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</row>
    <row r="768" spans="1:33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</row>
    <row r="769" spans="1:33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</row>
    <row r="770" spans="1:33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</row>
    <row r="771" spans="1:33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</row>
    <row r="772" spans="1:33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</row>
    <row r="773" spans="1:33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</row>
    <row r="774" spans="1:33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</row>
    <row r="775" spans="1:33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</row>
    <row r="776" spans="1:33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</row>
    <row r="777" spans="1:33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</row>
    <row r="778" spans="1:33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</row>
    <row r="779" spans="1:33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</row>
    <row r="780" spans="1:33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</row>
    <row r="781" spans="1:33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</row>
    <row r="782" spans="1:33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</row>
    <row r="783" spans="1:33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</row>
    <row r="784" spans="1:33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</row>
    <row r="785" spans="1:33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</row>
    <row r="786" spans="1:33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</row>
    <row r="787" spans="1:33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</row>
    <row r="788" spans="1:33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</row>
    <row r="789" spans="1:33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</row>
    <row r="790" spans="1:33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</row>
    <row r="791" spans="1:33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</row>
    <row r="792" spans="1:33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</row>
    <row r="793" spans="1:33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</row>
    <row r="794" spans="1:33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</row>
    <row r="795" spans="1:33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</row>
    <row r="796" spans="1:33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</row>
    <row r="797" spans="1:33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</row>
    <row r="798" spans="1:33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</row>
    <row r="799" spans="1:33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</row>
    <row r="800" spans="1:33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</row>
    <row r="801" spans="1:33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</row>
    <row r="802" spans="1:33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</row>
    <row r="803" spans="1:33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</row>
    <row r="804" spans="1:33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</row>
    <row r="805" spans="1:33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</row>
    <row r="806" spans="1:33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</row>
    <row r="807" spans="1:33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</row>
    <row r="808" spans="1:33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</row>
    <row r="809" spans="1:33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</row>
    <row r="810" spans="1:33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</row>
    <row r="811" spans="1:33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</row>
    <row r="812" spans="1:33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</row>
    <row r="813" spans="1:33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</row>
    <row r="814" spans="1:33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</row>
    <row r="815" spans="1:33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</row>
    <row r="816" spans="1:33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</row>
    <row r="817" spans="1:33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</row>
    <row r="818" spans="1:33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</row>
    <row r="819" spans="1:33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</row>
    <row r="820" spans="1:33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</row>
    <row r="821" spans="1:33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</row>
    <row r="822" spans="1:33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</row>
    <row r="823" spans="1:33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</row>
    <row r="824" spans="1:33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</row>
    <row r="825" spans="1:33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</row>
    <row r="826" spans="1:33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</row>
    <row r="827" spans="1:33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</row>
    <row r="828" spans="1:33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</row>
    <row r="829" spans="1:33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</row>
    <row r="830" spans="1:33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</row>
    <row r="831" spans="1:33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</row>
    <row r="832" spans="1:33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</row>
    <row r="833" spans="1:33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</row>
    <row r="834" spans="1:33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</row>
    <row r="835" spans="1:33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</row>
    <row r="836" spans="1:33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</row>
    <row r="837" spans="1:33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</row>
    <row r="838" spans="1:33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</row>
    <row r="839" spans="1:33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</row>
    <row r="840" spans="1:33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</row>
    <row r="841" spans="1:33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</row>
    <row r="842" spans="1:33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</row>
    <row r="843" spans="1:33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</row>
    <row r="844" spans="1:33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</row>
    <row r="845" spans="1:33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</row>
    <row r="846" spans="1:33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</row>
    <row r="847" spans="1:33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</row>
    <row r="848" spans="1:33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</row>
    <row r="849" spans="1:33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</row>
    <row r="850" spans="1:33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</row>
    <row r="851" spans="1:33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</row>
    <row r="852" spans="1:33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</row>
    <row r="853" spans="1:33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</row>
    <row r="854" spans="1:33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</row>
    <row r="855" spans="1:33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</row>
    <row r="856" spans="1:33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</row>
    <row r="857" spans="1:33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</row>
    <row r="858" spans="1:33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</row>
    <row r="859" spans="1:33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</row>
    <row r="860" spans="1:33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</row>
    <row r="861" spans="1:33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</row>
    <row r="862" spans="1:33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</row>
    <row r="863" spans="1:33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</row>
    <row r="864" spans="1:33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</row>
    <row r="865" spans="1:33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</row>
    <row r="866" spans="1:33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</row>
    <row r="867" spans="1:33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</row>
    <row r="868" spans="1:33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</row>
    <row r="869" spans="1:33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</row>
    <row r="870" spans="1:33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</row>
    <row r="871" spans="1:33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</row>
    <row r="872" spans="1:33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</row>
    <row r="873" spans="1:33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</row>
    <row r="874" spans="1:33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</row>
    <row r="875" spans="1:33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</row>
    <row r="876" spans="1:33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</row>
    <row r="877" spans="1:33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</row>
    <row r="878" spans="1:33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</row>
    <row r="879" spans="1:33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</row>
    <row r="880" spans="1:33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</row>
    <row r="881" spans="1:33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</row>
    <row r="882" spans="1:33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</row>
    <row r="883" spans="1:33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</row>
    <row r="884" spans="1:33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</row>
    <row r="885" spans="1:33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</row>
    <row r="886" spans="1:33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</row>
    <row r="887" spans="1:33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</row>
    <row r="888" spans="1:33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</row>
    <row r="889" spans="1:33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</row>
    <row r="890" spans="1:33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</row>
    <row r="891" spans="1:33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</row>
    <row r="892" spans="1:33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</row>
    <row r="893" spans="1:33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</row>
    <row r="894" spans="1:33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</row>
    <row r="895" spans="1:33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</row>
    <row r="896" spans="1:33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</row>
    <row r="897" spans="1:33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</row>
    <row r="898" spans="1:33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</row>
    <row r="899" spans="1:33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</row>
    <row r="900" spans="1:33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</row>
    <row r="901" spans="1:33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</row>
    <row r="902" spans="1:33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</row>
    <row r="903" spans="1:33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</row>
    <row r="904" spans="1:33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</row>
    <row r="905" spans="1:33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</row>
    <row r="906" spans="1:33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</row>
    <row r="907" spans="1:33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</row>
    <row r="908" spans="1:33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</row>
    <row r="909" spans="1:33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</row>
    <row r="910" spans="1:33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</row>
    <row r="911" spans="1:33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</row>
    <row r="912" spans="1:33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</row>
    <row r="913" spans="1:33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</row>
    <row r="914" spans="1:33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</row>
    <row r="915" spans="1:33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</row>
    <row r="916" spans="1:33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</row>
    <row r="917" spans="1:33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</row>
    <row r="918" spans="1:33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</row>
    <row r="919" spans="1:33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</row>
    <row r="920" spans="1:33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</row>
    <row r="921" spans="1:33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</row>
    <row r="922" spans="1:33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</row>
    <row r="923" spans="1:33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</row>
    <row r="924" spans="1:33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</row>
    <row r="925" spans="1:33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</row>
    <row r="926" spans="1:33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</row>
    <row r="927" spans="1:33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</row>
    <row r="928" spans="1:33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</row>
    <row r="929" spans="1:33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</row>
    <row r="930" spans="1:33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</row>
    <row r="931" spans="1:33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</row>
    <row r="932" spans="1:33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</row>
    <row r="933" spans="1:33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</row>
    <row r="934" spans="1:33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</row>
    <row r="935" spans="1:33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</row>
    <row r="936" spans="1:33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</row>
    <row r="937" spans="1:33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</row>
    <row r="938" spans="1:33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</row>
    <row r="939" spans="1:33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</row>
    <row r="940" spans="1:33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</row>
    <row r="941" spans="1:33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</row>
    <row r="942" spans="1:33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</row>
    <row r="943" spans="1:33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</row>
    <row r="944" spans="1:33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</row>
    <row r="945" spans="1:33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</row>
    <row r="946" spans="1:33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</row>
    <row r="947" spans="1:33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</row>
    <row r="948" spans="1:33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</row>
    <row r="949" spans="1:33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</row>
    <row r="950" spans="1:33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</row>
    <row r="951" spans="1:33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</row>
    <row r="952" spans="1:33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</row>
    <row r="953" spans="1:33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</row>
    <row r="954" spans="1:33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</row>
    <row r="955" spans="1:33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</row>
    <row r="956" spans="1:33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</row>
    <row r="957" spans="1:33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</row>
    <row r="958" spans="1:33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</row>
    <row r="959" spans="1:33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</row>
    <row r="960" spans="1:33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</row>
    <row r="961" spans="1:33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</row>
    <row r="962" spans="1:33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</row>
    <row r="963" spans="1:33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</row>
    <row r="964" spans="1:33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</row>
    <row r="965" spans="1:33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</row>
    <row r="966" spans="1:33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</row>
    <row r="967" spans="1:33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</row>
    <row r="968" spans="1:33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</row>
    <row r="969" spans="1:33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</row>
    <row r="970" spans="1:33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</row>
    <row r="971" spans="1:33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</row>
    <row r="972" spans="1:33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</row>
    <row r="973" spans="1:33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</row>
    <row r="974" spans="1:33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</row>
    <row r="975" spans="1:33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</row>
    <row r="976" spans="1:33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</row>
    <row r="977" spans="1:33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</row>
    <row r="978" spans="1:33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</row>
    <row r="979" spans="1:33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</row>
    <row r="980" spans="1:33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</row>
    <row r="981" spans="1:33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</row>
    <row r="982" spans="1:33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</row>
    <row r="983" spans="1:33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</row>
    <row r="984" spans="1:33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</row>
    <row r="985" spans="1:33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</row>
    <row r="986" spans="1:33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</row>
    <row r="987" spans="1:33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</row>
    <row r="988" spans="1:33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</row>
    <row r="989" spans="1:33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</row>
    <row r="990" spans="1:33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</row>
    <row r="991" spans="1:33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</row>
    <row r="992" spans="1:33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</row>
    <row r="993" spans="1:33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</row>
    <row r="994" spans="1:33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</row>
    <row r="995" spans="1:33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</row>
    <row r="996" spans="1:33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</row>
    <row r="997" spans="1:33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</row>
    <row r="998" spans="1:33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</row>
    <row r="999" spans="1:33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</row>
    <row r="1000" spans="1:33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</row>
    <row r="1001" spans="1:33" x14ac:dyDescent="0.2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</row>
    <row r="1002" spans="1:33" x14ac:dyDescent="0.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</row>
    <row r="1003" spans="1:33" x14ac:dyDescent="0.2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</row>
    <row r="1004" spans="1:33" x14ac:dyDescent="0.2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</row>
    <row r="1005" spans="1:33" x14ac:dyDescent="0.2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</row>
    <row r="1006" spans="1:33" x14ac:dyDescent="0.2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</row>
  </sheetData>
  <mergeCells count="90">
    <mergeCell ref="A121:B121"/>
    <mergeCell ref="A122:B122"/>
    <mergeCell ref="A87:B87"/>
    <mergeCell ref="A88:B88"/>
    <mergeCell ref="A89:B89"/>
    <mergeCell ref="A90:B90"/>
    <mergeCell ref="A91:B91"/>
    <mergeCell ref="A114:B114"/>
    <mergeCell ref="A115:B115"/>
    <mergeCell ref="A117:B117"/>
    <mergeCell ref="E117:E118"/>
    <mergeCell ref="A118:B118"/>
    <mergeCell ref="A119:B119"/>
    <mergeCell ref="A120:B120"/>
    <mergeCell ref="A84:B84"/>
    <mergeCell ref="A85:B85"/>
    <mergeCell ref="A86:B86"/>
    <mergeCell ref="E86:E87"/>
    <mergeCell ref="A116:B116"/>
    <mergeCell ref="A61:B61"/>
    <mergeCell ref="A62:B62"/>
    <mergeCell ref="A63:B63"/>
    <mergeCell ref="A64:B64"/>
    <mergeCell ref="A83:B83"/>
    <mergeCell ref="A56:B56"/>
    <mergeCell ref="A57:B57"/>
    <mergeCell ref="A58:B58"/>
    <mergeCell ref="A59:B59"/>
    <mergeCell ref="E59:E60"/>
    <mergeCell ref="A60:B60"/>
    <mergeCell ref="A33:B33"/>
    <mergeCell ref="A34:B34"/>
    <mergeCell ref="A35:B35"/>
    <mergeCell ref="A36:B36"/>
    <mergeCell ref="A37:B37"/>
    <mergeCell ref="E227:E228"/>
    <mergeCell ref="A2:B2"/>
    <mergeCell ref="A3:B3"/>
    <mergeCell ref="A4:B4"/>
    <mergeCell ref="A5:B5"/>
    <mergeCell ref="E5:E6"/>
    <mergeCell ref="A6:B6"/>
    <mergeCell ref="A7:B7"/>
    <mergeCell ref="A8:B8"/>
    <mergeCell ref="A9:B9"/>
    <mergeCell ref="A10:B10"/>
    <mergeCell ref="A29:B29"/>
    <mergeCell ref="A30:B30"/>
    <mergeCell ref="A31:B31"/>
    <mergeCell ref="E32:E33"/>
    <mergeCell ref="A32:B32"/>
    <mergeCell ref="A231:B231"/>
    <mergeCell ref="A232:B232"/>
    <mergeCell ref="A204:B204"/>
    <mergeCell ref="A205:B205"/>
    <mergeCell ref="A224:B224"/>
    <mergeCell ref="A225:B225"/>
    <mergeCell ref="A226:B226"/>
    <mergeCell ref="A227:B227"/>
    <mergeCell ref="A202:B202"/>
    <mergeCell ref="A203:B203"/>
    <mergeCell ref="A228:B228"/>
    <mergeCell ref="A229:B229"/>
    <mergeCell ref="A230:B230"/>
    <mergeCell ref="A198:B198"/>
    <mergeCell ref="A199:B199"/>
    <mergeCell ref="A200:B200"/>
    <mergeCell ref="E200:E201"/>
    <mergeCell ref="A201:B201"/>
    <mergeCell ref="A175:B175"/>
    <mergeCell ref="A176:B176"/>
    <mergeCell ref="A177:B177"/>
    <mergeCell ref="A178:B178"/>
    <mergeCell ref="A197:B197"/>
    <mergeCell ref="A171:B171"/>
    <mergeCell ref="A172:B172"/>
    <mergeCell ref="E173:E174"/>
    <mergeCell ref="A173:B173"/>
    <mergeCell ref="A174:B174"/>
    <mergeCell ref="A148:B148"/>
    <mergeCell ref="A149:B149"/>
    <mergeCell ref="A150:B150"/>
    <mergeCell ref="A151:B151"/>
    <mergeCell ref="A170:B170"/>
    <mergeCell ref="A143:B143"/>
    <mergeCell ref="A144:B144"/>
    <mergeCell ref="A145:B145"/>
    <mergeCell ref="A146:B146"/>
    <mergeCell ref="E146:E147"/>
    <mergeCell ref="A147:B147"/>
  </mergeCells>
  <dataValidations count="2">
    <dataValidation type="list" allowBlank="1" showErrorMessage="1" sqref="F235:F244" xr:uid="{00000000-0002-0000-0400-000000000000}">
      <formula1>"-,Y,N"</formula1>
    </dataValidation>
    <dataValidation type="list" allowBlank="1" showErrorMessage="1" sqref="F13:F22 F40:F49 F67:F76 F94:F107 F125:F136 F154:F163 F181:F190 F208:F217" xr:uid="{00000000-0002-0000-0400-000001000000}">
      <formula1>"Y,N,-"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006"/>
  <sheetViews>
    <sheetView workbookViewId="0"/>
  </sheetViews>
  <sheetFormatPr defaultColWidth="12.5703125" defaultRowHeight="15.75" customHeight="1" x14ac:dyDescent="0.2"/>
  <cols>
    <col min="1" max="1" width="9.42578125" customWidth="1"/>
    <col min="2" max="2" width="20.42578125" customWidth="1"/>
    <col min="3" max="3" width="14.42578125" customWidth="1"/>
    <col min="4" max="4" width="16.140625" customWidth="1"/>
    <col min="6" max="6" width="16.42578125" customWidth="1"/>
    <col min="10" max="10" width="26.85546875" customWidth="1"/>
    <col min="11" max="11" width="9.7109375" customWidth="1"/>
    <col min="14" max="14" width="13.28515625" customWidth="1"/>
    <col min="15" max="15" width="9.140625" customWidth="1"/>
    <col min="16" max="16" width="14.85546875" customWidth="1"/>
    <col min="17" max="17" width="9.85546875" customWidth="1"/>
    <col min="18" max="18" width="15.5703125" customWidth="1"/>
    <col min="19" max="19" width="9.42578125" customWidth="1"/>
    <col min="20" max="20" width="15.85546875" customWidth="1"/>
    <col min="21" max="21" width="9.5703125" customWidth="1"/>
    <col min="22" max="22" width="16.140625" customWidth="1"/>
    <col min="24" max="24" width="15.5703125" customWidth="1"/>
    <col min="28" max="28" width="14.28515625" customWidth="1"/>
    <col min="30" max="30" width="13.85546875" customWidth="1"/>
  </cols>
  <sheetData>
    <row r="1" spans="1:33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x14ac:dyDescent="0.2">
      <c r="A2" s="256">
        <v>1</v>
      </c>
      <c r="B2" s="257"/>
      <c r="C2" s="114"/>
      <c r="D2" s="31"/>
      <c r="E2" s="31"/>
      <c r="F2" s="31"/>
      <c r="G2" s="31"/>
      <c r="H2" s="32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x14ac:dyDescent="0.2">
      <c r="A3" s="265" t="s">
        <v>7</v>
      </c>
      <c r="B3" s="259"/>
      <c r="C3" s="65">
        <v>10000</v>
      </c>
      <c r="D3" s="35"/>
      <c r="E3" s="35"/>
      <c r="F3" s="35"/>
      <c r="G3" s="35"/>
      <c r="H3" s="36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x14ac:dyDescent="0.2">
      <c r="A4" s="265" t="s">
        <v>8</v>
      </c>
      <c r="B4" s="259"/>
      <c r="C4" s="113">
        <v>45693</v>
      </c>
      <c r="D4" s="35"/>
      <c r="E4" s="38"/>
      <c r="F4" s="38"/>
      <c r="G4" s="38"/>
      <c r="H4" s="39" t="s">
        <v>10</v>
      </c>
      <c r="I4" s="30"/>
      <c r="J4" s="47" t="s">
        <v>11</v>
      </c>
      <c r="K4" s="81" t="s">
        <v>12</v>
      </c>
      <c r="L4" s="81" t="s">
        <v>10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">
      <c r="A5" s="265" t="s">
        <v>103</v>
      </c>
      <c r="B5" s="259"/>
      <c r="C5" s="65">
        <v>2000</v>
      </c>
      <c r="D5" s="44"/>
      <c r="E5" s="266" t="s">
        <v>14</v>
      </c>
      <c r="F5" s="45" t="s">
        <v>15</v>
      </c>
      <c r="G5" s="43">
        <v>10000</v>
      </c>
      <c r="H5" s="46"/>
      <c r="I5" s="30"/>
      <c r="J5" s="47" t="s">
        <v>16</v>
      </c>
      <c r="K5" s="157">
        <f>SUM(G5,G32,G61,G92,G119,G146,G173,G200)</f>
        <v>20650</v>
      </c>
      <c r="L5" s="1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s="265" t="s">
        <v>17</v>
      </c>
      <c r="B6" s="259"/>
      <c r="C6" s="43">
        <v>2</v>
      </c>
      <c r="D6" s="44"/>
      <c r="E6" s="261"/>
      <c r="F6" s="45" t="s">
        <v>18</v>
      </c>
      <c r="G6" s="43">
        <v>0</v>
      </c>
      <c r="H6" s="46"/>
      <c r="I6" s="30"/>
      <c r="J6" s="47" t="s">
        <v>19</v>
      </c>
      <c r="K6" s="50"/>
      <c r="L6" s="1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">
      <c r="A7" s="265" t="s">
        <v>20</v>
      </c>
      <c r="B7" s="259"/>
      <c r="C7" s="43">
        <f>C5*C6</f>
        <v>4000</v>
      </c>
      <c r="D7" s="35"/>
      <c r="E7" s="54"/>
      <c r="F7" s="35"/>
      <c r="G7" s="44"/>
      <c r="H7" s="36"/>
      <c r="I7" s="30"/>
      <c r="J7" s="47" t="s">
        <v>21</v>
      </c>
      <c r="K7" s="50">
        <f>SUM(C8,C35,C64,C95,C122,C149,C176,C203)</f>
        <v>75000</v>
      </c>
      <c r="L7" s="1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x14ac:dyDescent="0.2">
      <c r="A8" s="265" t="s">
        <v>22</v>
      </c>
      <c r="B8" s="259"/>
      <c r="C8" s="33">
        <f>C3+C7</f>
        <v>14000</v>
      </c>
      <c r="D8" s="35"/>
      <c r="E8" s="35"/>
      <c r="F8" s="35"/>
      <c r="G8" s="35"/>
      <c r="H8" s="36"/>
      <c r="I8" s="30"/>
      <c r="J8" s="47" t="s">
        <v>23</v>
      </c>
      <c r="K8" s="50">
        <f>K7-SUM(F23,F52,F83,F110,F137,F164,F191,F218)</f>
        <v>37500</v>
      </c>
      <c r="L8" s="1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">
      <c r="A9" s="265" t="s">
        <v>144</v>
      </c>
      <c r="B9" s="259"/>
      <c r="C9" s="57">
        <v>250</v>
      </c>
      <c r="D9" s="35" t="s">
        <v>347</v>
      </c>
      <c r="E9" s="35"/>
      <c r="F9" s="35"/>
      <c r="G9" s="35"/>
      <c r="H9" s="36"/>
      <c r="I9" s="30"/>
      <c r="J9" s="47" t="s">
        <v>27</v>
      </c>
      <c r="K9" s="50">
        <f>SUM(G6,G33,G62,G93,G120,G147,G174,G201)</f>
        <v>34350</v>
      </c>
      <c r="L9" s="1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x14ac:dyDescent="0.2">
      <c r="A10" s="265" t="s">
        <v>28</v>
      </c>
      <c r="B10" s="259"/>
      <c r="C10" s="58" t="s">
        <v>29</v>
      </c>
      <c r="D10" s="35"/>
      <c r="E10" s="35"/>
      <c r="F10" s="35"/>
      <c r="G10" s="35"/>
      <c r="H10" s="36"/>
      <c r="I10" s="30"/>
      <c r="J10" s="59" t="s">
        <v>30</v>
      </c>
      <c r="K10" s="60">
        <f>K7-K8-K9</f>
        <v>3150</v>
      </c>
      <c r="L10" s="130">
        <f>1750</f>
        <v>1750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">
      <c r="A11" s="62" t="s">
        <v>31</v>
      </c>
      <c r="B11" s="63" t="s">
        <v>106</v>
      </c>
      <c r="C11" s="45" t="s">
        <v>33</v>
      </c>
      <c r="D11" s="45" t="s">
        <v>34</v>
      </c>
      <c r="E11" s="45" t="s">
        <v>35</v>
      </c>
      <c r="F11" s="45" t="s">
        <v>36</v>
      </c>
      <c r="G11" s="45" t="s">
        <v>37</v>
      </c>
      <c r="H11" s="36"/>
      <c r="I11" s="30"/>
      <c r="J11" s="47" t="s">
        <v>38</v>
      </c>
      <c r="K11" s="64" t="e">
        <f ca="1">MINUS(K8,K5)</f>
        <v>#NAME?</v>
      </c>
      <c r="L11" s="1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x14ac:dyDescent="0.2">
      <c r="A12" s="62">
        <v>0</v>
      </c>
      <c r="B12" s="65"/>
      <c r="C12" s="65"/>
      <c r="D12" s="65"/>
      <c r="E12" s="65"/>
      <c r="F12" s="65"/>
      <c r="G12" s="43">
        <f>C8</f>
        <v>14000</v>
      </c>
      <c r="H12" s="36"/>
      <c r="I12" s="30"/>
      <c r="J12" s="47" t="s">
        <v>39</v>
      </c>
      <c r="K12" s="64">
        <f>SUM(E23,E52,E83,E110,E137,E164,E191,E218)</f>
        <v>10714.285714285714</v>
      </c>
      <c r="L12" s="1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x14ac:dyDescent="0.2">
      <c r="A13" s="62">
        <v>1</v>
      </c>
      <c r="B13" s="100">
        <v>45698</v>
      </c>
      <c r="C13" s="65">
        <v>750</v>
      </c>
      <c r="D13" s="65">
        <f t="shared" ref="D13:D22" si="0">C13/1.4</f>
        <v>535.71428571428578</v>
      </c>
      <c r="E13" s="65">
        <f t="shared" ref="E13:E22" si="1">C13-D13</f>
        <v>214.28571428571422</v>
      </c>
      <c r="F13" s="43" t="s">
        <v>41</v>
      </c>
      <c r="G13" s="43">
        <f t="shared" ref="G13:G22" si="2">(G12-C13)</f>
        <v>13250</v>
      </c>
      <c r="H13" s="36"/>
      <c r="I13" s="30"/>
      <c r="J13" s="47" t="s">
        <v>42</v>
      </c>
      <c r="K13" s="64"/>
      <c r="L13" s="130"/>
      <c r="M13" s="153">
        <f>SUM(O13:O14)</f>
        <v>4250</v>
      </c>
      <c r="N13" s="68" t="s">
        <v>349</v>
      </c>
      <c r="O13" s="253">
        <v>1750</v>
      </c>
      <c r="P13" s="70" t="s">
        <v>44</v>
      </c>
      <c r="Q13" s="253">
        <f>SUM(C16,C40)</f>
        <v>2750</v>
      </c>
      <c r="R13" s="70" t="s">
        <v>223</v>
      </c>
      <c r="S13" s="253">
        <f>SUM(C17,C41)</f>
        <v>3500</v>
      </c>
      <c r="T13" s="70" t="s">
        <v>224</v>
      </c>
      <c r="U13" s="253">
        <f>SUM(C18,C42,C69)</f>
        <v>3750</v>
      </c>
      <c r="V13" s="70" t="s">
        <v>225</v>
      </c>
      <c r="W13" s="253">
        <f>SUM(C19,C43,C70)</f>
        <v>4500</v>
      </c>
      <c r="X13" s="70" t="s">
        <v>226</v>
      </c>
      <c r="Y13" s="253">
        <f>SUM(C20,C44,C71)</f>
        <v>4000</v>
      </c>
      <c r="Z13" s="70" t="s">
        <v>49</v>
      </c>
      <c r="AA13" s="71">
        <f>SUM(C45,C72,C100)</f>
        <v>3550</v>
      </c>
      <c r="AB13" s="70" t="s">
        <v>50</v>
      </c>
      <c r="AC13" s="71">
        <f>SUM(C46,C73,C101)</f>
        <v>3050</v>
      </c>
      <c r="AD13" s="70" t="s">
        <v>51</v>
      </c>
      <c r="AE13" s="71">
        <f>SUM(C47,C74,C102)</f>
        <v>1250</v>
      </c>
      <c r="AF13" s="70" t="s">
        <v>52</v>
      </c>
      <c r="AG13" s="71">
        <f>SUM(C48,C75,C103)</f>
        <v>1750</v>
      </c>
    </row>
    <row r="14" spans="1:33" x14ac:dyDescent="0.2">
      <c r="A14" s="62">
        <v>2</v>
      </c>
      <c r="B14" s="100">
        <v>45705</v>
      </c>
      <c r="C14" s="65">
        <v>1750</v>
      </c>
      <c r="D14" s="65">
        <f t="shared" si="0"/>
        <v>1250</v>
      </c>
      <c r="E14" s="65">
        <f t="shared" si="1"/>
        <v>500</v>
      </c>
      <c r="F14" s="43" t="s">
        <v>41</v>
      </c>
      <c r="G14" s="43">
        <f t="shared" si="2"/>
        <v>11500</v>
      </c>
      <c r="H14" s="36"/>
      <c r="I14" s="30"/>
      <c r="J14" s="47" t="s">
        <v>54</v>
      </c>
      <c r="K14" s="50"/>
      <c r="L14" s="130"/>
      <c r="M14" s="66"/>
      <c r="N14" s="74" t="s">
        <v>350</v>
      </c>
      <c r="O14" s="75">
        <v>2500</v>
      </c>
      <c r="P14" s="76" t="s">
        <v>56</v>
      </c>
      <c r="Q14" s="75">
        <v>0</v>
      </c>
      <c r="R14" s="76" t="s">
        <v>57</v>
      </c>
      <c r="S14" s="75">
        <v>2750</v>
      </c>
      <c r="T14" s="76" t="s">
        <v>58</v>
      </c>
      <c r="U14" s="75">
        <v>0</v>
      </c>
      <c r="V14" s="76" t="s">
        <v>59</v>
      </c>
      <c r="W14" s="75">
        <v>3750</v>
      </c>
      <c r="X14" s="76" t="s">
        <v>60</v>
      </c>
      <c r="Y14" s="75">
        <v>8250</v>
      </c>
      <c r="Z14" s="76" t="s">
        <v>61</v>
      </c>
      <c r="AA14" s="75">
        <v>0</v>
      </c>
      <c r="AB14" s="76" t="s">
        <v>62</v>
      </c>
      <c r="AC14" s="75">
        <v>3550</v>
      </c>
      <c r="AD14" s="76" t="s">
        <v>63</v>
      </c>
      <c r="AE14" s="75">
        <v>6600</v>
      </c>
      <c r="AF14" s="76" t="s">
        <v>64</v>
      </c>
      <c r="AG14" s="75">
        <v>7850</v>
      </c>
    </row>
    <row r="15" spans="1:33" x14ac:dyDescent="0.2">
      <c r="A15" s="62">
        <v>3</v>
      </c>
      <c r="B15" s="100">
        <v>45712</v>
      </c>
      <c r="C15" s="65">
        <v>1750</v>
      </c>
      <c r="D15" s="65">
        <f t="shared" si="0"/>
        <v>1250</v>
      </c>
      <c r="E15" s="65">
        <f t="shared" si="1"/>
        <v>500</v>
      </c>
      <c r="F15" s="43" t="s">
        <v>41</v>
      </c>
      <c r="G15" s="43">
        <f t="shared" si="2"/>
        <v>9750</v>
      </c>
      <c r="H15" s="36"/>
      <c r="J15" s="30"/>
      <c r="K15" s="30"/>
      <c r="L15" s="30"/>
      <c r="M15" s="66"/>
      <c r="N15" s="74"/>
      <c r="O15" s="75"/>
      <c r="P15" s="74"/>
      <c r="Q15" s="75"/>
      <c r="R15" s="74"/>
      <c r="S15" s="75"/>
      <c r="T15" s="74"/>
      <c r="U15" s="75"/>
      <c r="V15" s="74"/>
      <c r="W15" s="75"/>
      <c r="X15" s="74" t="s">
        <v>351</v>
      </c>
      <c r="Y15" s="75">
        <v>2000</v>
      </c>
      <c r="Z15" s="74"/>
      <c r="AA15" s="75"/>
      <c r="AB15" s="74"/>
      <c r="AC15" s="75"/>
      <c r="AD15" s="74"/>
      <c r="AE15" s="75"/>
      <c r="AF15" s="74"/>
      <c r="AG15" s="75"/>
    </row>
    <row r="16" spans="1:33" x14ac:dyDescent="0.2">
      <c r="A16" s="62">
        <v>4</v>
      </c>
      <c r="B16" s="100">
        <v>45719</v>
      </c>
      <c r="C16" s="65">
        <v>1750</v>
      </c>
      <c r="D16" s="65">
        <f t="shared" si="0"/>
        <v>1250</v>
      </c>
      <c r="E16" s="65">
        <f t="shared" si="1"/>
        <v>500</v>
      </c>
      <c r="F16" s="43" t="s">
        <v>41</v>
      </c>
      <c r="G16" s="43">
        <f t="shared" si="2"/>
        <v>8000</v>
      </c>
      <c r="H16" s="36"/>
      <c r="J16" s="30"/>
      <c r="K16" s="30"/>
      <c r="L16" s="30"/>
      <c r="M16" s="66"/>
      <c r="N16" s="77" t="s">
        <v>325</v>
      </c>
      <c r="O16" s="78"/>
      <c r="P16" s="77" t="s">
        <v>325</v>
      </c>
      <c r="Q16" s="78"/>
      <c r="R16" s="77" t="s">
        <v>325</v>
      </c>
      <c r="S16" s="78"/>
      <c r="T16" s="77" t="s">
        <v>325</v>
      </c>
      <c r="U16" s="78">
        <f>SUM(U13:U15)</f>
        <v>3750</v>
      </c>
      <c r="V16" s="77" t="s">
        <v>325</v>
      </c>
      <c r="W16" s="78">
        <f>SUM(W13:W15)</f>
        <v>8250</v>
      </c>
      <c r="X16" s="77" t="s">
        <v>325</v>
      </c>
      <c r="Y16" s="78">
        <f>SUM(Y13:Y15)</f>
        <v>14250</v>
      </c>
      <c r="Z16" s="77" t="s">
        <v>325</v>
      </c>
      <c r="AA16" s="78">
        <f>SUM(AA13:AA15)</f>
        <v>3550</v>
      </c>
      <c r="AB16" s="77" t="s">
        <v>325</v>
      </c>
      <c r="AC16" s="78">
        <f>SUM(AC13:AC15)</f>
        <v>6600</v>
      </c>
      <c r="AD16" s="77" t="s">
        <v>325</v>
      </c>
      <c r="AE16" s="78">
        <f>SUM(AE13:AE15)</f>
        <v>7850</v>
      </c>
      <c r="AF16" s="77" t="s">
        <v>325</v>
      </c>
      <c r="AG16" s="78">
        <f>SUM(AG13:AG15)</f>
        <v>9600</v>
      </c>
    </row>
    <row r="17" spans="1:33" x14ac:dyDescent="0.2">
      <c r="A17" s="62">
        <v>5</v>
      </c>
      <c r="B17" s="103">
        <v>45726</v>
      </c>
      <c r="C17" s="65">
        <v>1750</v>
      </c>
      <c r="D17" s="65">
        <f t="shared" si="0"/>
        <v>1250</v>
      </c>
      <c r="E17" s="65">
        <f t="shared" si="1"/>
        <v>500</v>
      </c>
      <c r="F17" s="43" t="s">
        <v>41</v>
      </c>
      <c r="G17" s="43">
        <f t="shared" si="2"/>
        <v>6250</v>
      </c>
      <c r="H17" s="36"/>
      <c r="I17" s="30"/>
      <c r="J17" s="30"/>
      <c r="K17" s="30"/>
      <c r="L17" s="30"/>
      <c r="M17" s="66"/>
      <c r="N17" s="66"/>
      <c r="O17" s="66"/>
      <c r="P17" s="66"/>
      <c r="Q17" s="66"/>
      <c r="R17" s="66"/>
      <c r="S17" s="66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x14ac:dyDescent="0.2">
      <c r="A18" s="62">
        <v>6</v>
      </c>
      <c r="B18" s="103">
        <v>45733</v>
      </c>
      <c r="C18" s="65">
        <v>1500</v>
      </c>
      <c r="D18" s="65">
        <f t="shared" si="0"/>
        <v>1071.4285714285716</v>
      </c>
      <c r="E18" s="65">
        <f t="shared" si="1"/>
        <v>428.57142857142844</v>
      </c>
      <c r="F18" s="43" t="s">
        <v>41</v>
      </c>
      <c r="G18" s="43">
        <f t="shared" si="2"/>
        <v>4750</v>
      </c>
      <c r="H18" s="36"/>
      <c r="I18" s="30"/>
      <c r="J18" s="80"/>
      <c r="K18" s="30"/>
      <c r="L18" s="30"/>
      <c r="M18" s="66"/>
      <c r="N18" s="66"/>
      <c r="O18" s="66"/>
      <c r="P18" s="66"/>
      <c r="Q18" s="66"/>
      <c r="R18" s="66"/>
      <c r="S18" s="66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x14ac:dyDescent="0.2">
      <c r="A19" s="62">
        <v>7</v>
      </c>
      <c r="B19" s="103">
        <v>45740</v>
      </c>
      <c r="C19" s="65">
        <v>1500</v>
      </c>
      <c r="D19" s="65">
        <f t="shared" si="0"/>
        <v>1071.4285714285716</v>
      </c>
      <c r="E19" s="65">
        <f t="shared" si="1"/>
        <v>428.57142857142844</v>
      </c>
      <c r="F19" s="43" t="s">
        <v>41</v>
      </c>
      <c r="G19" s="43">
        <f t="shared" si="2"/>
        <v>3250</v>
      </c>
      <c r="H19" s="36"/>
      <c r="I19" s="30"/>
      <c r="J19" s="30"/>
      <c r="K19" s="48"/>
      <c r="L19" s="30"/>
      <c r="M19" s="30"/>
      <c r="N19" s="70" t="s">
        <v>77</v>
      </c>
      <c r="O19" s="72">
        <f>SUM(C49,C76,C104)</f>
        <v>3150</v>
      </c>
      <c r="P19" s="70" t="s">
        <v>78</v>
      </c>
      <c r="Q19" s="72">
        <f>SUM(C50,C77,C105)</f>
        <v>3050</v>
      </c>
      <c r="R19" s="70"/>
      <c r="S19" s="72"/>
      <c r="T19" s="70"/>
      <c r="U19" s="72"/>
      <c r="V19" s="70"/>
      <c r="W19" s="72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x14ac:dyDescent="0.2">
      <c r="A20" s="62">
        <v>8</v>
      </c>
      <c r="B20" s="103">
        <v>45747</v>
      </c>
      <c r="C20" s="65">
        <v>1250</v>
      </c>
      <c r="D20" s="65">
        <f t="shared" si="0"/>
        <v>892.85714285714289</v>
      </c>
      <c r="E20" s="65">
        <f t="shared" si="1"/>
        <v>357.14285714285711</v>
      </c>
      <c r="F20" s="43" t="s">
        <v>41</v>
      </c>
      <c r="G20" s="43">
        <f t="shared" si="2"/>
        <v>2000</v>
      </c>
      <c r="H20" s="36"/>
      <c r="I20" s="30"/>
      <c r="J20" s="30"/>
      <c r="K20" s="199"/>
      <c r="L20" s="152"/>
      <c r="M20" s="30"/>
      <c r="N20" s="76" t="s">
        <v>237</v>
      </c>
      <c r="O20" s="75">
        <v>0</v>
      </c>
      <c r="P20" s="76" t="s">
        <v>84</v>
      </c>
      <c r="Q20" s="75">
        <v>3150</v>
      </c>
      <c r="R20" s="76"/>
      <c r="S20" s="75"/>
      <c r="T20" s="76"/>
      <c r="U20" s="75"/>
      <c r="V20" s="76"/>
      <c r="W20" s="75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x14ac:dyDescent="0.2">
      <c r="A21" s="62">
        <v>9</v>
      </c>
      <c r="B21" s="103">
        <v>45747</v>
      </c>
      <c r="C21" s="65">
        <v>2000</v>
      </c>
      <c r="D21" s="65">
        <f t="shared" si="0"/>
        <v>1428.5714285714287</v>
      </c>
      <c r="E21" s="65">
        <f t="shared" si="1"/>
        <v>571.42857142857133</v>
      </c>
      <c r="F21" s="43" t="s">
        <v>41</v>
      </c>
      <c r="G21" s="43">
        <f t="shared" si="2"/>
        <v>0</v>
      </c>
      <c r="H21" s="36"/>
      <c r="I21" s="30"/>
      <c r="J21" s="30"/>
      <c r="K21" s="122"/>
      <c r="L21" s="66"/>
      <c r="M21" s="30"/>
      <c r="N21" s="74"/>
      <c r="O21" s="75"/>
      <c r="P21" s="74"/>
      <c r="Q21" s="75"/>
      <c r="R21" s="74"/>
      <c r="S21" s="75"/>
      <c r="T21" s="74"/>
      <c r="U21" s="75"/>
      <c r="V21" s="74"/>
      <c r="W21" s="75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x14ac:dyDescent="0.2">
      <c r="A22" s="62">
        <v>10</v>
      </c>
      <c r="B22" s="103"/>
      <c r="C22" s="65"/>
      <c r="D22" s="65">
        <f t="shared" si="0"/>
        <v>0</v>
      </c>
      <c r="E22" s="65">
        <f t="shared" si="1"/>
        <v>0</v>
      </c>
      <c r="F22" s="65"/>
      <c r="G22" s="43">
        <f t="shared" si="2"/>
        <v>0</v>
      </c>
      <c r="H22" s="36"/>
      <c r="I22" s="30"/>
      <c r="J22" s="30"/>
      <c r="K22" s="122"/>
      <c r="L22" s="30"/>
      <c r="M22" s="30"/>
      <c r="N22" s="74"/>
      <c r="O22" s="75"/>
      <c r="P22" s="74"/>
      <c r="Q22" s="75"/>
      <c r="R22" s="74"/>
      <c r="S22" s="75"/>
      <c r="T22" s="74"/>
      <c r="U22" s="75"/>
      <c r="V22" s="74"/>
      <c r="W22" s="75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x14ac:dyDescent="0.2">
      <c r="A23" s="89"/>
      <c r="B23" s="90"/>
      <c r="C23" s="91"/>
      <c r="D23" s="111">
        <f>SUMIFS(D13:D22, F13:F22, "Y")</f>
        <v>10000.000000000002</v>
      </c>
      <c r="E23" s="111">
        <f>SUMIFS(E13:E22, F13:F22, "Y")</f>
        <v>4000</v>
      </c>
      <c r="F23" s="92">
        <f>(SUMIFS(D13:D22, F13:F22, "Y") + SUMIFS(E13:E22, F13:F22, "Y"))</f>
        <v>14000.000000000002</v>
      </c>
      <c r="G23" s="91"/>
      <c r="H23" s="93"/>
      <c r="I23" s="30"/>
      <c r="J23" s="53"/>
      <c r="K23" s="249"/>
      <c r="L23" s="30"/>
      <c r="M23" s="30"/>
      <c r="N23" s="77" t="s">
        <v>72</v>
      </c>
      <c r="O23" s="78">
        <f>SUM(O19:O22)</f>
        <v>3150</v>
      </c>
      <c r="P23" s="77" t="s">
        <v>72</v>
      </c>
      <c r="Q23" s="78">
        <f>SUM(Q19:Q22)</f>
        <v>6200</v>
      </c>
      <c r="R23" s="77" t="s">
        <v>72</v>
      </c>
      <c r="S23" s="78">
        <f>SUM(S19:S22)</f>
        <v>0</v>
      </c>
      <c r="T23" s="77" t="s">
        <v>72</v>
      </c>
      <c r="U23" s="78">
        <f>SUM(U19:U22)</f>
        <v>0</v>
      </c>
      <c r="V23" s="77" t="s">
        <v>72</v>
      </c>
      <c r="W23" s="78">
        <f>SUM(W19:W22)</f>
        <v>0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x14ac:dyDescent="0.2">
      <c r="A25" s="30"/>
      <c r="B25" s="30"/>
      <c r="C25" s="30"/>
      <c r="D25" s="30"/>
      <c r="E25" s="30"/>
      <c r="F25" s="30"/>
      <c r="G25" s="30"/>
      <c r="H25" s="30"/>
      <c r="I25" s="30"/>
      <c r="J25" s="8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48"/>
      <c r="L26" s="30"/>
      <c r="M26" s="30"/>
      <c r="N26" s="70"/>
      <c r="O26" s="72"/>
      <c r="P26" s="70"/>
      <c r="Q26" s="72"/>
      <c r="R26" s="70"/>
      <c r="S26" s="72"/>
      <c r="T26" s="70"/>
      <c r="U26" s="72"/>
      <c r="V26" s="70"/>
      <c r="W26" s="72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199"/>
      <c r="L27" s="30"/>
      <c r="M27" s="30"/>
      <c r="N27" s="76"/>
      <c r="O27" s="75"/>
      <c r="P27" s="76"/>
      <c r="Q27" s="75">
        <v>0</v>
      </c>
      <c r="R27" s="76"/>
      <c r="S27" s="75"/>
      <c r="T27" s="76"/>
      <c r="U27" s="75"/>
      <c r="V27" s="76"/>
      <c r="W27" s="75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122"/>
      <c r="L28" s="30"/>
      <c r="M28" s="30"/>
      <c r="N28" s="74"/>
      <c r="O28" s="75"/>
      <c r="P28" s="74"/>
      <c r="Q28" s="75"/>
      <c r="R28" s="74"/>
      <c r="S28" s="75"/>
      <c r="T28" s="74"/>
      <c r="U28" s="75"/>
      <c r="V28" s="74"/>
      <c r="W28" s="75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x14ac:dyDescent="0.2">
      <c r="A29" s="256">
        <v>2</v>
      </c>
      <c r="B29" s="257"/>
      <c r="C29" s="119"/>
      <c r="D29" s="119"/>
      <c r="E29" s="119"/>
      <c r="F29" s="119"/>
      <c r="G29" s="119"/>
      <c r="H29" s="120"/>
      <c r="I29" s="30"/>
      <c r="J29" s="160"/>
      <c r="K29" s="122"/>
      <c r="L29" s="30"/>
      <c r="M29" s="30"/>
      <c r="N29" s="74"/>
      <c r="O29" s="75"/>
      <c r="P29" s="74"/>
      <c r="Q29" s="75"/>
      <c r="R29" s="74"/>
      <c r="S29" s="75"/>
      <c r="T29" s="74"/>
      <c r="U29" s="75"/>
      <c r="V29" s="74"/>
      <c r="W29" s="75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x14ac:dyDescent="0.2">
      <c r="A30" s="258" t="s">
        <v>7</v>
      </c>
      <c r="B30" s="259"/>
      <c r="C30" s="50">
        <v>10000</v>
      </c>
      <c r="D30" s="30"/>
      <c r="E30" s="30"/>
      <c r="F30" s="30"/>
      <c r="G30" s="30"/>
      <c r="H30" s="123"/>
      <c r="I30" s="30"/>
      <c r="J30" s="160"/>
      <c r="K30" s="30"/>
      <c r="L30" s="30"/>
      <c r="M30" s="30"/>
      <c r="N30" s="77" t="s">
        <v>72</v>
      </c>
      <c r="O30" s="78">
        <f>SUM(O26:O29)</f>
        <v>0</v>
      </c>
      <c r="P30" s="77" t="s">
        <v>72</v>
      </c>
      <c r="Q30" s="78">
        <f>SUM(Q26:Q29)</f>
        <v>0</v>
      </c>
      <c r="R30" s="77" t="s">
        <v>72</v>
      </c>
      <c r="S30" s="78">
        <f>SUM(S26:S29)</f>
        <v>0</v>
      </c>
      <c r="T30" s="77" t="s">
        <v>72</v>
      </c>
      <c r="U30" s="78">
        <f>SUM(U26:U29)</f>
        <v>0</v>
      </c>
      <c r="V30" s="77" t="s">
        <v>72</v>
      </c>
      <c r="W30" s="78">
        <f>SUM(W26:W29)</f>
        <v>0</v>
      </c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x14ac:dyDescent="0.2">
      <c r="A31" s="258" t="s">
        <v>8</v>
      </c>
      <c r="B31" s="259"/>
      <c r="C31" s="150">
        <v>45713</v>
      </c>
      <c r="D31" s="30"/>
      <c r="E31" s="49"/>
      <c r="F31" s="49"/>
      <c r="G31" s="49"/>
      <c r="H31" s="125" t="s">
        <v>10</v>
      </c>
      <c r="I31" s="30"/>
      <c r="J31" s="16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x14ac:dyDescent="0.2">
      <c r="A32" s="258" t="s">
        <v>103</v>
      </c>
      <c r="B32" s="259"/>
      <c r="C32" s="50">
        <v>2000</v>
      </c>
      <c r="D32" s="66"/>
      <c r="E32" s="260" t="s">
        <v>14</v>
      </c>
      <c r="F32" s="126" t="s">
        <v>15</v>
      </c>
      <c r="G32" s="50">
        <f>2750+3000</f>
        <v>5750</v>
      </c>
      <c r="H32" s="127"/>
      <c r="I32" s="30"/>
      <c r="J32" s="160"/>
      <c r="K32" s="48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x14ac:dyDescent="0.2">
      <c r="A33" s="258" t="s">
        <v>17</v>
      </c>
      <c r="B33" s="259"/>
      <c r="C33" s="50">
        <v>2</v>
      </c>
      <c r="D33" s="66"/>
      <c r="E33" s="261"/>
      <c r="F33" s="126" t="s">
        <v>18</v>
      </c>
      <c r="G33" s="50">
        <v>4250</v>
      </c>
      <c r="H33" s="127"/>
      <c r="I33" s="30"/>
      <c r="J33" s="160"/>
      <c r="K33" s="199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">
      <c r="A34" s="258" t="s">
        <v>20</v>
      </c>
      <c r="B34" s="259"/>
      <c r="C34" s="50">
        <f>C32*C33</f>
        <v>4000</v>
      </c>
      <c r="D34" s="30"/>
      <c r="E34" s="128"/>
      <c r="F34" s="30"/>
      <c r="G34" s="66"/>
      <c r="H34" s="123"/>
      <c r="I34" s="30"/>
      <c r="J34" s="160"/>
      <c r="K34" s="122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x14ac:dyDescent="0.2">
      <c r="A35" s="258" t="s">
        <v>22</v>
      </c>
      <c r="B35" s="259"/>
      <c r="C35" s="121">
        <f>C30+C34</f>
        <v>14000</v>
      </c>
      <c r="D35" s="30"/>
      <c r="E35" s="30"/>
      <c r="F35" s="30"/>
      <c r="G35" s="30"/>
      <c r="H35" s="123"/>
      <c r="I35" s="30"/>
      <c r="J35" s="160"/>
      <c r="K35" s="122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x14ac:dyDescent="0.2">
      <c r="A36" s="258" t="s">
        <v>24</v>
      </c>
      <c r="B36" s="259"/>
      <c r="C36" s="146">
        <v>250</v>
      </c>
      <c r="D36" s="30" t="s">
        <v>178</v>
      </c>
      <c r="E36" s="30"/>
      <c r="F36" s="30"/>
      <c r="G36" s="30"/>
      <c r="H36" s="123"/>
      <c r="I36" s="30"/>
      <c r="J36" s="16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2">
      <c r="A37" s="258" t="s">
        <v>28</v>
      </c>
      <c r="B37" s="259"/>
      <c r="C37" s="130" t="s">
        <v>29</v>
      </c>
      <c r="D37" s="30"/>
      <c r="E37" s="30"/>
      <c r="F37" s="30"/>
      <c r="G37" s="30"/>
      <c r="H37" s="123"/>
      <c r="I37" s="30"/>
      <c r="J37" s="16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">
      <c r="A38" s="131" t="s">
        <v>31</v>
      </c>
      <c r="B38" s="132" t="s">
        <v>106</v>
      </c>
      <c r="C38" s="133" t="s">
        <v>33</v>
      </c>
      <c r="D38" s="133" t="s">
        <v>34</v>
      </c>
      <c r="E38" s="133" t="s">
        <v>35</v>
      </c>
      <c r="F38" s="133" t="s">
        <v>36</v>
      </c>
      <c r="G38" s="133" t="s">
        <v>37</v>
      </c>
      <c r="H38" s="123"/>
      <c r="I38" s="30"/>
      <c r="J38" s="16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x14ac:dyDescent="0.2">
      <c r="A39" s="134">
        <v>0</v>
      </c>
      <c r="B39" s="135"/>
      <c r="C39" s="135"/>
      <c r="D39" s="135"/>
      <c r="E39" s="135"/>
      <c r="F39" s="135"/>
      <c r="G39" s="50">
        <f>C35</f>
        <v>14000</v>
      </c>
      <c r="H39" s="123"/>
      <c r="I39" s="30"/>
      <c r="J39" s="16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2">
      <c r="A40" s="134">
        <v>1</v>
      </c>
      <c r="B40" s="136">
        <v>45719</v>
      </c>
      <c r="C40" s="135">
        <v>1000</v>
      </c>
      <c r="D40" s="50">
        <f t="shared" ref="D40:D51" si="3">C40/1.4</f>
        <v>714.28571428571433</v>
      </c>
      <c r="E40" s="50">
        <f t="shared" ref="E40:E51" si="4">C40-D40</f>
        <v>285.71428571428567</v>
      </c>
      <c r="F40" s="50" t="s">
        <v>41</v>
      </c>
      <c r="G40" s="50">
        <f t="shared" ref="G40:G51" si="5">(G39-C40)</f>
        <v>13000</v>
      </c>
      <c r="H40" s="123"/>
      <c r="I40" s="30"/>
      <c r="J40" s="16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x14ac:dyDescent="0.2">
      <c r="A41" s="134">
        <v>2</v>
      </c>
      <c r="B41" s="136">
        <v>45726</v>
      </c>
      <c r="C41" s="135">
        <v>1750</v>
      </c>
      <c r="D41" s="50">
        <f t="shared" si="3"/>
        <v>1250</v>
      </c>
      <c r="E41" s="50">
        <f t="shared" si="4"/>
        <v>500</v>
      </c>
      <c r="F41" s="50" t="s">
        <v>41</v>
      </c>
      <c r="G41" s="50">
        <f t="shared" si="5"/>
        <v>11250</v>
      </c>
      <c r="H41" s="123"/>
      <c r="I41" s="30"/>
      <c r="J41" s="16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">
      <c r="A42" s="134">
        <v>3</v>
      </c>
      <c r="B42" s="137">
        <v>45733</v>
      </c>
      <c r="C42" s="135">
        <v>1500</v>
      </c>
      <c r="D42" s="50">
        <f t="shared" si="3"/>
        <v>1071.4285714285716</v>
      </c>
      <c r="E42" s="50">
        <f t="shared" si="4"/>
        <v>428.57142857142844</v>
      </c>
      <c r="F42" s="50" t="s">
        <v>41</v>
      </c>
      <c r="G42" s="50">
        <f t="shared" si="5"/>
        <v>9750</v>
      </c>
      <c r="H42" s="123"/>
      <c r="I42" s="30"/>
      <c r="J42" s="16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">
      <c r="A43" s="134">
        <v>4</v>
      </c>
      <c r="B43" s="137">
        <v>45740</v>
      </c>
      <c r="C43" s="135">
        <v>1500</v>
      </c>
      <c r="D43" s="50">
        <f t="shared" si="3"/>
        <v>1071.4285714285716</v>
      </c>
      <c r="E43" s="50">
        <f t="shared" si="4"/>
        <v>428.57142857142844</v>
      </c>
      <c r="F43" s="50" t="s">
        <v>41</v>
      </c>
      <c r="G43" s="50">
        <f t="shared" si="5"/>
        <v>8250</v>
      </c>
      <c r="H43" s="123"/>
      <c r="I43" s="30"/>
      <c r="J43" s="16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">
      <c r="A44" s="134">
        <v>5</v>
      </c>
      <c r="B44" s="137">
        <v>45747</v>
      </c>
      <c r="C44" s="135">
        <v>1250</v>
      </c>
      <c r="D44" s="50">
        <f t="shared" si="3"/>
        <v>892.85714285714289</v>
      </c>
      <c r="E44" s="50">
        <f t="shared" si="4"/>
        <v>357.14285714285711</v>
      </c>
      <c r="F44" s="50" t="s">
        <v>41</v>
      </c>
      <c r="G44" s="50">
        <f t="shared" si="5"/>
        <v>7000</v>
      </c>
      <c r="H44" s="123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">
      <c r="A45" s="134">
        <v>6</v>
      </c>
      <c r="B45" s="137">
        <v>45754</v>
      </c>
      <c r="C45" s="135">
        <v>1250</v>
      </c>
      <c r="D45" s="50">
        <f t="shared" si="3"/>
        <v>892.85714285714289</v>
      </c>
      <c r="E45" s="50">
        <f t="shared" si="4"/>
        <v>357.14285714285711</v>
      </c>
      <c r="F45" s="50" t="s">
        <v>41</v>
      </c>
      <c r="G45" s="50">
        <f t="shared" si="5"/>
        <v>5750</v>
      </c>
      <c r="H45" s="123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x14ac:dyDescent="0.2">
      <c r="A46" s="134">
        <v>7</v>
      </c>
      <c r="B46" s="137">
        <v>45761</v>
      </c>
      <c r="C46" s="135">
        <v>1000</v>
      </c>
      <c r="D46" s="50">
        <f t="shared" si="3"/>
        <v>714.28571428571433</v>
      </c>
      <c r="E46" s="50">
        <f t="shared" si="4"/>
        <v>285.71428571428567</v>
      </c>
      <c r="F46" s="50" t="s">
        <v>41</v>
      </c>
      <c r="G46" s="50">
        <f t="shared" si="5"/>
        <v>4750</v>
      </c>
      <c r="H46" s="123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x14ac:dyDescent="0.2">
      <c r="A47" s="134">
        <v>8</v>
      </c>
      <c r="B47" s="137">
        <v>45768</v>
      </c>
      <c r="C47" s="135">
        <v>750</v>
      </c>
      <c r="D47" s="50">
        <f t="shared" si="3"/>
        <v>535.71428571428578</v>
      </c>
      <c r="E47" s="50">
        <f t="shared" si="4"/>
        <v>214.28571428571422</v>
      </c>
      <c r="F47" s="50" t="s">
        <v>41</v>
      </c>
      <c r="G47" s="50">
        <f t="shared" si="5"/>
        <v>4000</v>
      </c>
      <c r="H47" s="123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">
      <c r="A48" s="134">
        <v>9</v>
      </c>
      <c r="B48" s="137">
        <v>45775</v>
      </c>
      <c r="C48" s="135">
        <v>1000</v>
      </c>
      <c r="D48" s="50">
        <f t="shared" si="3"/>
        <v>714.28571428571433</v>
      </c>
      <c r="E48" s="50">
        <f t="shared" si="4"/>
        <v>285.71428571428567</v>
      </c>
      <c r="F48" s="50" t="s">
        <v>41</v>
      </c>
      <c r="G48" s="50">
        <f t="shared" si="5"/>
        <v>3000</v>
      </c>
      <c r="H48" s="123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">
      <c r="A49" s="134">
        <v>10</v>
      </c>
      <c r="B49" s="137">
        <v>45782</v>
      </c>
      <c r="C49" s="135">
        <v>1000</v>
      </c>
      <c r="D49" s="50">
        <f t="shared" si="3"/>
        <v>714.28571428571433</v>
      </c>
      <c r="E49" s="50">
        <f t="shared" si="4"/>
        <v>285.71428571428567</v>
      </c>
      <c r="F49" s="50" t="s">
        <v>41</v>
      </c>
      <c r="G49" s="50">
        <f t="shared" si="5"/>
        <v>2000</v>
      </c>
      <c r="H49" s="123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">
      <c r="A50" s="134">
        <v>11</v>
      </c>
      <c r="B50" s="137">
        <v>45789</v>
      </c>
      <c r="C50" s="135">
        <v>1000</v>
      </c>
      <c r="D50" s="50">
        <f t="shared" si="3"/>
        <v>714.28571428571433</v>
      </c>
      <c r="E50" s="50">
        <f t="shared" si="4"/>
        <v>285.71428571428567</v>
      </c>
      <c r="F50" s="50" t="s">
        <v>107</v>
      </c>
      <c r="G50" s="50">
        <f t="shared" si="5"/>
        <v>1000</v>
      </c>
      <c r="H50" s="123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">
      <c r="A51" s="134">
        <v>12</v>
      </c>
      <c r="B51" s="137">
        <v>45796</v>
      </c>
      <c r="C51" s="135">
        <v>1000</v>
      </c>
      <c r="D51" s="50">
        <f t="shared" si="3"/>
        <v>714.28571428571433</v>
      </c>
      <c r="E51" s="50">
        <f t="shared" si="4"/>
        <v>285.71428571428567</v>
      </c>
      <c r="F51" s="50" t="s">
        <v>107</v>
      </c>
      <c r="G51" s="50">
        <f t="shared" si="5"/>
        <v>0</v>
      </c>
      <c r="H51" s="123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">
      <c r="A52" s="138"/>
      <c r="B52" s="139"/>
      <c r="C52" s="140"/>
      <c r="D52" s="141">
        <f>SUMIFS(D40:D49, F40:F49, "Y")</f>
        <v>8571.4285714285725</v>
      </c>
      <c r="E52" s="142">
        <f>SUMIFS(E40:E49, F40:F49, "Y")</f>
        <v>3428.5714285714284</v>
      </c>
      <c r="F52" s="143">
        <f>(SUMIFS(D40:D49, F40:F49, "Y") + SUMIFS(E40:E49, F40:F49, "Y"))</f>
        <v>12000</v>
      </c>
      <c r="G52" s="140"/>
      <c r="H52" s="144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">
      <c r="A58" s="256">
        <v>3</v>
      </c>
      <c r="B58" s="257"/>
      <c r="C58" s="119"/>
      <c r="D58" s="119"/>
      <c r="E58" s="119"/>
      <c r="F58" s="119"/>
      <c r="G58" s="119"/>
      <c r="H58" s="12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x14ac:dyDescent="0.2">
      <c r="A59" s="258" t="s">
        <v>7</v>
      </c>
      <c r="B59" s="259"/>
      <c r="C59" s="135">
        <v>10000</v>
      </c>
      <c r="D59" s="30"/>
      <c r="E59" s="30"/>
      <c r="F59" s="30"/>
      <c r="G59" s="30"/>
      <c r="H59" s="123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">
      <c r="A60" s="258" t="s">
        <v>8</v>
      </c>
      <c r="B60" s="259"/>
      <c r="C60" s="82">
        <v>45728</v>
      </c>
      <c r="D60" s="30"/>
      <c r="E60" s="49"/>
      <c r="F60" s="49"/>
      <c r="G60" s="49"/>
      <c r="H60" s="125" t="s">
        <v>10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2">
      <c r="A61" s="258" t="s">
        <v>103</v>
      </c>
      <c r="B61" s="259"/>
      <c r="C61" s="135">
        <v>2000</v>
      </c>
      <c r="D61" s="66"/>
      <c r="E61" s="260" t="s">
        <v>14</v>
      </c>
      <c r="F61" s="126" t="s">
        <v>15</v>
      </c>
      <c r="G61" s="135">
        <v>3750</v>
      </c>
      <c r="H61" s="127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">
      <c r="A62" s="258" t="s">
        <v>17</v>
      </c>
      <c r="B62" s="259"/>
      <c r="C62" s="50">
        <v>2</v>
      </c>
      <c r="D62" s="66"/>
      <c r="E62" s="261"/>
      <c r="F62" s="126" t="s">
        <v>18</v>
      </c>
      <c r="G62" s="50">
        <v>6250</v>
      </c>
      <c r="H62" s="127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">
      <c r="A63" s="258" t="s">
        <v>20</v>
      </c>
      <c r="B63" s="259"/>
      <c r="C63" s="50">
        <f>C61*C62</f>
        <v>4000</v>
      </c>
      <c r="D63" s="30"/>
      <c r="E63" s="128"/>
      <c r="F63" s="30"/>
      <c r="G63" s="66"/>
      <c r="H63" s="123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">
      <c r="A64" s="258" t="s">
        <v>22</v>
      </c>
      <c r="B64" s="259"/>
      <c r="C64" s="121">
        <f>C59+C63</f>
        <v>14000</v>
      </c>
      <c r="D64" s="30"/>
      <c r="E64" s="30"/>
      <c r="F64" s="30"/>
      <c r="G64" s="30"/>
      <c r="H64" s="123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">
      <c r="A65" s="258" t="s">
        <v>24</v>
      </c>
      <c r="B65" s="259"/>
      <c r="C65" s="146">
        <v>250</v>
      </c>
      <c r="D65" s="30" t="s">
        <v>315</v>
      </c>
      <c r="E65" s="30"/>
      <c r="F65" s="30"/>
      <c r="G65" s="30"/>
      <c r="H65" s="123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">
      <c r="A66" s="258" t="s">
        <v>28</v>
      </c>
      <c r="B66" s="259"/>
      <c r="C66" s="130" t="s">
        <v>154</v>
      </c>
      <c r="D66" s="30"/>
      <c r="E66" s="30"/>
      <c r="F66" s="30"/>
      <c r="G66" s="30"/>
      <c r="H66" s="123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">
      <c r="A67" s="131" t="s">
        <v>31</v>
      </c>
      <c r="B67" s="132" t="s">
        <v>106</v>
      </c>
      <c r="C67" s="133" t="s">
        <v>33</v>
      </c>
      <c r="D67" s="133" t="s">
        <v>34</v>
      </c>
      <c r="E67" s="133" t="s">
        <v>35</v>
      </c>
      <c r="F67" s="133" t="s">
        <v>36</v>
      </c>
      <c r="G67" s="133" t="s">
        <v>37</v>
      </c>
      <c r="H67" s="123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">
      <c r="A68" s="134">
        <v>0</v>
      </c>
      <c r="B68" s="135"/>
      <c r="C68" s="135"/>
      <c r="D68" s="135"/>
      <c r="E68" s="135"/>
      <c r="F68" s="135"/>
      <c r="G68" s="50">
        <f>C64</f>
        <v>14000</v>
      </c>
      <c r="H68" s="123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1:33" x14ac:dyDescent="0.2">
      <c r="A69" s="134">
        <v>1</v>
      </c>
      <c r="B69" s="137">
        <v>45733</v>
      </c>
      <c r="C69" s="135">
        <v>750</v>
      </c>
      <c r="D69" s="50">
        <f t="shared" ref="D69:D82" si="6">C69/1.4</f>
        <v>535.71428571428578</v>
      </c>
      <c r="E69" s="50">
        <f t="shared" ref="E69:E82" si="7">C69-D69</f>
        <v>214.28571428571422</v>
      </c>
      <c r="F69" s="50" t="s">
        <v>41</v>
      </c>
      <c r="G69" s="50">
        <f t="shared" ref="G69:G82" si="8">(G68-C69)</f>
        <v>13250</v>
      </c>
      <c r="H69" s="123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1:33" x14ac:dyDescent="0.2">
      <c r="A70" s="134">
        <v>2</v>
      </c>
      <c r="B70" s="137">
        <v>45740</v>
      </c>
      <c r="C70" s="135">
        <v>1500</v>
      </c>
      <c r="D70" s="50">
        <f t="shared" si="6"/>
        <v>1071.4285714285716</v>
      </c>
      <c r="E70" s="50">
        <f t="shared" si="7"/>
        <v>428.57142857142844</v>
      </c>
      <c r="F70" s="50" t="s">
        <v>41</v>
      </c>
      <c r="G70" s="50">
        <f t="shared" si="8"/>
        <v>11750</v>
      </c>
      <c r="H70" s="123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1:33" x14ac:dyDescent="0.2">
      <c r="A71" s="134">
        <v>3</v>
      </c>
      <c r="B71" s="137">
        <v>45747</v>
      </c>
      <c r="C71" s="135">
        <v>1500</v>
      </c>
      <c r="D71" s="50">
        <f t="shared" si="6"/>
        <v>1071.4285714285716</v>
      </c>
      <c r="E71" s="50">
        <f t="shared" si="7"/>
        <v>428.57142857142844</v>
      </c>
      <c r="F71" s="50" t="s">
        <v>41</v>
      </c>
      <c r="G71" s="50">
        <f t="shared" si="8"/>
        <v>10250</v>
      </c>
      <c r="H71" s="123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x14ac:dyDescent="0.2">
      <c r="A72" s="134">
        <v>4</v>
      </c>
      <c r="B72" s="137">
        <v>45754</v>
      </c>
      <c r="C72" s="135">
        <v>1250</v>
      </c>
      <c r="D72" s="50">
        <f t="shared" si="6"/>
        <v>892.85714285714289</v>
      </c>
      <c r="E72" s="50">
        <f t="shared" si="7"/>
        <v>357.14285714285711</v>
      </c>
      <c r="F72" s="50" t="s">
        <v>41</v>
      </c>
      <c r="G72" s="50">
        <f t="shared" si="8"/>
        <v>9000</v>
      </c>
      <c r="H72" s="123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1:33" x14ac:dyDescent="0.2">
      <c r="A73" s="134">
        <v>5</v>
      </c>
      <c r="B73" s="137">
        <v>45761</v>
      </c>
      <c r="C73" s="135">
        <v>1000</v>
      </c>
      <c r="D73" s="50">
        <f t="shared" si="6"/>
        <v>714.28571428571433</v>
      </c>
      <c r="E73" s="50">
        <f t="shared" si="7"/>
        <v>285.71428571428567</v>
      </c>
      <c r="F73" s="50" t="s">
        <v>41</v>
      </c>
      <c r="G73" s="50">
        <f t="shared" si="8"/>
        <v>8000</v>
      </c>
      <c r="H73" s="123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1:33" x14ac:dyDescent="0.2">
      <c r="A74" s="134">
        <v>6</v>
      </c>
      <c r="B74" s="137">
        <v>45768</v>
      </c>
      <c r="C74" s="135">
        <v>500</v>
      </c>
      <c r="D74" s="50">
        <f t="shared" si="6"/>
        <v>357.14285714285717</v>
      </c>
      <c r="E74" s="50">
        <f t="shared" si="7"/>
        <v>142.85714285714283</v>
      </c>
      <c r="F74" s="50" t="s">
        <v>41</v>
      </c>
      <c r="G74" s="50">
        <f t="shared" si="8"/>
        <v>7500</v>
      </c>
      <c r="H74" s="123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1:33" x14ac:dyDescent="0.2">
      <c r="A75" s="134">
        <v>7</v>
      </c>
      <c r="B75" s="137">
        <v>45775</v>
      </c>
      <c r="C75" s="135">
        <v>750</v>
      </c>
      <c r="D75" s="50">
        <f t="shared" si="6"/>
        <v>535.71428571428578</v>
      </c>
      <c r="E75" s="50">
        <f t="shared" si="7"/>
        <v>214.28571428571422</v>
      </c>
      <c r="F75" s="50" t="s">
        <v>41</v>
      </c>
      <c r="G75" s="50">
        <f t="shared" si="8"/>
        <v>6750</v>
      </c>
      <c r="H75" s="123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1:33" x14ac:dyDescent="0.2">
      <c r="A76" s="134">
        <v>8</v>
      </c>
      <c r="B76" s="137">
        <v>45782</v>
      </c>
      <c r="C76" s="135">
        <v>1100</v>
      </c>
      <c r="D76" s="50">
        <f t="shared" si="6"/>
        <v>785.71428571428578</v>
      </c>
      <c r="E76" s="50">
        <f t="shared" si="7"/>
        <v>314.28571428571422</v>
      </c>
      <c r="F76" s="50" t="s">
        <v>41</v>
      </c>
      <c r="G76" s="50">
        <f t="shared" si="8"/>
        <v>5650</v>
      </c>
      <c r="H76" s="12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1:33" x14ac:dyDescent="0.2">
      <c r="A77" s="134">
        <v>9</v>
      </c>
      <c r="B77" s="137">
        <v>45789</v>
      </c>
      <c r="C77" s="135">
        <v>1000</v>
      </c>
      <c r="D77" s="50">
        <f t="shared" si="6"/>
        <v>714.28571428571433</v>
      </c>
      <c r="E77" s="50">
        <f t="shared" si="7"/>
        <v>285.71428571428567</v>
      </c>
      <c r="F77" s="135"/>
      <c r="G77" s="50">
        <f t="shared" si="8"/>
        <v>4650</v>
      </c>
      <c r="H77" s="12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1:33" x14ac:dyDescent="0.2">
      <c r="A78" s="134">
        <v>10</v>
      </c>
      <c r="B78" s="137">
        <v>45796</v>
      </c>
      <c r="C78" s="135">
        <v>1000</v>
      </c>
      <c r="D78" s="50">
        <f t="shared" si="6"/>
        <v>714.28571428571433</v>
      </c>
      <c r="E78" s="50">
        <f t="shared" si="7"/>
        <v>285.71428571428567</v>
      </c>
      <c r="F78" s="135"/>
      <c r="G78" s="50">
        <f t="shared" si="8"/>
        <v>3650</v>
      </c>
      <c r="H78" s="12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1:33" x14ac:dyDescent="0.2">
      <c r="A79" s="134">
        <v>11</v>
      </c>
      <c r="B79" s="137">
        <v>45803</v>
      </c>
      <c r="C79" s="135">
        <v>1000</v>
      </c>
      <c r="D79" s="50">
        <f t="shared" si="6"/>
        <v>714.28571428571433</v>
      </c>
      <c r="E79" s="50">
        <f t="shared" si="7"/>
        <v>285.71428571428567</v>
      </c>
      <c r="F79" s="135"/>
      <c r="G79" s="50">
        <f t="shared" si="8"/>
        <v>2650</v>
      </c>
      <c r="H79" s="12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1:33" x14ac:dyDescent="0.2">
      <c r="A80" s="134">
        <v>12</v>
      </c>
      <c r="B80" s="137">
        <v>45810</v>
      </c>
      <c r="C80" s="135">
        <v>1000</v>
      </c>
      <c r="D80" s="50">
        <f t="shared" si="6"/>
        <v>714.28571428571433</v>
      </c>
      <c r="E80" s="50">
        <f t="shared" si="7"/>
        <v>285.71428571428567</v>
      </c>
      <c r="F80" s="135"/>
      <c r="G80" s="50">
        <f t="shared" si="8"/>
        <v>1650</v>
      </c>
      <c r="H80" s="12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1:33" x14ac:dyDescent="0.2">
      <c r="A81" s="134">
        <v>13</v>
      </c>
      <c r="B81" s="137">
        <v>45817</v>
      </c>
      <c r="C81" s="135">
        <v>1000</v>
      </c>
      <c r="D81" s="50">
        <f t="shared" si="6"/>
        <v>714.28571428571433</v>
      </c>
      <c r="E81" s="50">
        <f t="shared" si="7"/>
        <v>285.71428571428567</v>
      </c>
      <c r="F81" s="135"/>
      <c r="G81" s="50">
        <f t="shared" si="8"/>
        <v>650</v>
      </c>
      <c r="H81" s="12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1:33" x14ac:dyDescent="0.2">
      <c r="A82" s="134">
        <v>14</v>
      </c>
      <c r="B82" s="137">
        <v>45824</v>
      </c>
      <c r="C82" s="135">
        <v>650</v>
      </c>
      <c r="D82" s="50">
        <f t="shared" si="6"/>
        <v>464.28571428571433</v>
      </c>
      <c r="E82" s="50">
        <f t="shared" si="7"/>
        <v>185.71428571428567</v>
      </c>
      <c r="F82" s="135"/>
      <c r="G82" s="50">
        <f t="shared" si="8"/>
        <v>0</v>
      </c>
      <c r="H82" s="12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1:33" x14ac:dyDescent="0.2">
      <c r="A83" s="138"/>
      <c r="B83" s="139"/>
      <c r="C83" s="140"/>
      <c r="D83" s="167">
        <f>SUMIFS(D69:D78, F69:F78, "Y")</f>
        <v>5964.2857142857156</v>
      </c>
      <c r="E83" s="143">
        <f>SUMIFS(E69:E78, F69:F78, "Y")</f>
        <v>2385.7142857142849</v>
      </c>
      <c r="F83" s="143">
        <f>(SUMIFS(D69:D78, F69:F78, "Y") + SUMIFS(E69:E78, F69:F78, "Y"))</f>
        <v>8350</v>
      </c>
      <c r="G83" s="140"/>
      <c r="H83" s="144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1:33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1:33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1:33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1:33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1:33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1:33" x14ac:dyDescent="0.2">
      <c r="A89" s="256">
        <v>4</v>
      </c>
      <c r="B89" s="257"/>
      <c r="C89" s="119"/>
      <c r="D89" s="119"/>
      <c r="E89" s="119"/>
      <c r="F89" s="119"/>
      <c r="G89" s="119"/>
      <c r="H89" s="12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1:33" x14ac:dyDescent="0.2">
      <c r="A90" s="258" t="s">
        <v>7</v>
      </c>
      <c r="B90" s="259"/>
      <c r="C90" s="135">
        <v>15000</v>
      </c>
      <c r="D90" s="30"/>
      <c r="E90" s="30"/>
      <c r="F90" s="30"/>
      <c r="G90" s="30"/>
      <c r="H90" s="123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1:33" x14ac:dyDescent="0.2">
      <c r="A91" s="258" t="s">
        <v>8</v>
      </c>
      <c r="B91" s="259"/>
      <c r="C91" s="82">
        <v>45747</v>
      </c>
      <c r="D91" s="30"/>
      <c r="E91" s="49"/>
      <c r="F91" s="49"/>
      <c r="G91" s="49"/>
      <c r="H91" s="125" t="s">
        <v>10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1:33" x14ac:dyDescent="0.2">
      <c r="A92" s="258" t="s">
        <v>103</v>
      </c>
      <c r="B92" s="259"/>
      <c r="C92" s="135">
        <v>3000</v>
      </c>
      <c r="D92" s="66"/>
      <c r="E92" s="260" t="s">
        <v>14</v>
      </c>
      <c r="F92" s="126" t="s">
        <v>15</v>
      </c>
      <c r="G92" s="135">
        <v>750</v>
      </c>
      <c r="H92" s="127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1:33" x14ac:dyDescent="0.2">
      <c r="A93" s="258" t="s">
        <v>17</v>
      </c>
      <c r="B93" s="259"/>
      <c r="C93" s="50">
        <v>2</v>
      </c>
      <c r="D93" s="66"/>
      <c r="E93" s="261"/>
      <c r="F93" s="126" t="s">
        <v>18</v>
      </c>
      <c r="G93" s="50">
        <v>14250</v>
      </c>
      <c r="H93" s="127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1:33" x14ac:dyDescent="0.2">
      <c r="A94" s="258" t="s">
        <v>20</v>
      </c>
      <c r="B94" s="259"/>
      <c r="C94" s="50">
        <f>C92*C93</f>
        <v>6000</v>
      </c>
      <c r="D94" s="30"/>
      <c r="E94" s="128"/>
      <c r="F94" s="30"/>
      <c r="G94" s="66"/>
      <c r="H94" s="123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1:33" x14ac:dyDescent="0.2">
      <c r="A95" s="258" t="s">
        <v>22</v>
      </c>
      <c r="B95" s="259"/>
      <c r="C95" s="121">
        <f>C90+C94</f>
        <v>21000</v>
      </c>
      <c r="D95" s="30"/>
      <c r="E95" s="30"/>
      <c r="F95" s="30"/>
      <c r="G95" s="30"/>
      <c r="H95" s="123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1:33" x14ac:dyDescent="0.2">
      <c r="A96" s="258" t="s">
        <v>24</v>
      </c>
      <c r="B96" s="259"/>
      <c r="C96" s="146">
        <v>350</v>
      </c>
      <c r="D96" s="30"/>
      <c r="E96" s="30"/>
      <c r="F96" s="30"/>
      <c r="G96" s="30"/>
      <c r="H96" s="123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1:33" x14ac:dyDescent="0.2">
      <c r="A97" s="258" t="s">
        <v>28</v>
      </c>
      <c r="B97" s="259"/>
      <c r="C97" s="130" t="s">
        <v>29</v>
      </c>
      <c r="D97" s="30"/>
      <c r="E97" s="30"/>
      <c r="F97" s="30"/>
      <c r="G97" s="30"/>
      <c r="H97" s="123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1:33" x14ac:dyDescent="0.2">
      <c r="A98" s="131" t="s">
        <v>31</v>
      </c>
      <c r="B98" s="132" t="s">
        <v>106</v>
      </c>
      <c r="C98" s="133" t="s">
        <v>33</v>
      </c>
      <c r="D98" s="133" t="s">
        <v>34</v>
      </c>
      <c r="E98" s="133" t="s">
        <v>35</v>
      </c>
      <c r="F98" s="133" t="s">
        <v>36</v>
      </c>
      <c r="G98" s="133" t="s">
        <v>37</v>
      </c>
      <c r="H98" s="123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1:33" x14ac:dyDescent="0.2">
      <c r="A99" s="134">
        <v>0</v>
      </c>
      <c r="B99" s="135"/>
      <c r="C99" s="135"/>
      <c r="D99" s="135"/>
      <c r="E99" s="135"/>
      <c r="F99" s="135"/>
      <c r="G99" s="50">
        <f>C95</f>
        <v>21000</v>
      </c>
      <c r="H99" s="123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1:33" x14ac:dyDescent="0.2">
      <c r="A100" s="134">
        <v>1</v>
      </c>
      <c r="B100" s="137">
        <v>45754</v>
      </c>
      <c r="C100" s="135">
        <v>1050</v>
      </c>
      <c r="D100" s="50">
        <f t="shared" ref="D100:D109" si="9">C100/1.4</f>
        <v>750</v>
      </c>
      <c r="E100" s="50">
        <f t="shared" ref="E100:E109" si="10">C100-D100</f>
        <v>300</v>
      </c>
      <c r="F100" s="50" t="s">
        <v>41</v>
      </c>
      <c r="G100" s="50">
        <f t="shared" ref="G100:G109" si="11">(G99-C100)</f>
        <v>19950</v>
      </c>
      <c r="H100" s="123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1:33" x14ac:dyDescent="0.2">
      <c r="A101" s="134">
        <v>2</v>
      </c>
      <c r="B101" s="137">
        <v>45761</v>
      </c>
      <c r="C101" s="135">
        <v>1050</v>
      </c>
      <c r="D101" s="50">
        <f t="shared" si="9"/>
        <v>750</v>
      </c>
      <c r="E101" s="50">
        <f t="shared" si="10"/>
        <v>300</v>
      </c>
      <c r="F101" s="50" t="s">
        <v>41</v>
      </c>
      <c r="G101" s="50">
        <f t="shared" si="11"/>
        <v>18900</v>
      </c>
      <c r="H101" s="123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 x14ac:dyDescent="0.2">
      <c r="A102" s="134">
        <v>3</v>
      </c>
      <c r="B102" s="137">
        <v>45768</v>
      </c>
      <c r="C102" s="135">
        <v>0</v>
      </c>
      <c r="D102" s="50">
        <f t="shared" si="9"/>
        <v>0</v>
      </c>
      <c r="E102" s="50">
        <f t="shared" si="10"/>
        <v>0</v>
      </c>
      <c r="F102" s="50" t="s">
        <v>168</v>
      </c>
      <c r="G102" s="50">
        <f t="shared" si="11"/>
        <v>18900</v>
      </c>
      <c r="H102" s="123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 x14ac:dyDescent="0.2">
      <c r="A103" s="134">
        <v>4</v>
      </c>
      <c r="B103" s="137">
        <v>45775</v>
      </c>
      <c r="C103" s="135">
        <v>0</v>
      </c>
      <c r="D103" s="50">
        <f t="shared" si="9"/>
        <v>0</v>
      </c>
      <c r="E103" s="50">
        <f t="shared" si="10"/>
        <v>0</v>
      </c>
      <c r="F103" s="50" t="s">
        <v>168</v>
      </c>
      <c r="G103" s="50">
        <f t="shared" si="11"/>
        <v>18900</v>
      </c>
      <c r="H103" s="123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 x14ac:dyDescent="0.2">
      <c r="A104" s="134">
        <v>5</v>
      </c>
      <c r="B104" s="137">
        <v>45782</v>
      </c>
      <c r="C104" s="135">
        <v>1050</v>
      </c>
      <c r="D104" s="50">
        <f t="shared" si="9"/>
        <v>750</v>
      </c>
      <c r="E104" s="50">
        <f t="shared" si="10"/>
        <v>300</v>
      </c>
      <c r="F104" s="50" t="s">
        <v>41</v>
      </c>
      <c r="G104" s="50">
        <f t="shared" si="11"/>
        <v>17850</v>
      </c>
      <c r="H104" s="123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1:33" x14ac:dyDescent="0.2">
      <c r="A105" s="134">
        <v>6</v>
      </c>
      <c r="B105" s="137">
        <v>45789</v>
      </c>
      <c r="C105" s="135">
        <v>1050</v>
      </c>
      <c r="D105" s="50">
        <f t="shared" si="9"/>
        <v>750</v>
      </c>
      <c r="E105" s="50">
        <f t="shared" si="10"/>
        <v>300</v>
      </c>
      <c r="F105" s="50" t="s">
        <v>107</v>
      </c>
      <c r="G105" s="50">
        <f t="shared" si="11"/>
        <v>16800</v>
      </c>
      <c r="H105" s="123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1:33" x14ac:dyDescent="0.2">
      <c r="A106" s="134">
        <v>7</v>
      </c>
      <c r="B106" s="137">
        <v>45796</v>
      </c>
      <c r="C106" s="135"/>
      <c r="D106" s="50">
        <f t="shared" si="9"/>
        <v>0</v>
      </c>
      <c r="E106" s="50">
        <f t="shared" si="10"/>
        <v>0</v>
      </c>
      <c r="F106" s="50" t="s">
        <v>107</v>
      </c>
      <c r="G106" s="50">
        <f t="shared" si="11"/>
        <v>16800</v>
      </c>
      <c r="H106" s="12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1:33" x14ac:dyDescent="0.2">
      <c r="A107" s="134">
        <v>8</v>
      </c>
      <c r="B107" s="137">
        <v>45803</v>
      </c>
      <c r="C107" s="135"/>
      <c r="D107" s="50">
        <f t="shared" si="9"/>
        <v>0</v>
      </c>
      <c r="E107" s="50">
        <f t="shared" si="10"/>
        <v>0</v>
      </c>
      <c r="F107" s="50" t="s">
        <v>107</v>
      </c>
      <c r="G107" s="50">
        <f t="shared" si="11"/>
        <v>16800</v>
      </c>
      <c r="H107" s="123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1:33" x14ac:dyDescent="0.2">
      <c r="A108" s="134">
        <v>9</v>
      </c>
      <c r="B108" s="137">
        <v>45810</v>
      </c>
      <c r="C108" s="135"/>
      <c r="D108" s="50">
        <f t="shared" si="9"/>
        <v>0</v>
      </c>
      <c r="E108" s="50">
        <f t="shared" si="10"/>
        <v>0</v>
      </c>
      <c r="F108" s="135"/>
      <c r="G108" s="50">
        <f t="shared" si="11"/>
        <v>16800</v>
      </c>
      <c r="H108" s="123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1:33" x14ac:dyDescent="0.2">
      <c r="A109" s="134">
        <v>10</v>
      </c>
      <c r="B109" s="137">
        <v>45817</v>
      </c>
      <c r="C109" s="135"/>
      <c r="D109" s="50">
        <f t="shared" si="9"/>
        <v>0</v>
      </c>
      <c r="E109" s="50">
        <f t="shared" si="10"/>
        <v>0</v>
      </c>
      <c r="F109" s="135"/>
      <c r="G109" s="50">
        <f t="shared" si="11"/>
        <v>16800</v>
      </c>
      <c r="H109" s="123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1:33" x14ac:dyDescent="0.2">
      <c r="A110" s="138"/>
      <c r="B110" s="139"/>
      <c r="C110" s="140"/>
      <c r="D110" s="167">
        <f>SUMIFS(D100:D109, F100:F109, "Y")</f>
        <v>2250</v>
      </c>
      <c r="E110" s="143">
        <f>SUMIFS(E100:E109, F100:F109, "Y")</f>
        <v>900</v>
      </c>
      <c r="F110" s="143">
        <f>(SUMIFS(D100:D109, F100:F109, "Y") + SUMIFS(E100:E109, F100:F109, "Y"))</f>
        <v>3150</v>
      </c>
      <c r="G110" s="140"/>
      <c r="H110" s="14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33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33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1:33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1:33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 x14ac:dyDescent="0.2">
      <c r="A116" s="256">
        <v>5</v>
      </c>
      <c r="B116" s="257"/>
      <c r="C116" s="119"/>
      <c r="D116" s="119"/>
      <c r="E116" s="119"/>
      <c r="F116" s="119"/>
      <c r="G116" s="119"/>
      <c r="H116" s="12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 x14ac:dyDescent="0.2">
      <c r="A117" s="258" t="s">
        <v>7</v>
      </c>
      <c r="B117" s="259"/>
      <c r="C117" s="135">
        <v>10000</v>
      </c>
      <c r="D117" s="30"/>
      <c r="E117" s="30"/>
      <c r="F117" s="30"/>
      <c r="G117" s="30"/>
      <c r="H117" s="123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 x14ac:dyDescent="0.2">
      <c r="A118" s="258" t="s">
        <v>8</v>
      </c>
      <c r="B118" s="259"/>
      <c r="C118" s="82">
        <v>45775</v>
      </c>
      <c r="D118" s="30"/>
      <c r="E118" s="49"/>
      <c r="F118" s="49"/>
      <c r="G118" s="49"/>
      <c r="H118" s="125" t="s">
        <v>10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 x14ac:dyDescent="0.2">
      <c r="A119" s="258" t="s">
        <v>103</v>
      </c>
      <c r="B119" s="259"/>
      <c r="C119" s="135">
        <v>2000</v>
      </c>
      <c r="D119" s="66"/>
      <c r="E119" s="260" t="s">
        <v>14</v>
      </c>
      <c r="F119" s="126" t="s">
        <v>15</v>
      </c>
      <c r="G119" s="135">
        <v>400</v>
      </c>
      <c r="H119" s="127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 x14ac:dyDescent="0.2">
      <c r="A120" s="258" t="s">
        <v>17</v>
      </c>
      <c r="B120" s="259"/>
      <c r="C120" s="50">
        <v>1</v>
      </c>
      <c r="D120" s="66"/>
      <c r="E120" s="261"/>
      <c r="F120" s="126" t="s">
        <v>18</v>
      </c>
      <c r="G120" s="50">
        <v>9600</v>
      </c>
      <c r="H120" s="127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 x14ac:dyDescent="0.2">
      <c r="A121" s="258" t="s">
        <v>20</v>
      </c>
      <c r="B121" s="259"/>
      <c r="C121" s="50">
        <f>C119*C120</f>
        <v>2000</v>
      </c>
      <c r="D121" s="30"/>
      <c r="E121" s="128"/>
      <c r="F121" s="30"/>
      <c r="G121" s="66"/>
      <c r="H121" s="123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 x14ac:dyDescent="0.2">
      <c r="A122" s="258" t="s">
        <v>22</v>
      </c>
      <c r="B122" s="259"/>
      <c r="C122" s="121">
        <f>C117+C121</f>
        <v>12000</v>
      </c>
      <c r="D122" s="30"/>
      <c r="E122" s="30"/>
      <c r="F122" s="30"/>
      <c r="G122" s="30"/>
      <c r="H122" s="123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 x14ac:dyDescent="0.2">
      <c r="A123" s="258" t="s">
        <v>278</v>
      </c>
      <c r="B123" s="259"/>
      <c r="C123" s="146">
        <v>6000</v>
      </c>
      <c r="D123" s="30"/>
      <c r="E123" s="30"/>
      <c r="F123" s="30"/>
      <c r="G123" s="30"/>
      <c r="H123" s="123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 x14ac:dyDescent="0.2">
      <c r="A124" s="258" t="s">
        <v>28</v>
      </c>
      <c r="B124" s="259"/>
      <c r="C124" s="130" t="s">
        <v>188</v>
      </c>
      <c r="D124" s="30"/>
      <c r="E124" s="30"/>
      <c r="F124" s="30"/>
      <c r="G124" s="30"/>
      <c r="H124" s="123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 x14ac:dyDescent="0.2">
      <c r="A125" s="131" t="s">
        <v>31</v>
      </c>
      <c r="B125" s="132" t="s">
        <v>106</v>
      </c>
      <c r="C125" s="133" t="s">
        <v>33</v>
      </c>
      <c r="D125" s="133" t="s">
        <v>34</v>
      </c>
      <c r="E125" s="133" t="s">
        <v>35</v>
      </c>
      <c r="F125" s="133" t="s">
        <v>36</v>
      </c>
      <c r="G125" s="133" t="s">
        <v>37</v>
      </c>
      <c r="H125" s="123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 x14ac:dyDescent="0.2">
      <c r="A126" s="134">
        <v>0</v>
      </c>
      <c r="B126" s="135"/>
      <c r="C126" s="135"/>
      <c r="D126" s="135"/>
      <c r="E126" s="135"/>
      <c r="F126" s="135"/>
      <c r="G126" s="50">
        <f>C122</f>
        <v>12000</v>
      </c>
      <c r="H126" s="123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 x14ac:dyDescent="0.2">
      <c r="A127" s="134">
        <v>1</v>
      </c>
      <c r="B127" s="136">
        <v>45793</v>
      </c>
      <c r="C127" s="135">
        <v>6000</v>
      </c>
      <c r="D127" s="135"/>
      <c r="E127" s="135"/>
      <c r="F127" s="50" t="s">
        <v>107</v>
      </c>
      <c r="G127" s="50">
        <f t="shared" ref="G127:G134" si="12">(G126-C127)</f>
        <v>6000</v>
      </c>
      <c r="H127" s="123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 x14ac:dyDescent="0.2">
      <c r="A128" s="134">
        <v>2</v>
      </c>
      <c r="B128" s="136">
        <v>45808</v>
      </c>
      <c r="C128" s="135">
        <v>6000</v>
      </c>
      <c r="D128" s="135"/>
      <c r="E128" s="135"/>
      <c r="F128" s="50" t="s">
        <v>107</v>
      </c>
      <c r="G128" s="50">
        <f t="shared" si="12"/>
        <v>0</v>
      </c>
      <c r="H128" s="123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1:33" x14ac:dyDescent="0.2">
      <c r="A129" s="134">
        <v>3</v>
      </c>
      <c r="B129" s="82"/>
      <c r="C129" s="135"/>
      <c r="D129" s="135"/>
      <c r="E129" s="135"/>
      <c r="F129" s="50" t="s">
        <v>107</v>
      </c>
      <c r="G129" s="50">
        <f t="shared" si="12"/>
        <v>0</v>
      </c>
      <c r="H129" s="123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1:33" x14ac:dyDescent="0.2">
      <c r="A130" s="134">
        <v>4</v>
      </c>
      <c r="B130" s="82"/>
      <c r="C130" s="135"/>
      <c r="D130" s="135"/>
      <c r="E130" s="135"/>
      <c r="F130" s="50" t="s">
        <v>107</v>
      </c>
      <c r="G130" s="50">
        <f t="shared" si="12"/>
        <v>0</v>
      </c>
      <c r="H130" s="123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1:33" x14ac:dyDescent="0.2">
      <c r="A131" s="134">
        <v>5</v>
      </c>
      <c r="B131" s="94"/>
      <c r="C131" s="135"/>
      <c r="D131" s="135"/>
      <c r="E131" s="135"/>
      <c r="F131" s="50" t="s">
        <v>107</v>
      </c>
      <c r="G131" s="50">
        <f t="shared" si="12"/>
        <v>0</v>
      </c>
      <c r="H131" s="123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1:33" x14ac:dyDescent="0.2">
      <c r="A132" s="134">
        <v>6</v>
      </c>
      <c r="B132" s="94"/>
      <c r="C132" s="135"/>
      <c r="D132" s="135"/>
      <c r="E132" s="135"/>
      <c r="F132" s="50" t="s">
        <v>107</v>
      </c>
      <c r="G132" s="50">
        <f t="shared" si="12"/>
        <v>0</v>
      </c>
      <c r="H132" s="123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1:33" x14ac:dyDescent="0.2">
      <c r="A133" s="134">
        <v>7</v>
      </c>
      <c r="B133" s="94"/>
      <c r="C133" s="135"/>
      <c r="D133" s="135"/>
      <c r="E133" s="135"/>
      <c r="F133" s="50" t="s">
        <v>107</v>
      </c>
      <c r="G133" s="50">
        <f t="shared" si="12"/>
        <v>0</v>
      </c>
      <c r="H133" s="123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1:33" x14ac:dyDescent="0.2">
      <c r="A134" s="134">
        <v>8</v>
      </c>
      <c r="B134" s="94"/>
      <c r="C134" s="135"/>
      <c r="D134" s="135"/>
      <c r="E134" s="135"/>
      <c r="F134" s="50" t="s">
        <v>107</v>
      </c>
      <c r="G134" s="50">
        <f t="shared" si="12"/>
        <v>0</v>
      </c>
      <c r="H134" s="123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1:33" x14ac:dyDescent="0.2">
      <c r="A135" s="134">
        <v>9</v>
      </c>
      <c r="B135" s="94"/>
      <c r="C135" s="135"/>
      <c r="D135" s="135"/>
      <c r="E135" s="135"/>
      <c r="F135" s="135"/>
      <c r="G135" s="135"/>
      <c r="H135" s="123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1:33" x14ac:dyDescent="0.2">
      <c r="A136" s="134">
        <v>10</v>
      </c>
      <c r="B136" s="94"/>
      <c r="C136" s="135"/>
      <c r="D136" s="135"/>
      <c r="E136" s="135"/>
      <c r="F136" s="135"/>
      <c r="G136" s="135"/>
      <c r="H136" s="123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1:33" x14ac:dyDescent="0.2">
      <c r="A137" s="138"/>
      <c r="B137" s="139"/>
      <c r="C137" s="140"/>
      <c r="D137" s="167">
        <f>SUMIFS(D127:D136, F127:F136, "Y")</f>
        <v>0</v>
      </c>
      <c r="E137" s="143">
        <f>SUMIFS(E127:E136, F127:F136, "Y")</f>
        <v>0</v>
      </c>
      <c r="F137" s="143">
        <f>(SUMIFS(D127:D136, F127:F136, "Y") + SUMIFS(E127:E136, F127:F136, "Y"))</f>
        <v>0</v>
      </c>
      <c r="G137" s="140"/>
      <c r="H137" s="144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1:33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1:33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1:33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1:33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1:33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1:33" x14ac:dyDescent="0.2">
      <c r="A143" s="256" t="s">
        <v>352</v>
      </c>
      <c r="B143" s="257"/>
      <c r="C143" s="119"/>
      <c r="D143" s="119"/>
      <c r="E143" s="119"/>
      <c r="F143" s="119"/>
      <c r="G143" s="119"/>
      <c r="H143" s="12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1:33" x14ac:dyDescent="0.2">
      <c r="A144" s="258" t="s">
        <v>7</v>
      </c>
      <c r="B144" s="259"/>
      <c r="C144" s="135"/>
      <c r="D144" s="30"/>
      <c r="E144" s="30"/>
      <c r="F144" s="30"/>
      <c r="G144" s="30"/>
      <c r="H144" s="123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1:33" x14ac:dyDescent="0.2">
      <c r="A145" s="258" t="s">
        <v>8</v>
      </c>
      <c r="B145" s="259"/>
      <c r="C145" s="82"/>
      <c r="D145" s="30"/>
      <c r="E145" s="49"/>
      <c r="F145" s="49"/>
      <c r="G145" s="49"/>
      <c r="H145" s="125" t="s">
        <v>10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1:33" x14ac:dyDescent="0.2">
      <c r="A146" s="258" t="s">
        <v>103</v>
      </c>
      <c r="B146" s="259"/>
      <c r="C146" s="135"/>
      <c r="D146" s="66"/>
      <c r="E146" s="260" t="s">
        <v>14</v>
      </c>
      <c r="F146" s="126" t="s">
        <v>15</v>
      </c>
      <c r="G146" s="135"/>
      <c r="H146" s="127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1:33" x14ac:dyDescent="0.2">
      <c r="A147" s="258" t="s">
        <v>17</v>
      </c>
      <c r="B147" s="259"/>
      <c r="C147" s="50">
        <v>2</v>
      </c>
      <c r="D147" s="66"/>
      <c r="E147" s="261"/>
      <c r="F147" s="126" t="s">
        <v>18</v>
      </c>
      <c r="G147" s="50">
        <v>0</v>
      </c>
      <c r="H147" s="127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1:33" x14ac:dyDescent="0.2">
      <c r="A148" s="258" t="s">
        <v>20</v>
      </c>
      <c r="B148" s="259"/>
      <c r="C148" s="50">
        <f>C146*C147</f>
        <v>0</v>
      </c>
      <c r="D148" s="30"/>
      <c r="E148" s="128"/>
      <c r="F148" s="30"/>
      <c r="G148" s="66"/>
      <c r="H148" s="123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1:33" x14ac:dyDescent="0.2">
      <c r="A149" s="258" t="s">
        <v>22</v>
      </c>
      <c r="B149" s="259"/>
      <c r="C149" s="121">
        <f>C144+C148</f>
        <v>0</v>
      </c>
      <c r="D149" s="30"/>
      <c r="E149" s="30"/>
      <c r="F149" s="30"/>
      <c r="G149" s="30"/>
      <c r="H149" s="123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1:33" x14ac:dyDescent="0.2">
      <c r="A150" s="258" t="s">
        <v>353</v>
      </c>
      <c r="B150" s="259"/>
      <c r="C150" s="146">
        <f>C149/C147</f>
        <v>0</v>
      </c>
      <c r="D150" s="30"/>
      <c r="E150" s="30"/>
      <c r="F150" s="30"/>
      <c r="G150" s="30"/>
      <c r="H150" s="123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1:33" x14ac:dyDescent="0.2">
      <c r="A151" s="258" t="s">
        <v>28</v>
      </c>
      <c r="B151" s="259"/>
      <c r="C151" s="130" t="s">
        <v>29</v>
      </c>
      <c r="D151" s="30"/>
      <c r="E151" s="30"/>
      <c r="F151" s="30"/>
      <c r="G151" s="30"/>
      <c r="H151" s="123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1:33" x14ac:dyDescent="0.2">
      <c r="A152" s="131" t="s">
        <v>31</v>
      </c>
      <c r="B152" s="132" t="s">
        <v>106</v>
      </c>
      <c r="C152" s="133" t="s">
        <v>33</v>
      </c>
      <c r="D152" s="133" t="s">
        <v>34</v>
      </c>
      <c r="E152" s="133" t="s">
        <v>35</v>
      </c>
      <c r="F152" s="133" t="s">
        <v>36</v>
      </c>
      <c r="G152" s="133" t="s">
        <v>37</v>
      </c>
      <c r="H152" s="1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1:33" x14ac:dyDescent="0.2">
      <c r="A153" s="134">
        <v>0</v>
      </c>
      <c r="B153" s="135"/>
      <c r="C153" s="135"/>
      <c r="D153" s="135"/>
      <c r="E153" s="135"/>
      <c r="F153" s="135"/>
      <c r="G153" s="50">
        <f>C149</f>
        <v>0</v>
      </c>
      <c r="H153" s="123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1:33" x14ac:dyDescent="0.2">
      <c r="A154" s="134">
        <v>1</v>
      </c>
      <c r="B154" s="82"/>
      <c r="C154" s="135"/>
      <c r="D154" s="135"/>
      <c r="E154" s="135"/>
      <c r="F154" s="50" t="s">
        <v>107</v>
      </c>
      <c r="G154" s="50">
        <f t="shared" ref="G154:G161" si="13">(G153-C154)</f>
        <v>0</v>
      </c>
      <c r="H154" s="123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1:33" x14ac:dyDescent="0.2">
      <c r="A155" s="134">
        <v>2</v>
      </c>
      <c r="B155" s="82"/>
      <c r="C155" s="135"/>
      <c r="D155" s="135"/>
      <c r="E155" s="135"/>
      <c r="F155" s="50" t="s">
        <v>107</v>
      </c>
      <c r="G155" s="50">
        <f t="shared" si="13"/>
        <v>0</v>
      </c>
      <c r="H155" s="123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1:33" x14ac:dyDescent="0.2">
      <c r="A156" s="134">
        <v>3</v>
      </c>
      <c r="B156" s="82"/>
      <c r="C156" s="135"/>
      <c r="D156" s="135"/>
      <c r="E156" s="135"/>
      <c r="F156" s="50" t="s">
        <v>107</v>
      </c>
      <c r="G156" s="50">
        <f t="shared" si="13"/>
        <v>0</v>
      </c>
      <c r="H156" s="123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1:33" x14ac:dyDescent="0.2">
      <c r="A157" s="134">
        <v>4</v>
      </c>
      <c r="B157" s="82"/>
      <c r="C157" s="135"/>
      <c r="D157" s="135"/>
      <c r="E157" s="135"/>
      <c r="F157" s="50" t="s">
        <v>107</v>
      </c>
      <c r="G157" s="50">
        <f t="shared" si="13"/>
        <v>0</v>
      </c>
      <c r="H157" s="123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1:33" x14ac:dyDescent="0.2">
      <c r="A158" s="134">
        <v>5</v>
      </c>
      <c r="B158" s="94"/>
      <c r="C158" s="135"/>
      <c r="D158" s="135"/>
      <c r="E158" s="135"/>
      <c r="F158" s="50" t="s">
        <v>107</v>
      </c>
      <c r="G158" s="50">
        <f t="shared" si="13"/>
        <v>0</v>
      </c>
      <c r="H158" s="123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1:33" x14ac:dyDescent="0.2">
      <c r="A159" s="134">
        <v>6</v>
      </c>
      <c r="B159" s="94"/>
      <c r="C159" s="135"/>
      <c r="D159" s="135"/>
      <c r="E159" s="135"/>
      <c r="F159" s="50" t="s">
        <v>107</v>
      </c>
      <c r="G159" s="50">
        <f t="shared" si="13"/>
        <v>0</v>
      </c>
      <c r="H159" s="123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1:33" x14ac:dyDescent="0.2">
      <c r="A160" s="134">
        <v>7</v>
      </c>
      <c r="B160" s="94"/>
      <c r="C160" s="135"/>
      <c r="D160" s="135"/>
      <c r="E160" s="135"/>
      <c r="F160" s="50" t="s">
        <v>107</v>
      </c>
      <c r="G160" s="50">
        <f t="shared" si="13"/>
        <v>0</v>
      </c>
      <c r="H160" s="123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1:33" x14ac:dyDescent="0.2">
      <c r="A161" s="134">
        <v>8</v>
      </c>
      <c r="B161" s="94"/>
      <c r="C161" s="135"/>
      <c r="D161" s="135"/>
      <c r="E161" s="135"/>
      <c r="F161" s="50" t="s">
        <v>107</v>
      </c>
      <c r="G161" s="50">
        <f t="shared" si="13"/>
        <v>0</v>
      </c>
      <c r="H161" s="123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1:33" x14ac:dyDescent="0.2">
      <c r="A162" s="134">
        <v>9</v>
      </c>
      <c r="B162" s="94"/>
      <c r="C162" s="135"/>
      <c r="D162" s="135"/>
      <c r="E162" s="135"/>
      <c r="F162" s="135"/>
      <c r="G162" s="135"/>
      <c r="H162" s="123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1:33" x14ac:dyDescent="0.2">
      <c r="A163" s="134">
        <v>10</v>
      </c>
      <c r="B163" s="94"/>
      <c r="C163" s="135"/>
      <c r="D163" s="135"/>
      <c r="E163" s="135"/>
      <c r="F163" s="135"/>
      <c r="G163" s="135"/>
      <c r="H163" s="123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1:33" x14ac:dyDescent="0.2">
      <c r="A164" s="138"/>
      <c r="B164" s="139"/>
      <c r="C164" s="140"/>
      <c r="D164" s="167">
        <f>SUMIFS(D154:D163, F154:F163, "Y")</f>
        <v>0</v>
      </c>
      <c r="E164" s="143">
        <f>SUMIFS(E154:E163, F154:F163, "Y")</f>
        <v>0</v>
      </c>
      <c r="F164" s="143">
        <f>(SUMIFS(D154:D163, F154:F163, "Y") + SUMIFS(E154:E163, F154:F163, "Y"))</f>
        <v>0</v>
      </c>
      <c r="G164" s="140"/>
      <c r="H164" s="144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1:33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1:33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1:33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1:33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1:33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1:33" x14ac:dyDescent="0.2">
      <c r="A170" s="256" t="s">
        <v>354</v>
      </c>
      <c r="B170" s="257"/>
      <c r="C170" s="119"/>
      <c r="D170" s="119"/>
      <c r="E170" s="119"/>
      <c r="F170" s="119"/>
      <c r="G170" s="119"/>
      <c r="H170" s="12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1:33" x14ac:dyDescent="0.2">
      <c r="A171" s="258" t="s">
        <v>7</v>
      </c>
      <c r="B171" s="259"/>
      <c r="C171" s="135"/>
      <c r="D171" s="30"/>
      <c r="E171" s="30"/>
      <c r="F171" s="30"/>
      <c r="G171" s="30"/>
      <c r="H171" s="123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1:33" x14ac:dyDescent="0.2">
      <c r="A172" s="258" t="s">
        <v>8</v>
      </c>
      <c r="B172" s="259"/>
      <c r="C172" s="82"/>
      <c r="D172" s="30"/>
      <c r="E172" s="49"/>
      <c r="F172" s="49"/>
      <c r="G172" s="49"/>
      <c r="H172" s="125" t="s">
        <v>10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1:33" x14ac:dyDescent="0.2">
      <c r="A173" s="258" t="s">
        <v>103</v>
      </c>
      <c r="B173" s="259"/>
      <c r="C173" s="135"/>
      <c r="D173" s="66"/>
      <c r="E173" s="260" t="s">
        <v>14</v>
      </c>
      <c r="F173" s="126" t="s">
        <v>15</v>
      </c>
      <c r="G173" s="135"/>
      <c r="H173" s="127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1:33" x14ac:dyDescent="0.2">
      <c r="A174" s="258" t="s">
        <v>17</v>
      </c>
      <c r="B174" s="259"/>
      <c r="C174" s="50">
        <v>2</v>
      </c>
      <c r="D174" s="66"/>
      <c r="E174" s="261"/>
      <c r="F174" s="126" t="s">
        <v>18</v>
      </c>
      <c r="G174" s="50">
        <v>0</v>
      </c>
      <c r="H174" s="127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1:33" x14ac:dyDescent="0.2">
      <c r="A175" s="258" t="s">
        <v>20</v>
      </c>
      <c r="B175" s="259"/>
      <c r="C175" s="50">
        <f>C173*C174</f>
        <v>0</v>
      </c>
      <c r="D175" s="30"/>
      <c r="E175" s="128"/>
      <c r="F175" s="30"/>
      <c r="G175" s="66"/>
      <c r="H175" s="123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1:33" x14ac:dyDescent="0.2">
      <c r="A176" s="258" t="s">
        <v>22</v>
      </c>
      <c r="B176" s="259"/>
      <c r="C176" s="121">
        <f>C171+C175</f>
        <v>0</v>
      </c>
      <c r="D176" s="30"/>
      <c r="E176" s="30"/>
      <c r="F176" s="30"/>
      <c r="G176" s="30"/>
      <c r="H176" s="123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1:33" x14ac:dyDescent="0.2">
      <c r="A177" s="258" t="s">
        <v>353</v>
      </c>
      <c r="B177" s="259"/>
      <c r="C177" s="146">
        <f>C176/C174</f>
        <v>0</v>
      </c>
      <c r="D177" s="30"/>
      <c r="E177" s="30"/>
      <c r="F177" s="30"/>
      <c r="G177" s="30"/>
      <c r="H177" s="123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1:33" x14ac:dyDescent="0.2">
      <c r="A178" s="258" t="s">
        <v>28</v>
      </c>
      <c r="B178" s="259"/>
      <c r="C178" s="130" t="s">
        <v>29</v>
      </c>
      <c r="D178" s="30"/>
      <c r="E178" s="30"/>
      <c r="F178" s="30"/>
      <c r="G178" s="30"/>
      <c r="H178" s="123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1:33" x14ac:dyDescent="0.2">
      <c r="A179" s="131" t="s">
        <v>31</v>
      </c>
      <c r="B179" s="132" t="s">
        <v>106</v>
      </c>
      <c r="C179" s="133" t="s">
        <v>33</v>
      </c>
      <c r="D179" s="133" t="s">
        <v>34</v>
      </c>
      <c r="E179" s="133" t="s">
        <v>35</v>
      </c>
      <c r="F179" s="133" t="s">
        <v>36</v>
      </c>
      <c r="G179" s="133" t="s">
        <v>37</v>
      </c>
      <c r="H179" s="123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1:33" x14ac:dyDescent="0.2">
      <c r="A180" s="134">
        <v>0</v>
      </c>
      <c r="B180" s="135"/>
      <c r="C180" s="135"/>
      <c r="D180" s="135"/>
      <c r="E180" s="135"/>
      <c r="F180" s="135"/>
      <c r="G180" s="50">
        <f>C176</f>
        <v>0</v>
      </c>
      <c r="H180" s="123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1:33" x14ac:dyDescent="0.2">
      <c r="A181" s="134">
        <v>1</v>
      </c>
      <c r="B181" s="82"/>
      <c r="C181" s="135"/>
      <c r="D181" s="135"/>
      <c r="E181" s="135"/>
      <c r="F181" s="50" t="s">
        <v>107</v>
      </c>
      <c r="G181" s="50">
        <f t="shared" ref="G181:G188" si="14">(G180-C181)</f>
        <v>0</v>
      </c>
      <c r="H181" s="123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1:33" x14ac:dyDescent="0.2">
      <c r="A182" s="134">
        <v>2</v>
      </c>
      <c r="B182" s="82"/>
      <c r="C182" s="135"/>
      <c r="D182" s="135"/>
      <c r="E182" s="135"/>
      <c r="F182" s="50" t="s">
        <v>107</v>
      </c>
      <c r="G182" s="50">
        <f t="shared" si="14"/>
        <v>0</v>
      </c>
      <c r="H182" s="123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1:33" x14ac:dyDescent="0.2">
      <c r="A183" s="134">
        <v>3</v>
      </c>
      <c r="B183" s="82"/>
      <c r="C183" s="135"/>
      <c r="D183" s="135"/>
      <c r="E183" s="135"/>
      <c r="F183" s="50" t="s">
        <v>107</v>
      </c>
      <c r="G183" s="50">
        <f t="shared" si="14"/>
        <v>0</v>
      </c>
      <c r="H183" s="123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1:33" x14ac:dyDescent="0.2">
      <c r="A184" s="134">
        <v>4</v>
      </c>
      <c r="B184" s="82"/>
      <c r="C184" s="135"/>
      <c r="D184" s="135"/>
      <c r="E184" s="135"/>
      <c r="F184" s="50" t="s">
        <v>107</v>
      </c>
      <c r="G184" s="50">
        <f t="shared" si="14"/>
        <v>0</v>
      </c>
      <c r="H184" s="123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1:33" x14ac:dyDescent="0.2">
      <c r="A185" s="134">
        <v>5</v>
      </c>
      <c r="B185" s="94"/>
      <c r="C185" s="135"/>
      <c r="D185" s="135"/>
      <c r="E185" s="135"/>
      <c r="F185" s="50" t="s">
        <v>107</v>
      </c>
      <c r="G185" s="50">
        <f t="shared" si="14"/>
        <v>0</v>
      </c>
      <c r="H185" s="123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1:33" x14ac:dyDescent="0.2">
      <c r="A186" s="134">
        <v>6</v>
      </c>
      <c r="B186" s="94"/>
      <c r="C186" s="135"/>
      <c r="D186" s="135"/>
      <c r="E186" s="135"/>
      <c r="F186" s="50" t="s">
        <v>107</v>
      </c>
      <c r="G186" s="50">
        <f t="shared" si="14"/>
        <v>0</v>
      </c>
      <c r="H186" s="123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1:33" x14ac:dyDescent="0.2">
      <c r="A187" s="134">
        <v>7</v>
      </c>
      <c r="B187" s="94"/>
      <c r="C187" s="135"/>
      <c r="D187" s="135"/>
      <c r="E187" s="135"/>
      <c r="F187" s="50" t="s">
        <v>107</v>
      </c>
      <c r="G187" s="50">
        <f t="shared" si="14"/>
        <v>0</v>
      </c>
      <c r="H187" s="123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1:33" x14ac:dyDescent="0.2">
      <c r="A188" s="134">
        <v>8</v>
      </c>
      <c r="B188" s="94"/>
      <c r="C188" s="135"/>
      <c r="D188" s="135"/>
      <c r="E188" s="135"/>
      <c r="F188" s="50" t="s">
        <v>107</v>
      </c>
      <c r="G188" s="50">
        <f t="shared" si="14"/>
        <v>0</v>
      </c>
      <c r="H188" s="123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1:33" x14ac:dyDescent="0.2">
      <c r="A189" s="134">
        <v>9</v>
      </c>
      <c r="B189" s="94"/>
      <c r="C189" s="135"/>
      <c r="D189" s="135"/>
      <c r="E189" s="135"/>
      <c r="F189" s="135"/>
      <c r="G189" s="135"/>
      <c r="H189" s="123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1:33" x14ac:dyDescent="0.2">
      <c r="A190" s="134">
        <v>10</v>
      </c>
      <c r="B190" s="94"/>
      <c r="C190" s="135"/>
      <c r="D190" s="135"/>
      <c r="E190" s="135"/>
      <c r="F190" s="135"/>
      <c r="G190" s="135"/>
      <c r="H190" s="123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1:33" x14ac:dyDescent="0.2">
      <c r="A191" s="138"/>
      <c r="B191" s="139"/>
      <c r="C191" s="140"/>
      <c r="D191" s="167">
        <f>SUMIFS(D181:D190, F181:F190, "Y")</f>
        <v>0</v>
      </c>
      <c r="E191" s="143">
        <f>SUMIFS(E181:E190, F181:F190, "Y")</f>
        <v>0</v>
      </c>
      <c r="F191" s="143">
        <f>(SUMIFS(D181:D190, F181:F190, "Y") + SUMIFS(E181:E190, F181:F190, "Y"))</f>
        <v>0</v>
      </c>
      <c r="G191" s="140"/>
      <c r="H191" s="144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33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1:33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1:33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1:33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1:33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1:33" x14ac:dyDescent="0.2">
      <c r="A197" s="256" t="s">
        <v>355</v>
      </c>
      <c r="B197" s="257"/>
      <c r="C197" s="119"/>
      <c r="D197" s="119"/>
      <c r="E197" s="119"/>
      <c r="F197" s="119"/>
      <c r="G197" s="119"/>
      <c r="H197" s="12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1:33" x14ac:dyDescent="0.2">
      <c r="A198" s="258" t="s">
        <v>7</v>
      </c>
      <c r="B198" s="259"/>
      <c r="C198" s="135"/>
      <c r="D198" s="30"/>
      <c r="E198" s="30"/>
      <c r="F198" s="30"/>
      <c r="G198" s="30"/>
      <c r="H198" s="123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1:33" x14ac:dyDescent="0.2">
      <c r="A199" s="258" t="s">
        <v>8</v>
      </c>
      <c r="B199" s="259"/>
      <c r="C199" s="82"/>
      <c r="D199" s="30"/>
      <c r="E199" s="49"/>
      <c r="F199" s="49"/>
      <c r="G199" s="49"/>
      <c r="H199" s="125" t="s">
        <v>10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1:33" x14ac:dyDescent="0.2">
      <c r="A200" s="258" t="s">
        <v>103</v>
      </c>
      <c r="B200" s="259"/>
      <c r="C200" s="135"/>
      <c r="D200" s="66"/>
      <c r="E200" s="260" t="s">
        <v>14</v>
      </c>
      <c r="F200" s="126" t="s">
        <v>15</v>
      </c>
      <c r="G200" s="135"/>
      <c r="H200" s="127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1:33" x14ac:dyDescent="0.2">
      <c r="A201" s="258" t="s">
        <v>17</v>
      </c>
      <c r="B201" s="259"/>
      <c r="C201" s="50">
        <v>2</v>
      </c>
      <c r="D201" s="66"/>
      <c r="E201" s="261"/>
      <c r="F201" s="126" t="s">
        <v>18</v>
      </c>
      <c r="G201" s="50">
        <v>0</v>
      </c>
      <c r="H201" s="127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1:33" x14ac:dyDescent="0.2">
      <c r="A202" s="258" t="s">
        <v>20</v>
      </c>
      <c r="B202" s="259"/>
      <c r="C202" s="50">
        <f>C200*C201</f>
        <v>0</v>
      </c>
      <c r="D202" s="30"/>
      <c r="E202" s="128"/>
      <c r="F202" s="30"/>
      <c r="G202" s="66"/>
      <c r="H202" s="123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1:33" x14ac:dyDescent="0.2">
      <c r="A203" s="258" t="s">
        <v>22</v>
      </c>
      <c r="B203" s="259"/>
      <c r="C203" s="121">
        <f>C198+C202</f>
        <v>0</v>
      </c>
      <c r="D203" s="30"/>
      <c r="E203" s="30"/>
      <c r="F203" s="30"/>
      <c r="G203" s="30"/>
      <c r="H203" s="123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1:33" x14ac:dyDescent="0.2">
      <c r="A204" s="258" t="s">
        <v>353</v>
      </c>
      <c r="B204" s="259"/>
      <c r="C204" s="146">
        <f>C203/C201</f>
        <v>0</v>
      </c>
      <c r="D204" s="30"/>
      <c r="E204" s="30"/>
      <c r="F204" s="30"/>
      <c r="G204" s="30"/>
      <c r="H204" s="123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1:33" x14ac:dyDescent="0.2">
      <c r="A205" s="258" t="s">
        <v>28</v>
      </c>
      <c r="B205" s="259"/>
      <c r="C205" s="130" t="s">
        <v>29</v>
      </c>
      <c r="D205" s="30"/>
      <c r="E205" s="30"/>
      <c r="F205" s="30"/>
      <c r="G205" s="30"/>
      <c r="H205" s="123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1:33" x14ac:dyDescent="0.2">
      <c r="A206" s="131" t="s">
        <v>31</v>
      </c>
      <c r="B206" s="132" t="s">
        <v>106</v>
      </c>
      <c r="C206" s="133" t="s">
        <v>33</v>
      </c>
      <c r="D206" s="133" t="s">
        <v>34</v>
      </c>
      <c r="E206" s="133" t="s">
        <v>35</v>
      </c>
      <c r="F206" s="133" t="s">
        <v>36</v>
      </c>
      <c r="G206" s="133" t="s">
        <v>37</v>
      </c>
      <c r="H206" s="123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1:33" x14ac:dyDescent="0.2">
      <c r="A207" s="134">
        <v>0</v>
      </c>
      <c r="B207" s="135"/>
      <c r="C207" s="135"/>
      <c r="D207" s="135"/>
      <c r="E207" s="135"/>
      <c r="F207" s="135"/>
      <c r="G207" s="50">
        <f>C203</f>
        <v>0</v>
      </c>
      <c r="H207" s="123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1:33" x14ac:dyDescent="0.2">
      <c r="A208" s="134">
        <v>1</v>
      </c>
      <c r="B208" s="82"/>
      <c r="C208" s="135"/>
      <c r="D208" s="135"/>
      <c r="E208" s="135"/>
      <c r="F208" s="50" t="s">
        <v>107</v>
      </c>
      <c r="G208" s="50">
        <f t="shared" ref="G208:G215" si="15">(G207-C208)</f>
        <v>0</v>
      </c>
      <c r="H208" s="123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1:33" x14ac:dyDescent="0.2">
      <c r="A209" s="134">
        <v>2</v>
      </c>
      <c r="B209" s="82"/>
      <c r="C209" s="135"/>
      <c r="D209" s="135"/>
      <c r="E209" s="135"/>
      <c r="F209" s="50" t="s">
        <v>107</v>
      </c>
      <c r="G209" s="50">
        <f t="shared" si="15"/>
        <v>0</v>
      </c>
      <c r="H209" s="123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1:33" x14ac:dyDescent="0.2">
      <c r="A210" s="134">
        <v>3</v>
      </c>
      <c r="B210" s="82"/>
      <c r="C210" s="135"/>
      <c r="D210" s="135"/>
      <c r="E210" s="135"/>
      <c r="F210" s="50" t="s">
        <v>107</v>
      </c>
      <c r="G210" s="50">
        <f t="shared" si="15"/>
        <v>0</v>
      </c>
      <c r="H210" s="123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1:33" x14ac:dyDescent="0.2">
      <c r="A211" s="134">
        <v>4</v>
      </c>
      <c r="B211" s="82"/>
      <c r="C211" s="135"/>
      <c r="D211" s="135"/>
      <c r="E211" s="135"/>
      <c r="F211" s="50" t="s">
        <v>107</v>
      </c>
      <c r="G211" s="50">
        <f t="shared" si="15"/>
        <v>0</v>
      </c>
      <c r="H211" s="123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1:33" x14ac:dyDescent="0.2">
      <c r="A212" s="134">
        <v>5</v>
      </c>
      <c r="B212" s="94"/>
      <c r="C212" s="135"/>
      <c r="D212" s="135"/>
      <c r="E212" s="135"/>
      <c r="F212" s="50" t="s">
        <v>107</v>
      </c>
      <c r="G212" s="50">
        <f t="shared" si="15"/>
        <v>0</v>
      </c>
      <c r="H212" s="123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1:33" x14ac:dyDescent="0.2">
      <c r="A213" s="134">
        <v>6</v>
      </c>
      <c r="B213" s="94"/>
      <c r="C213" s="135"/>
      <c r="D213" s="135"/>
      <c r="E213" s="135"/>
      <c r="F213" s="50" t="s">
        <v>107</v>
      </c>
      <c r="G213" s="50">
        <f t="shared" si="15"/>
        <v>0</v>
      </c>
      <c r="H213" s="123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1:33" x14ac:dyDescent="0.2">
      <c r="A214" s="134">
        <v>7</v>
      </c>
      <c r="B214" s="94"/>
      <c r="C214" s="135"/>
      <c r="D214" s="135"/>
      <c r="E214" s="135"/>
      <c r="F214" s="50" t="s">
        <v>107</v>
      </c>
      <c r="G214" s="50">
        <f t="shared" si="15"/>
        <v>0</v>
      </c>
      <c r="H214" s="123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1:33" x14ac:dyDescent="0.2">
      <c r="A215" s="134">
        <v>8</v>
      </c>
      <c r="B215" s="94"/>
      <c r="C215" s="135"/>
      <c r="D215" s="135"/>
      <c r="E215" s="135"/>
      <c r="F215" s="50" t="s">
        <v>107</v>
      </c>
      <c r="G215" s="50">
        <f t="shared" si="15"/>
        <v>0</v>
      </c>
      <c r="H215" s="123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1:33" x14ac:dyDescent="0.2">
      <c r="A216" s="134">
        <v>9</v>
      </c>
      <c r="B216" s="94"/>
      <c r="C216" s="135"/>
      <c r="D216" s="135"/>
      <c r="E216" s="135"/>
      <c r="F216" s="135"/>
      <c r="G216" s="135"/>
      <c r="H216" s="123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1:33" x14ac:dyDescent="0.2">
      <c r="A217" s="134">
        <v>10</v>
      </c>
      <c r="B217" s="94"/>
      <c r="C217" s="135"/>
      <c r="D217" s="135"/>
      <c r="E217" s="135"/>
      <c r="F217" s="135"/>
      <c r="G217" s="135"/>
      <c r="H217" s="123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1:33" x14ac:dyDescent="0.2">
      <c r="A218" s="138"/>
      <c r="B218" s="139"/>
      <c r="C218" s="140"/>
      <c r="D218" s="167">
        <f>SUMIFS(D208:D217, F208:F217, "Y")</f>
        <v>0</v>
      </c>
      <c r="E218" s="143">
        <f>SUMIFS(E208:E217, F208:F217, "Y")</f>
        <v>0</v>
      </c>
      <c r="F218" s="143">
        <f>(SUMIFS(D208:D217, F208:F217, "Y") + SUMIFS(E208:E217, F208:F217, "Y"))</f>
        <v>0</v>
      </c>
      <c r="G218" s="140"/>
      <c r="H218" s="144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1:33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1:33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1:33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1:33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1:33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1:33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1:33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1:33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1:33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1:33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1:33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1:33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1:33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1:33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1:33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1:33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1:33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1:33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1:33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1:33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1:33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1:33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1:33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1:33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1:33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1:33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1:33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1:33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1:33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1:33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1:33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1:33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1:33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1:33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1:33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1:33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1:33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1:33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1:33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1:33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1:33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1:33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1:33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1:33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1:33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1:33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1:33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1:33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1:33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1:33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1:33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1:33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1:33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1:33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1:33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1:33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1:33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1:33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1:33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1:33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1:33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1:33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1:33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1:33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1:33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1:33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1:33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1:33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1:33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1:33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1:33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1:33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1:33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1:33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1:33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1:33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1:33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1:33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1:33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1:33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1:33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1:33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1:33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1:33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1:33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1:33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1:33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1:33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1:33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1:33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1:33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1:33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1:33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1:33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1:33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1:33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1:33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1:33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1:33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1:33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1:33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1:33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1:33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1:33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1:33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1:33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1:33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1:33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1:33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1:33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1:33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1:33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1:33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1:33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1:33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1:33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1:33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1:33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1:33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1:33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1:33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1:33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1:33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1:33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1:33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1:33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1:33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1:33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1:33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1:33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1:33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1:33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1:33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1:33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1:33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1:33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1:33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1:33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1:33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1:33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1:33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1:33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1:33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1:33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1:33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1:33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1:33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1:33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1:33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1:33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1:33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1:33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1:33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1:33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1:33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1:33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1:33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1:33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1:33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1:33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1:33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1:33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1:33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1:33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1:33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1:33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1:33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1:33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1:33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1:33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1:33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1:33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1:33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1:33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1:33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1:33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1:33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1:33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1:33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1:33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1:33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1:33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1:33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1:33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1:33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1:33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1:33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1:33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1:33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1:33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1:33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1:33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1:33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1:33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1:33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1:33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1:33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1:33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1:33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1:33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1:33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1:33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1:33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1:33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1:33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1:33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1:33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1:33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1:33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1:33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1:33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1:33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1:33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  <row r="432" spans="1:33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</row>
    <row r="433" spans="1:33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</row>
    <row r="434" spans="1:33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</row>
    <row r="435" spans="1:33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</row>
    <row r="436" spans="1:33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</row>
    <row r="437" spans="1:33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</row>
    <row r="438" spans="1:33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</row>
    <row r="439" spans="1:33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</row>
    <row r="440" spans="1:33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</row>
    <row r="441" spans="1:33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</row>
    <row r="442" spans="1:33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</row>
    <row r="443" spans="1:33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</row>
    <row r="444" spans="1:33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</row>
    <row r="445" spans="1:33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</row>
    <row r="446" spans="1:33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</row>
    <row r="447" spans="1:33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</row>
    <row r="448" spans="1:33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</row>
    <row r="449" spans="1:33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</row>
    <row r="450" spans="1:33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</row>
    <row r="451" spans="1:33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</row>
    <row r="452" spans="1:33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</row>
    <row r="453" spans="1:33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</row>
    <row r="454" spans="1:33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</row>
    <row r="455" spans="1:33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</row>
    <row r="456" spans="1:33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</row>
    <row r="457" spans="1:33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</row>
    <row r="458" spans="1:33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</row>
    <row r="459" spans="1:33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</row>
    <row r="460" spans="1:33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</row>
    <row r="461" spans="1:33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</row>
    <row r="462" spans="1:33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</row>
    <row r="463" spans="1:33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</row>
    <row r="464" spans="1:33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</row>
    <row r="465" spans="1:33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</row>
    <row r="466" spans="1:33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</row>
    <row r="467" spans="1:33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</row>
    <row r="468" spans="1:33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</row>
    <row r="469" spans="1:33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</row>
    <row r="470" spans="1:33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</row>
    <row r="471" spans="1:33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</row>
    <row r="472" spans="1:33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</row>
    <row r="473" spans="1:33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</row>
    <row r="474" spans="1:33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</row>
    <row r="475" spans="1:33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</row>
    <row r="476" spans="1:33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</row>
    <row r="477" spans="1:33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</row>
    <row r="478" spans="1:33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</row>
    <row r="479" spans="1:33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</row>
    <row r="480" spans="1:33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</row>
    <row r="481" spans="1:33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</row>
    <row r="482" spans="1:33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</row>
    <row r="483" spans="1:33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</row>
    <row r="484" spans="1:33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</row>
    <row r="485" spans="1:33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</row>
    <row r="486" spans="1:33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</row>
    <row r="487" spans="1:33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</row>
    <row r="488" spans="1:33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</row>
    <row r="489" spans="1:33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</row>
    <row r="490" spans="1:33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</row>
    <row r="491" spans="1:33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</row>
    <row r="492" spans="1:33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</row>
    <row r="493" spans="1:33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</row>
    <row r="494" spans="1:33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</row>
    <row r="495" spans="1:33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</row>
    <row r="496" spans="1:33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</row>
    <row r="497" spans="1:33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</row>
    <row r="498" spans="1:33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</row>
    <row r="499" spans="1:33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</row>
    <row r="500" spans="1:33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</row>
    <row r="501" spans="1:33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</row>
    <row r="502" spans="1:33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</row>
    <row r="503" spans="1:33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</row>
    <row r="504" spans="1:33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</row>
    <row r="505" spans="1:33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</row>
    <row r="506" spans="1:33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</row>
    <row r="507" spans="1:33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</row>
    <row r="508" spans="1:33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</row>
    <row r="509" spans="1:33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</row>
    <row r="510" spans="1:33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</row>
    <row r="511" spans="1:33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</row>
    <row r="512" spans="1:33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</row>
    <row r="513" spans="1:33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</row>
    <row r="514" spans="1:33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</row>
    <row r="515" spans="1:33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</row>
    <row r="516" spans="1:33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</row>
    <row r="517" spans="1:33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</row>
    <row r="518" spans="1:33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</row>
    <row r="519" spans="1:33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</row>
    <row r="520" spans="1:33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</row>
    <row r="521" spans="1:33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</row>
    <row r="522" spans="1:33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</row>
    <row r="523" spans="1:33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</row>
    <row r="524" spans="1:33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</row>
    <row r="525" spans="1:33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</row>
    <row r="526" spans="1:33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</row>
    <row r="527" spans="1:33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</row>
    <row r="528" spans="1:33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</row>
    <row r="529" spans="1:33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</row>
    <row r="530" spans="1:33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</row>
    <row r="531" spans="1:33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</row>
    <row r="532" spans="1:33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</row>
    <row r="533" spans="1:33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</row>
    <row r="534" spans="1:33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</row>
    <row r="535" spans="1:33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</row>
    <row r="536" spans="1:33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</row>
    <row r="537" spans="1:33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</row>
    <row r="538" spans="1:33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</row>
    <row r="539" spans="1:33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</row>
    <row r="540" spans="1:33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</row>
    <row r="541" spans="1:33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</row>
    <row r="542" spans="1:33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</row>
    <row r="543" spans="1:33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</row>
    <row r="544" spans="1:33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</row>
    <row r="545" spans="1:33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</row>
    <row r="546" spans="1:33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</row>
    <row r="547" spans="1:33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</row>
    <row r="548" spans="1:33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</row>
    <row r="549" spans="1:33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</row>
    <row r="550" spans="1:33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</row>
    <row r="551" spans="1:33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</row>
    <row r="552" spans="1:33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</row>
    <row r="553" spans="1:33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</row>
    <row r="554" spans="1:33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</row>
    <row r="555" spans="1:33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</row>
    <row r="556" spans="1:33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</row>
    <row r="557" spans="1:33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</row>
    <row r="558" spans="1:33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</row>
    <row r="559" spans="1:33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</row>
    <row r="560" spans="1:33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</row>
    <row r="561" spans="1:33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</row>
    <row r="562" spans="1:33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</row>
    <row r="563" spans="1:33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</row>
    <row r="564" spans="1:33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</row>
    <row r="565" spans="1:33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</row>
    <row r="566" spans="1:33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</row>
    <row r="567" spans="1:33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</row>
    <row r="568" spans="1:33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</row>
    <row r="569" spans="1:33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</row>
    <row r="570" spans="1:33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</row>
    <row r="571" spans="1:33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</row>
    <row r="572" spans="1:33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</row>
    <row r="573" spans="1:33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</row>
    <row r="574" spans="1:33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</row>
    <row r="575" spans="1:33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</row>
    <row r="576" spans="1:33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</row>
    <row r="577" spans="1:33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</row>
    <row r="578" spans="1:33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</row>
    <row r="579" spans="1:33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</row>
    <row r="580" spans="1:33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</row>
    <row r="581" spans="1:33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</row>
    <row r="582" spans="1:33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</row>
    <row r="583" spans="1:33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</row>
    <row r="584" spans="1:33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</row>
    <row r="585" spans="1:33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</row>
    <row r="586" spans="1:33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</row>
    <row r="587" spans="1:33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</row>
    <row r="588" spans="1:33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</row>
    <row r="589" spans="1:33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</row>
    <row r="590" spans="1:33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</row>
    <row r="591" spans="1:33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</row>
    <row r="592" spans="1:33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</row>
    <row r="593" spans="1:33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</row>
    <row r="594" spans="1:33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</row>
    <row r="595" spans="1:33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</row>
    <row r="596" spans="1:33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</row>
    <row r="597" spans="1:33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</row>
    <row r="598" spans="1:33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</row>
    <row r="599" spans="1:33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</row>
    <row r="600" spans="1:33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</row>
    <row r="601" spans="1:33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</row>
    <row r="602" spans="1:33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</row>
    <row r="603" spans="1:33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</row>
    <row r="604" spans="1:33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</row>
    <row r="605" spans="1:33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</row>
    <row r="606" spans="1:33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</row>
    <row r="607" spans="1:33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</row>
    <row r="608" spans="1:33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</row>
    <row r="609" spans="1:33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</row>
    <row r="610" spans="1:33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</row>
    <row r="611" spans="1:33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</row>
    <row r="612" spans="1:33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</row>
    <row r="613" spans="1:33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</row>
    <row r="614" spans="1:33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</row>
    <row r="615" spans="1:33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</row>
    <row r="616" spans="1:33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</row>
    <row r="617" spans="1:33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</row>
    <row r="618" spans="1:33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</row>
    <row r="619" spans="1:33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</row>
    <row r="620" spans="1:33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</row>
    <row r="621" spans="1:33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</row>
    <row r="622" spans="1:33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</row>
    <row r="623" spans="1:33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</row>
    <row r="624" spans="1:33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</row>
    <row r="625" spans="1:33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</row>
    <row r="626" spans="1:33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</row>
    <row r="627" spans="1:33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</row>
    <row r="628" spans="1:33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</row>
    <row r="629" spans="1:33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</row>
    <row r="630" spans="1:33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</row>
    <row r="631" spans="1:33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</row>
    <row r="632" spans="1:33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</row>
    <row r="633" spans="1:33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</row>
    <row r="634" spans="1:33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</row>
    <row r="635" spans="1:33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</row>
    <row r="636" spans="1:33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</row>
    <row r="637" spans="1:33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</row>
    <row r="638" spans="1:33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</row>
    <row r="639" spans="1:33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</row>
    <row r="640" spans="1:33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</row>
    <row r="641" spans="1:33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</row>
    <row r="642" spans="1:33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</row>
    <row r="643" spans="1:33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</row>
    <row r="644" spans="1:33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</row>
    <row r="645" spans="1:33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</row>
    <row r="646" spans="1:33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</row>
    <row r="647" spans="1:33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</row>
    <row r="648" spans="1:33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</row>
    <row r="649" spans="1:33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</row>
    <row r="650" spans="1:33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</row>
    <row r="651" spans="1:33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</row>
    <row r="652" spans="1:33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</row>
    <row r="653" spans="1:33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</row>
    <row r="654" spans="1:33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</row>
    <row r="655" spans="1:33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</row>
    <row r="656" spans="1:33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</row>
    <row r="657" spans="1:33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</row>
    <row r="658" spans="1:33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</row>
    <row r="659" spans="1:33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</row>
    <row r="660" spans="1:33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</row>
    <row r="661" spans="1:33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</row>
    <row r="662" spans="1:33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</row>
    <row r="663" spans="1:33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</row>
    <row r="664" spans="1:33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</row>
    <row r="665" spans="1:33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</row>
    <row r="666" spans="1:33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</row>
    <row r="667" spans="1:33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</row>
    <row r="668" spans="1:33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</row>
    <row r="669" spans="1:33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</row>
    <row r="670" spans="1:33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</row>
    <row r="671" spans="1:33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</row>
    <row r="672" spans="1:33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</row>
    <row r="673" spans="1:33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</row>
    <row r="674" spans="1:33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</row>
    <row r="675" spans="1:33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</row>
    <row r="676" spans="1:33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</row>
    <row r="677" spans="1:33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</row>
    <row r="678" spans="1:33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</row>
    <row r="679" spans="1:33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</row>
    <row r="680" spans="1:33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</row>
    <row r="681" spans="1:33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</row>
    <row r="682" spans="1:33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</row>
    <row r="683" spans="1:33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</row>
    <row r="684" spans="1:33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</row>
    <row r="685" spans="1:33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</row>
    <row r="686" spans="1:33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</row>
    <row r="687" spans="1:33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</row>
    <row r="688" spans="1:33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</row>
    <row r="689" spans="1:33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</row>
    <row r="690" spans="1:33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</row>
    <row r="691" spans="1:33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</row>
    <row r="692" spans="1:33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</row>
    <row r="693" spans="1:33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</row>
    <row r="694" spans="1:33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</row>
    <row r="695" spans="1:33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</row>
    <row r="696" spans="1:33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</row>
    <row r="697" spans="1:33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</row>
    <row r="698" spans="1:33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</row>
    <row r="699" spans="1:33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</row>
    <row r="700" spans="1:33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</row>
    <row r="701" spans="1:33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</row>
    <row r="702" spans="1:33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</row>
    <row r="703" spans="1:33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</row>
    <row r="704" spans="1:33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</row>
    <row r="705" spans="1:33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</row>
    <row r="706" spans="1:33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</row>
    <row r="707" spans="1:33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</row>
    <row r="708" spans="1:33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</row>
    <row r="709" spans="1:33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</row>
    <row r="710" spans="1:33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</row>
    <row r="711" spans="1:33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</row>
    <row r="712" spans="1:33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</row>
    <row r="713" spans="1:33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</row>
    <row r="714" spans="1:33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</row>
    <row r="715" spans="1:33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</row>
    <row r="716" spans="1:33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</row>
    <row r="717" spans="1:33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</row>
    <row r="718" spans="1:33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</row>
    <row r="719" spans="1:33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</row>
    <row r="720" spans="1:33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</row>
    <row r="721" spans="1:33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</row>
    <row r="722" spans="1:33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</row>
    <row r="723" spans="1:33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</row>
    <row r="724" spans="1:33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</row>
    <row r="725" spans="1:33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</row>
    <row r="726" spans="1:33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</row>
    <row r="727" spans="1:33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</row>
    <row r="728" spans="1:33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</row>
    <row r="729" spans="1:33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</row>
    <row r="730" spans="1:33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</row>
    <row r="731" spans="1:33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</row>
    <row r="732" spans="1:33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</row>
    <row r="733" spans="1:33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</row>
    <row r="734" spans="1:33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</row>
    <row r="735" spans="1:33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</row>
    <row r="736" spans="1:33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</row>
    <row r="737" spans="1:33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</row>
    <row r="738" spans="1:33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</row>
    <row r="739" spans="1:33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</row>
    <row r="740" spans="1:33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</row>
    <row r="741" spans="1:33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</row>
    <row r="742" spans="1:33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</row>
    <row r="743" spans="1:33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</row>
    <row r="744" spans="1:33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</row>
    <row r="745" spans="1:33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</row>
    <row r="746" spans="1:33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</row>
    <row r="747" spans="1:33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</row>
    <row r="748" spans="1:33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</row>
    <row r="749" spans="1:33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</row>
    <row r="750" spans="1:33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</row>
    <row r="751" spans="1:33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</row>
    <row r="752" spans="1:33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</row>
    <row r="753" spans="1:33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</row>
    <row r="754" spans="1:33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</row>
    <row r="755" spans="1:33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</row>
    <row r="756" spans="1:33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</row>
    <row r="757" spans="1:33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</row>
    <row r="758" spans="1:33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</row>
    <row r="759" spans="1:33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</row>
    <row r="760" spans="1:33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</row>
    <row r="761" spans="1:33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</row>
    <row r="762" spans="1:33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</row>
    <row r="763" spans="1:33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</row>
    <row r="764" spans="1:33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</row>
    <row r="765" spans="1:33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</row>
    <row r="766" spans="1:33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</row>
    <row r="767" spans="1:33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</row>
    <row r="768" spans="1:33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</row>
    <row r="769" spans="1:33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</row>
    <row r="770" spans="1:33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</row>
    <row r="771" spans="1:33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</row>
    <row r="772" spans="1:33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</row>
    <row r="773" spans="1:33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</row>
    <row r="774" spans="1:33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</row>
    <row r="775" spans="1:33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</row>
    <row r="776" spans="1:33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</row>
    <row r="777" spans="1:33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</row>
    <row r="778" spans="1:33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</row>
    <row r="779" spans="1:33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</row>
    <row r="780" spans="1:33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</row>
    <row r="781" spans="1:33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</row>
    <row r="782" spans="1:33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</row>
    <row r="783" spans="1:33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</row>
    <row r="784" spans="1:33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</row>
    <row r="785" spans="1:33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</row>
    <row r="786" spans="1:33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</row>
    <row r="787" spans="1:33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</row>
    <row r="788" spans="1:33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</row>
    <row r="789" spans="1:33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</row>
    <row r="790" spans="1:33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</row>
    <row r="791" spans="1:33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</row>
    <row r="792" spans="1:33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</row>
    <row r="793" spans="1:33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</row>
    <row r="794" spans="1:33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</row>
    <row r="795" spans="1:33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</row>
    <row r="796" spans="1:33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</row>
    <row r="797" spans="1:33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</row>
    <row r="798" spans="1:33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</row>
    <row r="799" spans="1:33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</row>
    <row r="800" spans="1:33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</row>
    <row r="801" spans="1:33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</row>
    <row r="802" spans="1:33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</row>
    <row r="803" spans="1:33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</row>
    <row r="804" spans="1:33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</row>
    <row r="805" spans="1:33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</row>
    <row r="806" spans="1:33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</row>
    <row r="807" spans="1:33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</row>
    <row r="808" spans="1:33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</row>
    <row r="809" spans="1:33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</row>
    <row r="810" spans="1:33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</row>
    <row r="811" spans="1:33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</row>
    <row r="812" spans="1:33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</row>
    <row r="813" spans="1:33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</row>
    <row r="814" spans="1:33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</row>
    <row r="815" spans="1:33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</row>
    <row r="816" spans="1:33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</row>
    <row r="817" spans="1:33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</row>
    <row r="818" spans="1:33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</row>
    <row r="819" spans="1:33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</row>
    <row r="820" spans="1:33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</row>
    <row r="821" spans="1:33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</row>
    <row r="822" spans="1:33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</row>
    <row r="823" spans="1:33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</row>
    <row r="824" spans="1:33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</row>
    <row r="825" spans="1:33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</row>
    <row r="826" spans="1:33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</row>
    <row r="827" spans="1:33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</row>
    <row r="828" spans="1:33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</row>
    <row r="829" spans="1:33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</row>
    <row r="830" spans="1:33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</row>
    <row r="831" spans="1:33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</row>
    <row r="832" spans="1:33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</row>
    <row r="833" spans="1:33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</row>
    <row r="834" spans="1:33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</row>
    <row r="835" spans="1:33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</row>
    <row r="836" spans="1:33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</row>
    <row r="837" spans="1:33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</row>
    <row r="838" spans="1:33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</row>
    <row r="839" spans="1:33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</row>
    <row r="840" spans="1:33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</row>
    <row r="841" spans="1:33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</row>
    <row r="842" spans="1:33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</row>
    <row r="843" spans="1:33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</row>
    <row r="844" spans="1:33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</row>
    <row r="845" spans="1:33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</row>
    <row r="846" spans="1:33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</row>
    <row r="847" spans="1:33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</row>
    <row r="848" spans="1:33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</row>
    <row r="849" spans="1:33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</row>
    <row r="850" spans="1:33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</row>
    <row r="851" spans="1:33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</row>
    <row r="852" spans="1:33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</row>
    <row r="853" spans="1:33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</row>
    <row r="854" spans="1:33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</row>
    <row r="855" spans="1:33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</row>
    <row r="856" spans="1:33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</row>
    <row r="857" spans="1:33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</row>
    <row r="858" spans="1:33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</row>
    <row r="859" spans="1:33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</row>
    <row r="860" spans="1:33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</row>
    <row r="861" spans="1:33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</row>
    <row r="862" spans="1:33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</row>
    <row r="863" spans="1:33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</row>
    <row r="864" spans="1:33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</row>
    <row r="865" spans="1:33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</row>
    <row r="866" spans="1:33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</row>
    <row r="867" spans="1:33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</row>
    <row r="868" spans="1:33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</row>
    <row r="869" spans="1:33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</row>
    <row r="870" spans="1:33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</row>
    <row r="871" spans="1:33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</row>
    <row r="872" spans="1:33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</row>
    <row r="873" spans="1:33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</row>
    <row r="874" spans="1:33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</row>
    <row r="875" spans="1:33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</row>
    <row r="876" spans="1:33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</row>
    <row r="877" spans="1:33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</row>
    <row r="878" spans="1:33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</row>
    <row r="879" spans="1:33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</row>
    <row r="880" spans="1:33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</row>
    <row r="881" spans="1:33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</row>
    <row r="882" spans="1:33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</row>
    <row r="883" spans="1:33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</row>
    <row r="884" spans="1:33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</row>
    <row r="885" spans="1:33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</row>
    <row r="886" spans="1:33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</row>
    <row r="887" spans="1:33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</row>
    <row r="888" spans="1:33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</row>
    <row r="889" spans="1:33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</row>
    <row r="890" spans="1:33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</row>
    <row r="891" spans="1:33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</row>
    <row r="892" spans="1:33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</row>
    <row r="893" spans="1:33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</row>
    <row r="894" spans="1:33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</row>
    <row r="895" spans="1:33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</row>
    <row r="896" spans="1:33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</row>
    <row r="897" spans="1:33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</row>
    <row r="898" spans="1:33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</row>
    <row r="899" spans="1:33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</row>
    <row r="900" spans="1:33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</row>
    <row r="901" spans="1:33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</row>
    <row r="902" spans="1:33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</row>
    <row r="903" spans="1:33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</row>
    <row r="904" spans="1:33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</row>
    <row r="905" spans="1:33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</row>
    <row r="906" spans="1:33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</row>
    <row r="907" spans="1:33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</row>
    <row r="908" spans="1:33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</row>
    <row r="909" spans="1:33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</row>
    <row r="910" spans="1:33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</row>
    <row r="911" spans="1:33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</row>
    <row r="912" spans="1:33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</row>
    <row r="913" spans="1:33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</row>
    <row r="914" spans="1:33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</row>
    <row r="915" spans="1:33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</row>
    <row r="916" spans="1:33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</row>
    <row r="917" spans="1:33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</row>
    <row r="918" spans="1:33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</row>
    <row r="919" spans="1:33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</row>
    <row r="920" spans="1:33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</row>
    <row r="921" spans="1:33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</row>
    <row r="922" spans="1:33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</row>
    <row r="923" spans="1:33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</row>
    <row r="924" spans="1:33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</row>
    <row r="925" spans="1:33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</row>
    <row r="926" spans="1:33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</row>
    <row r="927" spans="1:33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</row>
    <row r="928" spans="1:33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</row>
    <row r="929" spans="1:33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</row>
    <row r="930" spans="1:33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</row>
    <row r="931" spans="1:33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</row>
    <row r="932" spans="1:33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</row>
    <row r="933" spans="1:33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</row>
    <row r="934" spans="1:33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</row>
    <row r="935" spans="1:33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</row>
    <row r="936" spans="1:33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</row>
    <row r="937" spans="1:33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</row>
    <row r="938" spans="1:33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</row>
    <row r="939" spans="1:33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</row>
    <row r="940" spans="1:33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</row>
    <row r="941" spans="1:33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</row>
    <row r="942" spans="1:33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</row>
    <row r="943" spans="1:33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</row>
    <row r="944" spans="1:33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</row>
    <row r="945" spans="1:33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</row>
    <row r="946" spans="1:33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</row>
    <row r="947" spans="1:33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</row>
    <row r="948" spans="1:33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</row>
    <row r="949" spans="1:33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</row>
    <row r="950" spans="1:33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</row>
    <row r="951" spans="1:33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</row>
    <row r="952" spans="1:33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</row>
    <row r="953" spans="1:33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</row>
    <row r="954" spans="1:33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</row>
    <row r="955" spans="1:33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</row>
    <row r="956" spans="1:33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</row>
    <row r="957" spans="1:33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</row>
    <row r="958" spans="1:33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</row>
    <row r="959" spans="1:33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</row>
    <row r="960" spans="1:33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</row>
    <row r="961" spans="1:33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</row>
    <row r="962" spans="1:33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</row>
    <row r="963" spans="1:33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</row>
    <row r="964" spans="1:33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</row>
    <row r="965" spans="1:33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</row>
    <row r="966" spans="1:33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</row>
    <row r="967" spans="1:33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</row>
    <row r="968" spans="1:33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</row>
    <row r="969" spans="1:33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</row>
    <row r="970" spans="1:33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</row>
    <row r="971" spans="1:33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</row>
    <row r="972" spans="1:33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</row>
    <row r="973" spans="1:33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</row>
    <row r="974" spans="1:33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</row>
    <row r="975" spans="1:33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</row>
    <row r="976" spans="1:33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</row>
    <row r="977" spans="1:33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</row>
    <row r="978" spans="1:33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</row>
    <row r="979" spans="1:33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</row>
    <row r="980" spans="1:33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</row>
    <row r="981" spans="1:33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</row>
    <row r="982" spans="1:33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</row>
    <row r="983" spans="1:33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</row>
    <row r="984" spans="1:33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</row>
    <row r="985" spans="1:33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</row>
    <row r="986" spans="1:33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</row>
    <row r="987" spans="1:33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</row>
    <row r="988" spans="1:33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</row>
    <row r="989" spans="1:33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</row>
    <row r="990" spans="1:33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</row>
    <row r="991" spans="1:33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</row>
    <row r="992" spans="1:33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</row>
    <row r="993" spans="1:33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</row>
    <row r="994" spans="1:33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</row>
    <row r="995" spans="1:33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</row>
    <row r="996" spans="1:33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</row>
    <row r="997" spans="1:33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</row>
    <row r="998" spans="1:33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</row>
    <row r="999" spans="1:33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</row>
    <row r="1000" spans="1:33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</row>
    <row r="1001" spans="1:33" x14ac:dyDescent="0.2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</row>
    <row r="1002" spans="1:33" x14ac:dyDescent="0.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</row>
    <row r="1003" spans="1:33" x14ac:dyDescent="0.2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</row>
    <row r="1004" spans="1:33" x14ac:dyDescent="0.2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</row>
    <row r="1005" spans="1:33" x14ac:dyDescent="0.2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</row>
    <row r="1006" spans="1:33" x14ac:dyDescent="0.2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</row>
  </sheetData>
  <mergeCells count="80">
    <mergeCell ref="A121:B121"/>
    <mergeCell ref="A122:B122"/>
    <mergeCell ref="A123:B123"/>
    <mergeCell ref="A124:B124"/>
    <mergeCell ref="A93:B93"/>
    <mergeCell ref="A94:B94"/>
    <mergeCell ref="A95:B95"/>
    <mergeCell ref="A96:B96"/>
    <mergeCell ref="A97:B97"/>
    <mergeCell ref="A116:B116"/>
    <mergeCell ref="A117:B117"/>
    <mergeCell ref="A91:B91"/>
    <mergeCell ref="A92:B92"/>
    <mergeCell ref="E92:E93"/>
    <mergeCell ref="A118:B118"/>
    <mergeCell ref="A119:B119"/>
    <mergeCell ref="E119:E120"/>
    <mergeCell ref="A120:B120"/>
    <mergeCell ref="A64:B64"/>
    <mergeCell ref="A65:B65"/>
    <mergeCell ref="A66:B66"/>
    <mergeCell ref="A89:B89"/>
    <mergeCell ref="A90:B90"/>
    <mergeCell ref="A60:B60"/>
    <mergeCell ref="A61:B61"/>
    <mergeCell ref="E61:E62"/>
    <mergeCell ref="A62:B62"/>
    <mergeCell ref="A63:B63"/>
    <mergeCell ref="A35:B35"/>
    <mergeCell ref="A36:B36"/>
    <mergeCell ref="A37:B37"/>
    <mergeCell ref="A58:B58"/>
    <mergeCell ref="A59:B59"/>
    <mergeCell ref="A31:B31"/>
    <mergeCell ref="E32:E33"/>
    <mergeCell ref="A32:B32"/>
    <mergeCell ref="A33:B33"/>
    <mergeCell ref="A34:B34"/>
    <mergeCell ref="E200:E201"/>
    <mergeCell ref="A201:B201"/>
    <mergeCell ref="A202:B202"/>
    <mergeCell ref="A203:B203"/>
    <mergeCell ref="A2:B2"/>
    <mergeCell ref="A3:B3"/>
    <mergeCell ref="A4:B4"/>
    <mergeCell ref="A5:B5"/>
    <mergeCell ref="E5:E6"/>
    <mergeCell ref="A6:B6"/>
    <mergeCell ref="A7:B7"/>
    <mergeCell ref="A8:B8"/>
    <mergeCell ref="A9:B9"/>
    <mergeCell ref="A10:B10"/>
    <mergeCell ref="A29:B29"/>
    <mergeCell ref="A30:B30"/>
    <mergeCell ref="A204:B204"/>
    <mergeCell ref="A205:B205"/>
    <mergeCell ref="A198:B198"/>
    <mergeCell ref="A199:B199"/>
    <mergeCell ref="A200:B200"/>
    <mergeCell ref="A175:B175"/>
    <mergeCell ref="A176:B176"/>
    <mergeCell ref="A177:B177"/>
    <mergeCell ref="A178:B178"/>
    <mergeCell ref="A197:B197"/>
    <mergeCell ref="A171:B171"/>
    <mergeCell ref="A172:B172"/>
    <mergeCell ref="E173:E174"/>
    <mergeCell ref="A173:B173"/>
    <mergeCell ref="A174:B174"/>
    <mergeCell ref="A148:B148"/>
    <mergeCell ref="A149:B149"/>
    <mergeCell ref="A150:B150"/>
    <mergeCell ref="A151:B151"/>
    <mergeCell ref="A170:B170"/>
    <mergeCell ref="A143:B143"/>
    <mergeCell ref="A144:B144"/>
    <mergeCell ref="A145:B145"/>
    <mergeCell ref="A146:B146"/>
    <mergeCell ref="E146:E147"/>
    <mergeCell ref="A147:B147"/>
  </mergeCells>
  <dataValidations count="1">
    <dataValidation type="list" allowBlank="1" showErrorMessage="1" sqref="F13:F22 F40:F51 F69:F82 F100:F109 F127:F136 F154:F163 F181:F190 F208:F217" xr:uid="{00000000-0002-0000-0500-000000000000}">
      <formula1>"Y,N,-"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 x14ac:dyDescent="0.2"/>
  <cols>
    <col min="1" max="1" width="9.42578125" customWidth="1"/>
    <col min="2" max="2" width="20.42578125" customWidth="1"/>
    <col min="3" max="3" width="14.42578125" customWidth="1"/>
    <col min="4" max="4" width="16.140625" customWidth="1"/>
    <col min="6" max="6" width="16.42578125" customWidth="1"/>
    <col min="10" max="10" width="26.85546875" customWidth="1"/>
    <col min="11" max="11" width="9.7109375" customWidth="1"/>
    <col min="15" max="15" width="9.140625" customWidth="1"/>
    <col min="16" max="16" width="14.85546875" customWidth="1"/>
    <col min="17" max="17" width="9.85546875" customWidth="1"/>
    <col min="18" max="18" width="15.5703125" customWidth="1"/>
    <col min="19" max="19" width="9.42578125" customWidth="1"/>
    <col min="20" max="20" width="15.85546875" customWidth="1"/>
    <col min="21" max="21" width="9.5703125" customWidth="1"/>
    <col min="22" max="22" width="16.140625" customWidth="1"/>
    <col min="24" max="24" width="15.5703125" customWidth="1"/>
  </cols>
  <sheetData>
    <row r="1" spans="1:26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x14ac:dyDescent="0.2">
      <c r="A2" s="256">
        <v>1</v>
      </c>
      <c r="B2" s="257"/>
      <c r="C2" s="118"/>
      <c r="D2" s="119"/>
      <c r="E2" s="119"/>
      <c r="F2" s="119"/>
      <c r="G2" s="119"/>
      <c r="H2" s="12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2">
      <c r="A3" s="258" t="s">
        <v>7</v>
      </c>
      <c r="B3" s="259"/>
      <c r="C3" s="135">
        <v>20000</v>
      </c>
      <c r="D3" s="30"/>
      <c r="E3" s="30"/>
      <c r="F3" s="30"/>
      <c r="G3" s="30"/>
      <c r="H3" s="123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x14ac:dyDescent="0.2">
      <c r="A4" s="258" t="s">
        <v>8</v>
      </c>
      <c r="B4" s="259"/>
      <c r="C4" s="82">
        <v>45747</v>
      </c>
      <c r="D4" s="30"/>
      <c r="E4" s="49"/>
      <c r="F4" s="49"/>
      <c r="G4" s="49"/>
      <c r="H4" s="125" t="s">
        <v>10</v>
      </c>
      <c r="I4" s="30"/>
      <c r="J4" s="47" t="s">
        <v>11</v>
      </c>
      <c r="K4" s="81" t="s">
        <v>12</v>
      </c>
      <c r="L4" s="81" t="s">
        <v>10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2">
      <c r="A5" s="258" t="s">
        <v>103</v>
      </c>
      <c r="B5" s="259"/>
      <c r="C5" s="135">
        <v>4000</v>
      </c>
      <c r="D5" s="66"/>
      <c r="E5" s="260" t="s">
        <v>14</v>
      </c>
      <c r="F5" s="126" t="s">
        <v>15</v>
      </c>
      <c r="G5" s="50">
        <v>20000</v>
      </c>
      <c r="H5" s="127"/>
      <c r="I5" s="30"/>
      <c r="J5" s="47" t="s">
        <v>16</v>
      </c>
      <c r="K5" s="157">
        <f>SUM(G5,G32,G59,G86,G113,G140,G167,G194)</f>
        <v>20000</v>
      </c>
      <c r="L5" s="1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2">
      <c r="A6" s="258" t="s">
        <v>17</v>
      </c>
      <c r="B6" s="259"/>
      <c r="C6" s="50">
        <v>2</v>
      </c>
      <c r="D6" s="66"/>
      <c r="E6" s="261"/>
      <c r="F6" s="126" t="s">
        <v>18</v>
      </c>
      <c r="G6" s="50">
        <v>0</v>
      </c>
      <c r="H6" s="127"/>
      <c r="I6" s="30"/>
      <c r="J6" s="47" t="s">
        <v>19</v>
      </c>
      <c r="K6" s="50"/>
      <c r="L6" s="1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2">
      <c r="A7" s="258" t="s">
        <v>20</v>
      </c>
      <c r="B7" s="259"/>
      <c r="C7" s="50">
        <f>C5*C6</f>
        <v>8000</v>
      </c>
      <c r="D7" s="30"/>
      <c r="E7" s="128"/>
      <c r="F7" s="30"/>
      <c r="G7" s="66"/>
      <c r="H7" s="123"/>
      <c r="I7" s="30"/>
      <c r="J7" s="47" t="s">
        <v>21</v>
      </c>
      <c r="K7" s="50">
        <f>SUM(C8,C35,C62,C89,C116,C143,C170,C197)</f>
        <v>40000</v>
      </c>
      <c r="L7" s="1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2">
      <c r="A8" s="258" t="s">
        <v>22</v>
      </c>
      <c r="B8" s="259"/>
      <c r="C8" s="121">
        <f>C3+C7</f>
        <v>28000</v>
      </c>
      <c r="D8" s="30"/>
      <c r="E8" s="30"/>
      <c r="F8" s="30"/>
      <c r="G8" s="30"/>
      <c r="H8" s="123"/>
      <c r="I8" s="30"/>
      <c r="J8" s="47" t="s">
        <v>23</v>
      </c>
      <c r="K8" s="50">
        <f>K7-SUM(F23,F50,F77,F104,F131,F158,F185,F212)</f>
        <v>25000</v>
      </c>
      <c r="L8" s="1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x14ac:dyDescent="0.2">
      <c r="A9" s="258" t="s">
        <v>104</v>
      </c>
      <c r="B9" s="259"/>
      <c r="C9" s="146">
        <v>3500</v>
      </c>
      <c r="D9" s="30" t="s">
        <v>200</v>
      </c>
      <c r="E9" s="30"/>
      <c r="F9" s="30"/>
      <c r="G9" s="30"/>
      <c r="H9" s="123"/>
      <c r="I9" s="30"/>
      <c r="J9" s="47" t="s">
        <v>27</v>
      </c>
      <c r="K9" s="50">
        <f>SUM(G6,G33,G60,G87,G114,G141,G168,G195)</f>
        <v>10000</v>
      </c>
      <c r="L9" s="1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x14ac:dyDescent="0.2">
      <c r="A10" s="258" t="s">
        <v>28</v>
      </c>
      <c r="B10" s="259"/>
      <c r="C10" s="130" t="s">
        <v>29</v>
      </c>
      <c r="D10" s="30"/>
      <c r="E10" s="30"/>
      <c r="F10" s="30"/>
      <c r="G10" s="30"/>
      <c r="H10" s="123"/>
      <c r="I10" s="30"/>
      <c r="J10" s="59" t="s">
        <v>30</v>
      </c>
      <c r="K10" s="60">
        <f>K7-K8-K9-K14</f>
        <v>1000</v>
      </c>
      <c r="L10" s="1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x14ac:dyDescent="0.2">
      <c r="A11" s="131" t="s">
        <v>31</v>
      </c>
      <c r="B11" s="132" t="s">
        <v>106</v>
      </c>
      <c r="C11" s="133" t="s">
        <v>33</v>
      </c>
      <c r="D11" s="133" t="s">
        <v>34</v>
      </c>
      <c r="E11" s="133" t="s">
        <v>35</v>
      </c>
      <c r="F11" s="133" t="s">
        <v>36</v>
      </c>
      <c r="G11" s="133" t="s">
        <v>37</v>
      </c>
      <c r="H11" s="123"/>
      <c r="I11" s="30"/>
      <c r="J11" s="47" t="s">
        <v>38</v>
      </c>
      <c r="K11" s="64" t="e">
        <f ca="1">MINUS(K8,K5)</f>
        <v>#NAME?</v>
      </c>
      <c r="L11" s="1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x14ac:dyDescent="0.2">
      <c r="A12" s="134">
        <v>0</v>
      </c>
      <c r="B12" s="135"/>
      <c r="C12" s="135"/>
      <c r="D12" s="135"/>
      <c r="E12" s="135"/>
      <c r="F12" s="135"/>
      <c r="G12" s="50">
        <f>C8</f>
        <v>28000</v>
      </c>
      <c r="H12" s="123"/>
      <c r="I12" s="30"/>
      <c r="J12" s="47" t="s">
        <v>39</v>
      </c>
      <c r="K12" s="64">
        <f>SUM(E23,E50,E77,E104,E131,E158,E185,E212)</f>
        <v>4285.7142857142844</v>
      </c>
      <c r="L12" s="1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x14ac:dyDescent="0.2">
      <c r="A13" s="134">
        <v>1</v>
      </c>
      <c r="B13" s="137">
        <v>45754</v>
      </c>
      <c r="C13" s="135">
        <v>3000</v>
      </c>
      <c r="D13" s="135">
        <f t="shared" ref="D13:D22" si="0">C13/1.4</f>
        <v>2142.8571428571431</v>
      </c>
      <c r="E13" s="135">
        <f t="shared" ref="E13:E22" si="1">C13-D13</f>
        <v>857.14285714285688</v>
      </c>
      <c r="F13" s="50" t="s">
        <v>41</v>
      </c>
      <c r="G13" s="50">
        <f t="shared" ref="G13:G22" si="2">(G12-C13)</f>
        <v>25000</v>
      </c>
      <c r="H13" s="123"/>
      <c r="I13" s="30"/>
      <c r="J13" s="47" t="s">
        <v>42</v>
      </c>
      <c r="K13" s="64"/>
      <c r="L13" s="130"/>
      <c r="M13" s="153"/>
      <c r="N13" s="68" t="s">
        <v>49</v>
      </c>
      <c r="O13" s="253">
        <f>SUM(C13)</f>
        <v>3000</v>
      </c>
      <c r="P13" s="68" t="s">
        <v>50</v>
      </c>
      <c r="Q13" s="253">
        <v>3500</v>
      </c>
      <c r="R13" s="68" t="s">
        <v>51</v>
      </c>
      <c r="S13" s="253">
        <v>2500</v>
      </c>
      <c r="T13" s="68" t="s">
        <v>52</v>
      </c>
      <c r="U13" s="253">
        <v>3000</v>
      </c>
      <c r="V13" s="68"/>
      <c r="W13" s="253"/>
      <c r="X13" s="68"/>
      <c r="Y13" s="253"/>
      <c r="Z13" s="30"/>
    </row>
    <row r="14" spans="1:26" x14ac:dyDescent="0.2">
      <c r="A14" s="134">
        <v>2</v>
      </c>
      <c r="B14" s="137">
        <v>45761</v>
      </c>
      <c r="C14" s="135">
        <v>3500</v>
      </c>
      <c r="D14" s="135">
        <f t="shared" si="0"/>
        <v>2500</v>
      </c>
      <c r="E14" s="135">
        <f t="shared" si="1"/>
        <v>1000</v>
      </c>
      <c r="F14" s="50" t="s">
        <v>41</v>
      </c>
      <c r="G14" s="50">
        <f t="shared" si="2"/>
        <v>21500</v>
      </c>
      <c r="H14" s="123"/>
      <c r="I14" s="30"/>
      <c r="J14" s="47" t="s">
        <v>54</v>
      </c>
      <c r="K14" s="50">
        <f>K29</f>
        <v>4000</v>
      </c>
      <c r="L14" s="130"/>
      <c r="M14" s="66"/>
      <c r="N14" s="74"/>
      <c r="O14" s="75">
        <v>0</v>
      </c>
      <c r="P14" s="74" t="s">
        <v>62</v>
      </c>
      <c r="Q14" s="75">
        <v>0</v>
      </c>
      <c r="R14" s="74" t="s">
        <v>63</v>
      </c>
      <c r="S14" s="75">
        <v>2500</v>
      </c>
      <c r="T14" s="74" t="s">
        <v>64</v>
      </c>
      <c r="U14" s="75">
        <v>5000</v>
      </c>
      <c r="V14" s="74"/>
      <c r="W14" s="75"/>
      <c r="X14" s="74"/>
      <c r="Y14" s="75"/>
      <c r="Z14" s="30"/>
    </row>
    <row r="15" spans="1:26" x14ac:dyDescent="0.2">
      <c r="A15" s="134">
        <v>3</v>
      </c>
      <c r="B15" s="137">
        <v>45768</v>
      </c>
      <c r="C15" s="135">
        <v>2500</v>
      </c>
      <c r="D15" s="135">
        <f t="shared" si="0"/>
        <v>1785.7142857142858</v>
      </c>
      <c r="E15" s="135">
        <f t="shared" si="1"/>
        <v>714.28571428571422</v>
      </c>
      <c r="F15" s="50" t="s">
        <v>41</v>
      </c>
      <c r="G15" s="50">
        <f t="shared" si="2"/>
        <v>19000</v>
      </c>
      <c r="H15" s="123"/>
      <c r="I15" s="30"/>
      <c r="J15" s="30"/>
      <c r="K15" s="30"/>
      <c r="L15" s="30"/>
      <c r="M15" s="66"/>
      <c r="N15" s="74"/>
      <c r="O15" s="75"/>
      <c r="P15" s="74"/>
      <c r="Q15" s="75"/>
      <c r="R15" s="74"/>
      <c r="S15" s="75"/>
      <c r="T15" s="74"/>
      <c r="U15" s="75"/>
      <c r="V15" s="74"/>
      <c r="W15" s="75"/>
      <c r="X15" s="74"/>
      <c r="Y15" s="75"/>
      <c r="Z15" s="30"/>
    </row>
    <row r="16" spans="1:26" x14ac:dyDescent="0.2">
      <c r="A16" s="134">
        <v>4</v>
      </c>
      <c r="B16" s="137">
        <v>45775</v>
      </c>
      <c r="C16" s="135">
        <v>3000</v>
      </c>
      <c r="D16" s="135">
        <f t="shared" si="0"/>
        <v>2142.8571428571431</v>
      </c>
      <c r="E16" s="135">
        <f t="shared" si="1"/>
        <v>857.14285714285688</v>
      </c>
      <c r="F16" s="50" t="s">
        <v>41</v>
      </c>
      <c r="G16" s="50">
        <f t="shared" si="2"/>
        <v>16000</v>
      </c>
      <c r="H16" s="123"/>
      <c r="I16" s="30"/>
      <c r="J16" s="56"/>
      <c r="K16" s="30"/>
      <c r="L16" s="30"/>
      <c r="M16" s="66"/>
      <c r="N16" s="77" t="s">
        <v>325</v>
      </c>
      <c r="O16" s="78">
        <f>SUM(O13:O15)</f>
        <v>3000</v>
      </c>
      <c r="P16" s="77" t="s">
        <v>325</v>
      </c>
      <c r="Q16" s="78">
        <f>SUM(Q13:Q15)</f>
        <v>3500</v>
      </c>
      <c r="R16" s="77" t="s">
        <v>325</v>
      </c>
      <c r="S16" s="78">
        <f>SUM(S13:S15)</f>
        <v>5000</v>
      </c>
      <c r="T16" s="77" t="s">
        <v>325</v>
      </c>
      <c r="U16" s="78">
        <f>SUM(U13:U15)</f>
        <v>8000</v>
      </c>
      <c r="V16" s="77" t="s">
        <v>325</v>
      </c>
      <c r="W16" s="78">
        <f>SUM(W13:W15)</f>
        <v>0</v>
      </c>
      <c r="X16" s="77" t="s">
        <v>325</v>
      </c>
      <c r="Y16" s="78">
        <f>SUM(Y13:Y15)</f>
        <v>0</v>
      </c>
      <c r="Z16" s="30"/>
    </row>
    <row r="17" spans="1:26" x14ac:dyDescent="0.2">
      <c r="A17" s="134">
        <v>5</v>
      </c>
      <c r="B17" s="137">
        <v>45782</v>
      </c>
      <c r="C17" s="135">
        <v>3000</v>
      </c>
      <c r="D17" s="135">
        <f t="shared" si="0"/>
        <v>2142.8571428571431</v>
      </c>
      <c r="E17" s="135">
        <f t="shared" si="1"/>
        <v>857.14285714285688</v>
      </c>
      <c r="F17" s="50" t="s">
        <v>41</v>
      </c>
      <c r="G17" s="50">
        <f t="shared" si="2"/>
        <v>13000</v>
      </c>
      <c r="H17" s="123"/>
      <c r="I17" s="30"/>
      <c r="J17" s="30"/>
      <c r="K17" s="30"/>
      <c r="L17" s="30"/>
      <c r="M17" s="66"/>
      <c r="N17" s="66"/>
      <c r="O17" s="66"/>
      <c r="P17" s="66"/>
      <c r="Q17" s="66"/>
      <c r="R17" s="66"/>
      <c r="S17" s="66"/>
      <c r="T17" s="30"/>
      <c r="U17" s="30"/>
      <c r="V17" s="30"/>
      <c r="W17" s="30"/>
      <c r="X17" s="30"/>
      <c r="Y17" s="30"/>
      <c r="Z17" s="30"/>
    </row>
    <row r="18" spans="1:26" x14ac:dyDescent="0.2">
      <c r="A18" s="134">
        <v>6</v>
      </c>
      <c r="B18" s="137">
        <v>45789</v>
      </c>
      <c r="C18" s="135">
        <v>3000</v>
      </c>
      <c r="D18" s="135">
        <f t="shared" si="0"/>
        <v>2142.8571428571431</v>
      </c>
      <c r="E18" s="135">
        <f t="shared" si="1"/>
        <v>857.14285714285688</v>
      </c>
      <c r="F18" s="50" t="s">
        <v>107</v>
      </c>
      <c r="G18" s="50">
        <f t="shared" si="2"/>
        <v>10000</v>
      </c>
      <c r="H18" s="123"/>
      <c r="I18" s="30"/>
      <c r="J18" s="151" t="s">
        <v>76</v>
      </c>
      <c r="K18" s="30"/>
      <c r="L18" s="30"/>
      <c r="M18" s="66"/>
      <c r="N18" s="66"/>
      <c r="O18" s="66"/>
      <c r="P18" s="66"/>
      <c r="Q18" s="66"/>
      <c r="R18" s="66"/>
      <c r="S18" s="66"/>
      <c r="T18" s="30"/>
      <c r="U18" s="30"/>
      <c r="V18" s="30"/>
      <c r="W18" s="30"/>
      <c r="X18" s="30"/>
      <c r="Y18" s="30"/>
      <c r="Z18" s="30"/>
    </row>
    <row r="19" spans="1:26" x14ac:dyDescent="0.2">
      <c r="A19" s="134">
        <v>7</v>
      </c>
      <c r="B19" s="137">
        <v>45796</v>
      </c>
      <c r="C19" s="135">
        <v>3000</v>
      </c>
      <c r="D19" s="135">
        <f t="shared" si="0"/>
        <v>2142.8571428571431</v>
      </c>
      <c r="E19" s="135">
        <f t="shared" si="1"/>
        <v>857.14285714285688</v>
      </c>
      <c r="F19" s="50" t="s">
        <v>107</v>
      </c>
      <c r="G19" s="50">
        <f t="shared" si="2"/>
        <v>7000</v>
      </c>
      <c r="H19" s="123"/>
      <c r="I19" s="30"/>
      <c r="J19" s="81" t="s">
        <v>82</v>
      </c>
      <c r="K19" s="81" t="s">
        <v>12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x14ac:dyDescent="0.2">
      <c r="A20" s="134">
        <v>8</v>
      </c>
      <c r="B20" s="137">
        <v>45803</v>
      </c>
      <c r="C20" s="135">
        <v>3000</v>
      </c>
      <c r="D20" s="135">
        <f t="shared" si="0"/>
        <v>2142.8571428571431</v>
      </c>
      <c r="E20" s="135">
        <f t="shared" si="1"/>
        <v>857.14285714285688</v>
      </c>
      <c r="F20" s="50" t="s">
        <v>107</v>
      </c>
      <c r="G20" s="50">
        <f t="shared" si="2"/>
        <v>4000</v>
      </c>
      <c r="H20" s="123"/>
      <c r="I20" s="30"/>
      <c r="J20" s="137">
        <v>45754</v>
      </c>
      <c r="K20" s="83">
        <v>3000</v>
      </c>
      <c r="L20" s="152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x14ac:dyDescent="0.2">
      <c r="A21" s="134">
        <v>9</v>
      </c>
      <c r="B21" s="137">
        <v>45810</v>
      </c>
      <c r="C21" s="135"/>
      <c r="D21" s="135">
        <f t="shared" si="0"/>
        <v>0</v>
      </c>
      <c r="E21" s="135">
        <f t="shared" si="1"/>
        <v>0</v>
      </c>
      <c r="F21" s="50" t="s">
        <v>107</v>
      </c>
      <c r="G21" s="50">
        <f t="shared" si="2"/>
        <v>4000</v>
      </c>
      <c r="H21" s="123"/>
      <c r="I21" s="30"/>
      <c r="J21" s="136">
        <v>45761</v>
      </c>
      <c r="K21" s="83">
        <v>1000</v>
      </c>
      <c r="L21" s="66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x14ac:dyDescent="0.2">
      <c r="A22" s="134">
        <v>10</v>
      </c>
      <c r="B22" s="137">
        <v>45817</v>
      </c>
      <c r="C22" s="135"/>
      <c r="D22" s="135">
        <f t="shared" si="0"/>
        <v>0</v>
      </c>
      <c r="E22" s="135">
        <f t="shared" si="1"/>
        <v>0</v>
      </c>
      <c r="F22" s="135"/>
      <c r="G22" s="50">
        <f t="shared" si="2"/>
        <v>4000</v>
      </c>
      <c r="H22" s="123"/>
      <c r="I22" s="30"/>
      <c r="J22" s="136"/>
      <c r="K22" s="8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x14ac:dyDescent="0.2">
      <c r="A23" s="138"/>
      <c r="B23" s="139"/>
      <c r="C23" s="140"/>
      <c r="D23" s="141">
        <f>SUMIFS(D13:D22, F13:F22, "Y")</f>
        <v>10714.285714285716</v>
      </c>
      <c r="E23" s="142">
        <f>SUMIFS(E13:E22, F13:F22, "Y")</f>
        <v>4285.7142857142844</v>
      </c>
      <c r="F23" s="143">
        <f>(SUMIFS(D13:D22, F13:F22, "Y") + SUMIFS(E13:E22, F13:F22, "Y"))</f>
        <v>15000</v>
      </c>
      <c r="G23" s="140"/>
      <c r="H23" s="144"/>
      <c r="I23" s="30"/>
      <c r="J23" s="136"/>
      <c r="K23" s="8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x14ac:dyDescent="0.2">
      <c r="A24" s="30"/>
      <c r="B24" s="30"/>
      <c r="C24" s="30"/>
      <c r="D24" s="30"/>
      <c r="E24" s="30"/>
      <c r="F24" s="30"/>
      <c r="G24" s="30"/>
      <c r="H24" s="30"/>
      <c r="I24" s="30"/>
      <c r="J24" s="137"/>
      <c r="K24" s="8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x14ac:dyDescent="0.2">
      <c r="A25" s="30"/>
      <c r="B25" s="30"/>
      <c r="C25" s="30"/>
      <c r="D25" s="30"/>
      <c r="E25" s="30"/>
      <c r="F25" s="30"/>
      <c r="G25" s="30"/>
      <c r="H25" s="30"/>
      <c r="I25" s="30"/>
      <c r="J25" s="83"/>
      <c r="K25" s="8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x14ac:dyDescent="0.2">
      <c r="A26" s="30"/>
      <c r="B26" s="30"/>
      <c r="C26" s="30"/>
      <c r="D26" s="30"/>
      <c r="E26" s="30"/>
      <c r="F26" s="30"/>
      <c r="G26" s="30"/>
      <c r="H26" s="30"/>
      <c r="I26" s="30"/>
      <c r="J26" s="83"/>
      <c r="K26" s="8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x14ac:dyDescent="0.2">
      <c r="A27" s="30"/>
      <c r="B27" s="30"/>
      <c r="C27" s="30"/>
      <c r="D27" s="30"/>
      <c r="E27" s="30"/>
      <c r="F27" s="30"/>
      <c r="G27" s="30"/>
      <c r="H27" s="30"/>
      <c r="I27" s="30"/>
      <c r="J27" s="49"/>
      <c r="K27" s="4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2">
      <c r="A28" s="30"/>
      <c r="B28" s="30"/>
      <c r="C28" s="30"/>
      <c r="D28" s="30"/>
      <c r="E28" s="30"/>
      <c r="F28" s="30"/>
      <c r="G28" s="30"/>
      <c r="H28" s="30"/>
      <c r="I28" s="30"/>
      <c r="J28" s="49"/>
      <c r="K28" s="49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2">
      <c r="A29" s="256">
        <v>2</v>
      </c>
      <c r="B29" s="257"/>
      <c r="C29" s="168" t="s">
        <v>185</v>
      </c>
      <c r="D29" s="119"/>
      <c r="E29" s="119"/>
      <c r="F29" s="119"/>
      <c r="G29" s="119"/>
      <c r="H29" s="120"/>
      <c r="I29" s="30"/>
      <c r="J29" s="126" t="s">
        <v>72</v>
      </c>
      <c r="K29" s="102">
        <f>SUM(K20:K28)</f>
        <v>4000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2">
      <c r="A30" s="258" t="s">
        <v>7</v>
      </c>
      <c r="B30" s="259"/>
      <c r="C30" s="50">
        <v>10000</v>
      </c>
      <c r="D30" s="30"/>
      <c r="E30" s="30"/>
      <c r="F30" s="30"/>
      <c r="G30" s="30"/>
      <c r="H30" s="123"/>
      <c r="I30" s="30"/>
      <c r="J30" s="16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2">
      <c r="A31" s="258" t="s">
        <v>8</v>
      </c>
      <c r="B31" s="259"/>
      <c r="C31" s="150">
        <v>45782</v>
      </c>
      <c r="D31" s="30"/>
      <c r="E31" s="49"/>
      <c r="F31" s="49"/>
      <c r="G31" s="49"/>
      <c r="H31" s="125" t="s">
        <v>10</v>
      </c>
      <c r="I31" s="30"/>
      <c r="J31" s="16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2">
      <c r="A32" s="258" t="s">
        <v>103</v>
      </c>
      <c r="B32" s="259"/>
      <c r="C32" s="50">
        <v>2000</v>
      </c>
      <c r="D32" s="66"/>
      <c r="E32" s="260" t="s">
        <v>14</v>
      </c>
      <c r="F32" s="126" t="s">
        <v>15</v>
      </c>
      <c r="G32" s="50">
        <v>0</v>
      </c>
      <c r="H32" s="127"/>
      <c r="I32" s="30"/>
      <c r="J32" s="160"/>
      <c r="K32" s="48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x14ac:dyDescent="0.2">
      <c r="A33" s="258" t="s">
        <v>17</v>
      </c>
      <c r="B33" s="259"/>
      <c r="C33" s="50">
        <v>1</v>
      </c>
      <c r="D33" s="66"/>
      <c r="E33" s="261"/>
      <c r="F33" s="126" t="s">
        <v>18</v>
      </c>
      <c r="G33" s="50">
        <v>10000</v>
      </c>
      <c r="H33" s="127"/>
      <c r="I33" s="30"/>
      <c r="J33" s="160"/>
      <c r="K33" s="199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2">
      <c r="A34" s="258" t="s">
        <v>20</v>
      </c>
      <c r="B34" s="259"/>
      <c r="C34" s="50">
        <f>C32*C33</f>
        <v>2000</v>
      </c>
      <c r="D34" s="30"/>
      <c r="E34" s="128"/>
      <c r="F34" s="30"/>
      <c r="G34" s="66"/>
      <c r="H34" s="123"/>
      <c r="I34" s="30"/>
      <c r="J34" s="160"/>
      <c r="K34" s="122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2">
      <c r="A35" s="258" t="s">
        <v>22</v>
      </c>
      <c r="B35" s="259"/>
      <c r="C35" s="121">
        <f>C30+C34</f>
        <v>12000</v>
      </c>
      <c r="D35" s="30"/>
      <c r="E35" s="30"/>
      <c r="F35" s="30"/>
      <c r="G35" s="30"/>
      <c r="H35" s="123"/>
      <c r="I35" s="30"/>
      <c r="J35" s="160"/>
      <c r="K35" s="122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2">
      <c r="A36" s="258" t="s">
        <v>144</v>
      </c>
      <c r="B36" s="259"/>
      <c r="C36" s="146">
        <v>6000</v>
      </c>
      <c r="D36" s="30"/>
      <c r="E36" s="30"/>
      <c r="F36" s="30"/>
      <c r="G36" s="30"/>
      <c r="H36" s="123"/>
      <c r="I36" s="30"/>
      <c r="J36" s="16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2">
      <c r="A37" s="258" t="s">
        <v>28</v>
      </c>
      <c r="B37" s="259"/>
      <c r="C37" s="130" t="s">
        <v>188</v>
      </c>
      <c r="D37" s="30"/>
      <c r="E37" s="30"/>
      <c r="F37" s="30"/>
      <c r="G37" s="30"/>
      <c r="H37" s="123"/>
      <c r="I37" s="30"/>
      <c r="J37" s="16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x14ac:dyDescent="0.2">
      <c r="A38" s="131" t="s">
        <v>31</v>
      </c>
      <c r="B38" s="132" t="s">
        <v>106</v>
      </c>
      <c r="C38" s="133" t="s">
        <v>33</v>
      </c>
      <c r="D38" s="133" t="s">
        <v>34</v>
      </c>
      <c r="E38" s="133" t="s">
        <v>35</v>
      </c>
      <c r="F38" s="133" t="s">
        <v>36</v>
      </c>
      <c r="G38" s="133" t="s">
        <v>37</v>
      </c>
      <c r="H38" s="123"/>
      <c r="I38" s="30"/>
      <c r="J38" s="16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x14ac:dyDescent="0.2">
      <c r="A39" s="134">
        <v>0</v>
      </c>
      <c r="B39" s="135"/>
      <c r="C39" s="135"/>
      <c r="D39" s="135"/>
      <c r="E39" s="135"/>
      <c r="F39" s="135"/>
      <c r="G39" s="50">
        <f>C35</f>
        <v>12000</v>
      </c>
      <c r="H39" s="123"/>
      <c r="I39" s="30"/>
      <c r="J39" s="16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x14ac:dyDescent="0.2">
      <c r="A40" s="134">
        <v>1</v>
      </c>
      <c r="B40" s="136">
        <v>45798</v>
      </c>
      <c r="C40" s="135">
        <v>6000</v>
      </c>
      <c r="D40" s="50">
        <f t="shared" ref="D40:D49" si="3">C40/1.4</f>
        <v>4285.7142857142862</v>
      </c>
      <c r="E40" s="50">
        <f t="shared" ref="E40:E49" si="4">C40-D40</f>
        <v>1714.2857142857138</v>
      </c>
      <c r="F40" s="50" t="s">
        <v>107</v>
      </c>
      <c r="G40" s="50">
        <f t="shared" ref="G40:G49" si="5">(G39-C40)</f>
        <v>6000</v>
      </c>
      <c r="H40" s="123"/>
      <c r="I40" s="30"/>
      <c r="J40" s="16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x14ac:dyDescent="0.2">
      <c r="A41" s="134">
        <v>2</v>
      </c>
      <c r="B41" s="136">
        <v>45814</v>
      </c>
      <c r="C41" s="135">
        <v>6000</v>
      </c>
      <c r="D41" s="50">
        <f t="shared" si="3"/>
        <v>4285.7142857142862</v>
      </c>
      <c r="E41" s="50">
        <f t="shared" si="4"/>
        <v>1714.2857142857138</v>
      </c>
      <c r="F41" s="50" t="s">
        <v>107</v>
      </c>
      <c r="G41" s="50">
        <f t="shared" si="5"/>
        <v>0</v>
      </c>
      <c r="H41" s="123"/>
      <c r="I41" s="30"/>
      <c r="J41" s="16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x14ac:dyDescent="0.2">
      <c r="A42" s="134">
        <v>3</v>
      </c>
      <c r="B42" s="137"/>
      <c r="C42" s="135"/>
      <c r="D42" s="50">
        <f t="shared" si="3"/>
        <v>0</v>
      </c>
      <c r="E42" s="50">
        <f t="shared" si="4"/>
        <v>0</v>
      </c>
      <c r="F42" s="50" t="s">
        <v>107</v>
      </c>
      <c r="G42" s="50">
        <f t="shared" si="5"/>
        <v>0</v>
      </c>
      <c r="H42" s="123"/>
      <c r="I42" s="30"/>
      <c r="J42" s="16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x14ac:dyDescent="0.2">
      <c r="A43" s="134">
        <v>4</v>
      </c>
      <c r="B43" s="137"/>
      <c r="C43" s="135"/>
      <c r="D43" s="50">
        <f t="shared" si="3"/>
        <v>0</v>
      </c>
      <c r="E43" s="50">
        <f t="shared" si="4"/>
        <v>0</v>
      </c>
      <c r="F43" s="50" t="s">
        <v>107</v>
      </c>
      <c r="G43" s="50">
        <f t="shared" si="5"/>
        <v>0</v>
      </c>
      <c r="H43" s="123"/>
      <c r="I43" s="30"/>
      <c r="J43" s="16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x14ac:dyDescent="0.2">
      <c r="A44" s="134">
        <v>5</v>
      </c>
      <c r="B44" s="137"/>
      <c r="C44" s="135"/>
      <c r="D44" s="50">
        <f t="shared" si="3"/>
        <v>0</v>
      </c>
      <c r="E44" s="50">
        <f t="shared" si="4"/>
        <v>0</v>
      </c>
      <c r="F44" s="50" t="s">
        <v>107</v>
      </c>
      <c r="G44" s="50">
        <f t="shared" si="5"/>
        <v>0</v>
      </c>
      <c r="H44" s="123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x14ac:dyDescent="0.2">
      <c r="A45" s="134">
        <v>6</v>
      </c>
      <c r="B45" s="137"/>
      <c r="C45" s="135"/>
      <c r="D45" s="50">
        <f t="shared" si="3"/>
        <v>0</v>
      </c>
      <c r="E45" s="50">
        <f t="shared" si="4"/>
        <v>0</v>
      </c>
      <c r="F45" s="50" t="s">
        <v>107</v>
      </c>
      <c r="G45" s="50">
        <f t="shared" si="5"/>
        <v>0</v>
      </c>
      <c r="H45" s="123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x14ac:dyDescent="0.2">
      <c r="A46" s="134">
        <v>7</v>
      </c>
      <c r="B46" s="137"/>
      <c r="C46" s="135"/>
      <c r="D46" s="50">
        <f t="shared" si="3"/>
        <v>0</v>
      </c>
      <c r="E46" s="50">
        <f t="shared" si="4"/>
        <v>0</v>
      </c>
      <c r="F46" s="50" t="s">
        <v>107</v>
      </c>
      <c r="G46" s="50">
        <f t="shared" si="5"/>
        <v>0</v>
      </c>
      <c r="H46" s="123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x14ac:dyDescent="0.2">
      <c r="A47" s="134">
        <v>8</v>
      </c>
      <c r="B47" s="137"/>
      <c r="C47" s="135"/>
      <c r="D47" s="50">
        <f t="shared" si="3"/>
        <v>0</v>
      </c>
      <c r="E47" s="50">
        <f t="shared" si="4"/>
        <v>0</v>
      </c>
      <c r="F47" s="50" t="s">
        <v>107</v>
      </c>
      <c r="G47" s="50">
        <f t="shared" si="5"/>
        <v>0</v>
      </c>
      <c r="H47" s="123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x14ac:dyDescent="0.2">
      <c r="A48" s="134">
        <v>9</v>
      </c>
      <c r="B48" s="137"/>
      <c r="C48" s="135"/>
      <c r="D48" s="50">
        <f t="shared" si="3"/>
        <v>0</v>
      </c>
      <c r="E48" s="50">
        <f t="shared" si="4"/>
        <v>0</v>
      </c>
      <c r="F48" s="135"/>
      <c r="G48" s="50">
        <f t="shared" si="5"/>
        <v>0</v>
      </c>
      <c r="H48" s="123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">
      <c r="A49" s="134">
        <v>10</v>
      </c>
      <c r="B49" s="137"/>
      <c r="C49" s="135"/>
      <c r="D49" s="50">
        <f t="shared" si="3"/>
        <v>0</v>
      </c>
      <c r="E49" s="50">
        <f t="shared" si="4"/>
        <v>0</v>
      </c>
      <c r="F49" s="135"/>
      <c r="G49" s="50">
        <f t="shared" si="5"/>
        <v>0</v>
      </c>
      <c r="H49" s="123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">
      <c r="A50" s="138"/>
      <c r="B50" s="139"/>
      <c r="C50" s="140"/>
      <c r="D50" s="141">
        <f>SUMIFS(D40:D49, F40:F49, "Y")</f>
        <v>0</v>
      </c>
      <c r="E50" s="142">
        <f>SUMIFS(E40:E49, F40:F49, "Y")</f>
        <v>0</v>
      </c>
      <c r="F50" s="143">
        <f>(SUMIFS(D40:D49, F40:F49, "Y") + SUMIFS(E40:E49, F40:F49, "Y"))</f>
        <v>0</v>
      </c>
      <c r="G50" s="140"/>
      <c r="H50" s="14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">
      <c r="A56" s="256" t="s">
        <v>356</v>
      </c>
      <c r="B56" s="257"/>
      <c r="C56" s="119"/>
      <c r="D56" s="119"/>
      <c r="E56" s="119"/>
      <c r="F56" s="119"/>
      <c r="G56" s="119"/>
      <c r="H56" s="12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">
      <c r="A57" s="258" t="s">
        <v>7</v>
      </c>
      <c r="B57" s="259"/>
      <c r="C57" s="135"/>
      <c r="D57" s="30"/>
      <c r="E57" s="30"/>
      <c r="F57" s="30"/>
      <c r="G57" s="30"/>
      <c r="H57" s="123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">
      <c r="A58" s="258" t="s">
        <v>8</v>
      </c>
      <c r="B58" s="259"/>
      <c r="C58" s="82"/>
      <c r="D58" s="30"/>
      <c r="E58" s="49"/>
      <c r="F58" s="49"/>
      <c r="G58" s="49"/>
      <c r="H58" s="125" t="s">
        <v>10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">
      <c r="A59" s="258" t="s">
        <v>103</v>
      </c>
      <c r="B59" s="259"/>
      <c r="C59" s="135"/>
      <c r="D59" s="66"/>
      <c r="E59" s="260" t="s">
        <v>14</v>
      </c>
      <c r="F59" s="126" t="s">
        <v>15</v>
      </c>
      <c r="G59" s="135"/>
      <c r="H59" s="127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">
      <c r="A60" s="258" t="s">
        <v>17</v>
      </c>
      <c r="B60" s="259"/>
      <c r="C60" s="50">
        <v>2</v>
      </c>
      <c r="D60" s="66"/>
      <c r="E60" s="261"/>
      <c r="F60" s="126" t="s">
        <v>18</v>
      </c>
      <c r="G60" s="50"/>
      <c r="H60" s="127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">
      <c r="A61" s="258" t="s">
        <v>20</v>
      </c>
      <c r="B61" s="259"/>
      <c r="C61" s="50">
        <f>C59*C60</f>
        <v>0</v>
      </c>
      <c r="D61" s="30"/>
      <c r="E61" s="128"/>
      <c r="F61" s="30"/>
      <c r="G61" s="66"/>
      <c r="H61" s="123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">
      <c r="A62" s="258" t="s">
        <v>22</v>
      </c>
      <c r="B62" s="259"/>
      <c r="C62" s="121">
        <f>C57+C61</f>
        <v>0</v>
      </c>
      <c r="D62" s="30"/>
      <c r="E62" s="30"/>
      <c r="F62" s="30"/>
      <c r="G62" s="30"/>
      <c r="H62" s="123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">
      <c r="A63" s="258" t="s">
        <v>24</v>
      </c>
      <c r="B63" s="259"/>
      <c r="C63" s="146"/>
      <c r="D63" s="30" t="s">
        <v>315</v>
      </c>
      <c r="E63" s="30"/>
      <c r="F63" s="30"/>
      <c r="G63" s="30"/>
      <c r="H63" s="123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">
      <c r="A64" s="258" t="s">
        <v>28</v>
      </c>
      <c r="B64" s="259"/>
      <c r="C64" s="130" t="s">
        <v>154</v>
      </c>
      <c r="D64" s="30"/>
      <c r="E64" s="30"/>
      <c r="F64" s="30"/>
      <c r="G64" s="30"/>
      <c r="H64" s="123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">
      <c r="A65" s="131" t="s">
        <v>31</v>
      </c>
      <c r="B65" s="132" t="s">
        <v>106</v>
      </c>
      <c r="C65" s="133" t="s">
        <v>33</v>
      </c>
      <c r="D65" s="133" t="s">
        <v>34</v>
      </c>
      <c r="E65" s="133" t="s">
        <v>35</v>
      </c>
      <c r="F65" s="133" t="s">
        <v>36</v>
      </c>
      <c r="G65" s="133" t="s">
        <v>37</v>
      </c>
      <c r="H65" s="123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">
      <c r="A66" s="134">
        <v>0</v>
      </c>
      <c r="B66" s="135"/>
      <c r="C66" s="135"/>
      <c r="D66" s="135"/>
      <c r="E66" s="135"/>
      <c r="F66" s="135"/>
      <c r="G66" s="50">
        <f>C62</f>
        <v>0</v>
      </c>
      <c r="H66" s="123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">
      <c r="A67" s="134">
        <v>1</v>
      </c>
      <c r="B67" s="137">
        <v>45733</v>
      </c>
      <c r="C67" s="135"/>
      <c r="D67" s="50">
        <f t="shared" ref="D67:D76" si="6">C67/1.4</f>
        <v>0</v>
      </c>
      <c r="E67" s="50">
        <f t="shared" ref="E67:E76" si="7">C67-D67</f>
        <v>0</v>
      </c>
      <c r="F67" s="50" t="s">
        <v>107</v>
      </c>
      <c r="G67" s="50">
        <f t="shared" ref="G67:G76" si="8">(G66-C67)</f>
        <v>0</v>
      </c>
      <c r="H67" s="123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">
      <c r="A68" s="134">
        <v>2</v>
      </c>
      <c r="B68" s="137">
        <v>45740</v>
      </c>
      <c r="C68" s="135"/>
      <c r="D68" s="50">
        <f t="shared" si="6"/>
        <v>0</v>
      </c>
      <c r="E68" s="50">
        <f t="shared" si="7"/>
        <v>0</v>
      </c>
      <c r="F68" s="50" t="s">
        <v>107</v>
      </c>
      <c r="G68" s="50">
        <f t="shared" si="8"/>
        <v>0</v>
      </c>
      <c r="H68" s="123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">
      <c r="A69" s="134">
        <v>3</v>
      </c>
      <c r="B69" s="137">
        <v>45747</v>
      </c>
      <c r="C69" s="135"/>
      <c r="D69" s="50">
        <f t="shared" si="6"/>
        <v>0</v>
      </c>
      <c r="E69" s="50">
        <f t="shared" si="7"/>
        <v>0</v>
      </c>
      <c r="F69" s="50" t="s">
        <v>107</v>
      </c>
      <c r="G69" s="50">
        <f t="shared" si="8"/>
        <v>0</v>
      </c>
      <c r="H69" s="123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">
      <c r="A70" s="134">
        <v>4</v>
      </c>
      <c r="B70" s="137">
        <v>45754</v>
      </c>
      <c r="C70" s="135"/>
      <c r="D70" s="50">
        <f t="shared" si="6"/>
        <v>0</v>
      </c>
      <c r="E70" s="50">
        <f t="shared" si="7"/>
        <v>0</v>
      </c>
      <c r="F70" s="50" t="s">
        <v>107</v>
      </c>
      <c r="G70" s="50">
        <f t="shared" si="8"/>
        <v>0</v>
      </c>
      <c r="H70" s="123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">
      <c r="A71" s="134">
        <v>5</v>
      </c>
      <c r="B71" s="137">
        <v>45761</v>
      </c>
      <c r="C71" s="135"/>
      <c r="D71" s="50">
        <f t="shared" si="6"/>
        <v>0</v>
      </c>
      <c r="E71" s="50">
        <f t="shared" si="7"/>
        <v>0</v>
      </c>
      <c r="F71" s="50" t="s">
        <v>107</v>
      </c>
      <c r="G71" s="50">
        <f t="shared" si="8"/>
        <v>0</v>
      </c>
      <c r="H71" s="123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">
      <c r="A72" s="134">
        <v>6</v>
      </c>
      <c r="B72" s="137">
        <v>45775</v>
      </c>
      <c r="C72" s="135"/>
      <c r="D72" s="50">
        <f t="shared" si="6"/>
        <v>0</v>
      </c>
      <c r="E72" s="50">
        <f t="shared" si="7"/>
        <v>0</v>
      </c>
      <c r="F72" s="50" t="s">
        <v>107</v>
      </c>
      <c r="G72" s="50">
        <f t="shared" si="8"/>
        <v>0</v>
      </c>
      <c r="H72" s="123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">
      <c r="A73" s="134">
        <v>7</v>
      </c>
      <c r="B73" s="137">
        <v>45782</v>
      </c>
      <c r="C73" s="135"/>
      <c r="D73" s="50">
        <f t="shared" si="6"/>
        <v>0</v>
      </c>
      <c r="E73" s="50">
        <f t="shared" si="7"/>
        <v>0</v>
      </c>
      <c r="F73" s="50" t="s">
        <v>107</v>
      </c>
      <c r="G73" s="50">
        <f t="shared" si="8"/>
        <v>0</v>
      </c>
      <c r="H73" s="123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">
      <c r="A74" s="134">
        <v>8</v>
      </c>
      <c r="B74" s="137">
        <v>45789</v>
      </c>
      <c r="C74" s="135"/>
      <c r="D74" s="50">
        <f t="shared" si="6"/>
        <v>0</v>
      </c>
      <c r="E74" s="50">
        <f t="shared" si="7"/>
        <v>0</v>
      </c>
      <c r="F74" s="50" t="s">
        <v>107</v>
      </c>
      <c r="G74" s="50">
        <f t="shared" si="8"/>
        <v>0</v>
      </c>
      <c r="H74" s="123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">
      <c r="A75" s="134">
        <v>9</v>
      </c>
      <c r="B75" s="137">
        <v>45796</v>
      </c>
      <c r="C75" s="135"/>
      <c r="D75" s="50">
        <f t="shared" si="6"/>
        <v>0</v>
      </c>
      <c r="E75" s="50">
        <f t="shared" si="7"/>
        <v>0</v>
      </c>
      <c r="F75" s="135"/>
      <c r="G75" s="50">
        <f t="shared" si="8"/>
        <v>0</v>
      </c>
      <c r="H75" s="123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">
      <c r="A76" s="134">
        <v>10</v>
      </c>
      <c r="B76" s="137">
        <v>45803</v>
      </c>
      <c r="C76" s="135"/>
      <c r="D76" s="50">
        <f t="shared" si="6"/>
        <v>0</v>
      </c>
      <c r="E76" s="50">
        <f t="shared" si="7"/>
        <v>0</v>
      </c>
      <c r="F76" s="135"/>
      <c r="G76" s="50">
        <f t="shared" si="8"/>
        <v>0</v>
      </c>
      <c r="H76" s="12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">
      <c r="A77" s="138"/>
      <c r="B77" s="139"/>
      <c r="C77" s="140"/>
      <c r="D77" s="167">
        <f>SUMIFS(D67:D76, F67:F76, "Y")</f>
        <v>0</v>
      </c>
      <c r="E77" s="143">
        <f>SUMIFS(E67:E76, F67:F76, "Y")</f>
        <v>0</v>
      </c>
      <c r="F77" s="143">
        <f>(SUMIFS(D67:D76, F67:F76, "Y") + SUMIFS(E67:E76, F67:F76, "Y"))</f>
        <v>0</v>
      </c>
      <c r="G77" s="140"/>
      <c r="H77" s="144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">
      <c r="A83" s="256" t="s">
        <v>357</v>
      </c>
      <c r="B83" s="257"/>
      <c r="C83" s="119"/>
      <c r="D83" s="119"/>
      <c r="E83" s="119"/>
      <c r="F83" s="119"/>
      <c r="G83" s="119"/>
      <c r="H83" s="12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">
      <c r="A84" s="258" t="s">
        <v>7</v>
      </c>
      <c r="B84" s="259"/>
      <c r="C84" s="135"/>
      <c r="D84" s="30"/>
      <c r="E84" s="30"/>
      <c r="F84" s="30"/>
      <c r="G84" s="30"/>
      <c r="H84" s="12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">
      <c r="A85" s="258" t="s">
        <v>8</v>
      </c>
      <c r="B85" s="259"/>
      <c r="C85" s="82"/>
      <c r="D85" s="30"/>
      <c r="E85" s="49"/>
      <c r="F85" s="49"/>
      <c r="G85" s="49"/>
      <c r="H85" s="125" t="s">
        <v>10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">
      <c r="A86" s="258" t="s">
        <v>103</v>
      </c>
      <c r="B86" s="259"/>
      <c r="C86" s="135"/>
      <c r="D86" s="66"/>
      <c r="E86" s="260" t="s">
        <v>14</v>
      </c>
      <c r="F86" s="126" t="s">
        <v>15</v>
      </c>
      <c r="G86" s="135"/>
      <c r="H86" s="127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">
      <c r="A87" s="258" t="s">
        <v>17</v>
      </c>
      <c r="B87" s="259"/>
      <c r="C87" s="50">
        <v>2</v>
      </c>
      <c r="D87" s="66"/>
      <c r="E87" s="261"/>
      <c r="F87" s="126" t="s">
        <v>18</v>
      </c>
      <c r="G87" s="50"/>
      <c r="H87" s="127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">
      <c r="A88" s="258" t="s">
        <v>20</v>
      </c>
      <c r="B88" s="259"/>
      <c r="C88" s="50">
        <f>C86*C87</f>
        <v>0</v>
      </c>
      <c r="D88" s="30"/>
      <c r="E88" s="128"/>
      <c r="F88" s="30"/>
      <c r="G88" s="66"/>
      <c r="H88" s="123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">
      <c r="A89" s="258" t="s">
        <v>22</v>
      </c>
      <c r="B89" s="259"/>
      <c r="C89" s="121">
        <f>C84+C88</f>
        <v>0</v>
      </c>
      <c r="D89" s="30"/>
      <c r="E89" s="30"/>
      <c r="F89" s="30"/>
      <c r="G89" s="30"/>
      <c r="H89" s="123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">
      <c r="A90" s="258" t="s">
        <v>24</v>
      </c>
      <c r="B90" s="259"/>
      <c r="C90" s="146"/>
      <c r="D90" s="30"/>
      <c r="E90" s="30"/>
      <c r="F90" s="30"/>
      <c r="G90" s="30"/>
      <c r="H90" s="123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">
      <c r="A91" s="258" t="s">
        <v>28</v>
      </c>
      <c r="B91" s="259"/>
      <c r="C91" s="130" t="s">
        <v>29</v>
      </c>
      <c r="D91" s="30"/>
      <c r="E91" s="30"/>
      <c r="F91" s="30"/>
      <c r="G91" s="30"/>
      <c r="H91" s="123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">
      <c r="A92" s="131" t="s">
        <v>31</v>
      </c>
      <c r="B92" s="132" t="s">
        <v>106</v>
      </c>
      <c r="C92" s="133" t="s">
        <v>33</v>
      </c>
      <c r="D92" s="133" t="s">
        <v>34</v>
      </c>
      <c r="E92" s="133" t="s">
        <v>35</v>
      </c>
      <c r="F92" s="133" t="s">
        <v>36</v>
      </c>
      <c r="G92" s="133" t="s">
        <v>37</v>
      </c>
      <c r="H92" s="123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">
      <c r="A93" s="134">
        <v>0</v>
      </c>
      <c r="B93" s="135"/>
      <c r="C93" s="135"/>
      <c r="D93" s="135"/>
      <c r="E93" s="135"/>
      <c r="F93" s="135"/>
      <c r="G93" s="50">
        <f>C89</f>
        <v>0</v>
      </c>
      <c r="H93" s="123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">
      <c r="A94" s="134">
        <v>1</v>
      </c>
      <c r="B94" s="137">
        <v>45754</v>
      </c>
      <c r="C94" s="135">
        <v>1400</v>
      </c>
      <c r="D94" s="50">
        <f t="shared" ref="D94:D103" si="9">C94/1.4</f>
        <v>1000.0000000000001</v>
      </c>
      <c r="E94" s="50">
        <f t="shared" ref="E94:E103" si="10">C94-D94</f>
        <v>399.99999999999989</v>
      </c>
      <c r="F94" s="50" t="s">
        <v>107</v>
      </c>
      <c r="G94" s="50">
        <f t="shared" ref="G94:G103" si="11">(G93-C94)</f>
        <v>-1400</v>
      </c>
      <c r="H94" s="123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">
      <c r="A95" s="134">
        <v>2</v>
      </c>
      <c r="B95" s="137">
        <v>45761</v>
      </c>
      <c r="C95" s="135"/>
      <c r="D95" s="50">
        <f t="shared" si="9"/>
        <v>0</v>
      </c>
      <c r="E95" s="50">
        <f t="shared" si="10"/>
        <v>0</v>
      </c>
      <c r="F95" s="50" t="s">
        <v>107</v>
      </c>
      <c r="G95" s="50">
        <f t="shared" si="11"/>
        <v>-1400</v>
      </c>
      <c r="H95" s="123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">
      <c r="A96" s="134">
        <v>3</v>
      </c>
      <c r="B96" s="137">
        <v>45775</v>
      </c>
      <c r="C96" s="135"/>
      <c r="D96" s="50">
        <f t="shared" si="9"/>
        <v>0</v>
      </c>
      <c r="E96" s="50">
        <f t="shared" si="10"/>
        <v>0</v>
      </c>
      <c r="F96" s="50" t="s">
        <v>107</v>
      </c>
      <c r="G96" s="50">
        <f t="shared" si="11"/>
        <v>-1400</v>
      </c>
      <c r="H96" s="123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">
      <c r="A97" s="134">
        <v>4</v>
      </c>
      <c r="B97" s="137">
        <v>45782</v>
      </c>
      <c r="C97" s="135"/>
      <c r="D97" s="50">
        <f t="shared" si="9"/>
        <v>0</v>
      </c>
      <c r="E97" s="50">
        <f t="shared" si="10"/>
        <v>0</v>
      </c>
      <c r="F97" s="50" t="s">
        <v>107</v>
      </c>
      <c r="G97" s="50">
        <f t="shared" si="11"/>
        <v>-1400</v>
      </c>
      <c r="H97" s="123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">
      <c r="A98" s="134">
        <v>5</v>
      </c>
      <c r="B98" s="137">
        <v>45789</v>
      </c>
      <c r="C98" s="135"/>
      <c r="D98" s="50">
        <f t="shared" si="9"/>
        <v>0</v>
      </c>
      <c r="E98" s="50">
        <f t="shared" si="10"/>
        <v>0</v>
      </c>
      <c r="F98" s="50" t="s">
        <v>107</v>
      </c>
      <c r="G98" s="50">
        <f t="shared" si="11"/>
        <v>-1400</v>
      </c>
      <c r="H98" s="123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">
      <c r="A99" s="134">
        <v>6</v>
      </c>
      <c r="B99" s="137">
        <v>45796</v>
      </c>
      <c r="C99" s="135"/>
      <c r="D99" s="50">
        <f t="shared" si="9"/>
        <v>0</v>
      </c>
      <c r="E99" s="50">
        <f t="shared" si="10"/>
        <v>0</v>
      </c>
      <c r="F99" s="50" t="s">
        <v>107</v>
      </c>
      <c r="G99" s="50">
        <f t="shared" si="11"/>
        <v>-1400</v>
      </c>
      <c r="H99" s="123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">
      <c r="A100" s="134">
        <v>7</v>
      </c>
      <c r="B100" s="137">
        <v>45803</v>
      </c>
      <c r="C100" s="135"/>
      <c r="D100" s="50">
        <f t="shared" si="9"/>
        <v>0</v>
      </c>
      <c r="E100" s="50">
        <f t="shared" si="10"/>
        <v>0</v>
      </c>
      <c r="F100" s="50" t="s">
        <v>107</v>
      </c>
      <c r="G100" s="50">
        <f t="shared" si="11"/>
        <v>-1400</v>
      </c>
      <c r="H100" s="123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">
      <c r="A101" s="134">
        <v>8</v>
      </c>
      <c r="B101" s="94"/>
      <c r="C101" s="135"/>
      <c r="D101" s="50">
        <f t="shared" si="9"/>
        <v>0</v>
      </c>
      <c r="E101" s="50">
        <f t="shared" si="10"/>
        <v>0</v>
      </c>
      <c r="F101" s="50" t="s">
        <v>107</v>
      </c>
      <c r="G101" s="50">
        <f t="shared" si="11"/>
        <v>-1400</v>
      </c>
      <c r="H101" s="123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">
      <c r="A102" s="134">
        <v>9</v>
      </c>
      <c r="B102" s="94"/>
      <c r="C102" s="135"/>
      <c r="D102" s="50">
        <f t="shared" si="9"/>
        <v>0</v>
      </c>
      <c r="E102" s="50">
        <f t="shared" si="10"/>
        <v>0</v>
      </c>
      <c r="F102" s="135"/>
      <c r="G102" s="50">
        <f t="shared" si="11"/>
        <v>-1400</v>
      </c>
      <c r="H102" s="123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">
      <c r="A103" s="134">
        <v>10</v>
      </c>
      <c r="B103" s="94"/>
      <c r="C103" s="135"/>
      <c r="D103" s="50">
        <f t="shared" si="9"/>
        <v>0</v>
      </c>
      <c r="E103" s="50">
        <f t="shared" si="10"/>
        <v>0</v>
      </c>
      <c r="F103" s="135"/>
      <c r="G103" s="50">
        <f t="shared" si="11"/>
        <v>-1400</v>
      </c>
      <c r="H103" s="123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">
      <c r="A104" s="138"/>
      <c r="B104" s="139"/>
      <c r="C104" s="140"/>
      <c r="D104" s="167">
        <f>SUMIFS(D94:D103, F94:F103, "Y")</f>
        <v>0</v>
      </c>
      <c r="E104" s="143">
        <f>SUMIFS(E94:E103, F94:F103, "Y")</f>
        <v>0</v>
      </c>
      <c r="F104" s="143">
        <f>(SUMIFS(D94:D103, F94:F103, "Y") + SUMIFS(E94:E103, F94:F103, "Y"))</f>
        <v>0</v>
      </c>
      <c r="G104" s="140"/>
      <c r="H104" s="144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">
      <c r="A110" s="256" t="s">
        <v>358</v>
      </c>
      <c r="B110" s="257"/>
      <c r="C110" s="119"/>
      <c r="D110" s="119"/>
      <c r="E110" s="119"/>
      <c r="F110" s="119"/>
      <c r="G110" s="119"/>
      <c r="H110" s="12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">
      <c r="A111" s="258" t="s">
        <v>7</v>
      </c>
      <c r="B111" s="259"/>
      <c r="C111" s="135"/>
      <c r="D111" s="30"/>
      <c r="E111" s="30"/>
      <c r="F111" s="30"/>
      <c r="G111" s="30"/>
      <c r="H111" s="123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">
      <c r="A112" s="258" t="s">
        <v>8</v>
      </c>
      <c r="B112" s="259"/>
      <c r="C112" s="82"/>
      <c r="D112" s="30"/>
      <c r="E112" s="49"/>
      <c r="F112" s="49"/>
      <c r="G112" s="49"/>
      <c r="H112" s="125" t="s">
        <v>10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">
      <c r="A113" s="258" t="s">
        <v>103</v>
      </c>
      <c r="B113" s="259"/>
      <c r="C113" s="135"/>
      <c r="D113" s="66"/>
      <c r="E113" s="260" t="s">
        <v>14</v>
      </c>
      <c r="F113" s="126" t="s">
        <v>15</v>
      </c>
      <c r="G113" s="135"/>
      <c r="H113" s="127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">
      <c r="A114" s="258" t="s">
        <v>17</v>
      </c>
      <c r="B114" s="259"/>
      <c r="C114" s="50">
        <v>2</v>
      </c>
      <c r="D114" s="66"/>
      <c r="E114" s="261"/>
      <c r="F114" s="126" t="s">
        <v>18</v>
      </c>
      <c r="G114" s="50">
        <v>0</v>
      </c>
      <c r="H114" s="127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">
      <c r="A115" s="258" t="s">
        <v>20</v>
      </c>
      <c r="B115" s="259"/>
      <c r="C115" s="50">
        <f>C113*C114</f>
        <v>0</v>
      </c>
      <c r="D115" s="30"/>
      <c r="E115" s="128"/>
      <c r="F115" s="30"/>
      <c r="G115" s="66"/>
      <c r="H115" s="123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">
      <c r="A116" s="258" t="s">
        <v>22</v>
      </c>
      <c r="B116" s="259"/>
      <c r="C116" s="121">
        <f>C111+C115</f>
        <v>0</v>
      </c>
      <c r="D116" s="30"/>
      <c r="E116" s="30"/>
      <c r="F116" s="30"/>
      <c r="G116" s="30"/>
      <c r="H116" s="123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">
      <c r="A117" s="258" t="s">
        <v>353</v>
      </c>
      <c r="B117" s="259"/>
      <c r="C117" s="146">
        <f>C116/C114</f>
        <v>0</v>
      </c>
      <c r="D117" s="30"/>
      <c r="E117" s="30"/>
      <c r="F117" s="30"/>
      <c r="G117" s="30"/>
      <c r="H117" s="123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">
      <c r="A118" s="258" t="s">
        <v>28</v>
      </c>
      <c r="B118" s="259"/>
      <c r="C118" s="130" t="s">
        <v>29</v>
      </c>
      <c r="D118" s="30"/>
      <c r="E118" s="30"/>
      <c r="F118" s="30"/>
      <c r="G118" s="30"/>
      <c r="H118" s="123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">
      <c r="A119" s="131" t="s">
        <v>31</v>
      </c>
      <c r="B119" s="132" t="s">
        <v>106</v>
      </c>
      <c r="C119" s="133" t="s">
        <v>33</v>
      </c>
      <c r="D119" s="133" t="s">
        <v>34</v>
      </c>
      <c r="E119" s="133" t="s">
        <v>35</v>
      </c>
      <c r="F119" s="133" t="s">
        <v>36</v>
      </c>
      <c r="G119" s="133" t="s">
        <v>37</v>
      </c>
      <c r="H119" s="123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">
      <c r="A120" s="134">
        <v>0</v>
      </c>
      <c r="B120" s="135"/>
      <c r="C120" s="135"/>
      <c r="D120" s="135"/>
      <c r="E120" s="135"/>
      <c r="F120" s="135"/>
      <c r="G120" s="50">
        <f>C116</f>
        <v>0</v>
      </c>
      <c r="H120" s="123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">
      <c r="A121" s="134">
        <v>1</v>
      </c>
      <c r="B121" s="82"/>
      <c r="C121" s="135"/>
      <c r="D121" s="135"/>
      <c r="E121" s="135"/>
      <c r="F121" s="50" t="s">
        <v>107</v>
      </c>
      <c r="G121" s="50">
        <f t="shared" ref="G121:G128" si="12">(G120-C121)</f>
        <v>0</v>
      </c>
      <c r="H121" s="123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">
      <c r="A122" s="134">
        <v>2</v>
      </c>
      <c r="B122" s="82"/>
      <c r="C122" s="135"/>
      <c r="D122" s="135"/>
      <c r="E122" s="135"/>
      <c r="F122" s="50" t="s">
        <v>107</v>
      </c>
      <c r="G122" s="50">
        <f t="shared" si="12"/>
        <v>0</v>
      </c>
      <c r="H122" s="123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">
      <c r="A123" s="134">
        <v>3</v>
      </c>
      <c r="B123" s="82"/>
      <c r="C123" s="135"/>
      <c r="D123" s="135"/>
      <c r="E123" s="135"/>
      <c r="F123" s="50" t="s">
        <v>107</v>
      </c>
      <c r="G123" s="50">
        <f t="shared" si="12"/>
        <v>0</v>
      </c>
      <c r="H123" s="123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">
      <c r="A124" s="134">
        <v>4</v>
      </c>
      <c r="B124" s="82"/>
      <c r="C124" s="135"/>
      <c r="D124" s="135"/>
      <c r="E124" s="135"/>
      <c r="F124" s="50" t="s">
        <v>107</v>
      </c>
      <c r="G124" s="50">
        <f t="shared" si="12"/>
        <v>0</v>
      </c>
      <c r="H124" s="123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">
      <c r="A125" s="134">
        <v>5</v>
      </c>
      <c r="B125" s="94"/>
      <c r="C125" s="135"/>
      <c r="D125" s="135"/>
      <c r="E125" s="135"/>
      <c r="F125" s="50" t="s">
        <v>107</v>
      </c>
      <c r="G125" s="50">
        <f t="shared" si="12"/>
        <v>0</v>
      </c>
      <c r="H125" s="123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">
      <c r="A126" s="134">
        <v>6</v>
      </c>
      <c r="B126" s="94"/>
      <c r="C126" s="135"/>
      <c r="D126" s="135"/>
      <c r="E126" s="135"/>
      <c r="F126" s="50" t="s">
        <v>107</v>
      </c>
      <c r="G126" s="50">
        <f t="shared" si="12"/>
        <v>0</v>
      </c>
      <c r="H126" s="123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">
      <c r="A127" s="134">
        <v>7</v>
      </c>
      <c r="B127" s="94"/>
      <c r="C127" s="135"/>
      <c r="D127" s="135"/>
      <c r="E127" s="135"/>
      <c r="F127" s="50" t="s">
        <v>107</v>
      </c>
      <c r="G127" s="50">
        <f t="shared" si="12"/>
        <v>0</v>
      </c>
      <c r="H127" s="123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">
      <c r="A128" s="134">
        <v>8</v>
      </c>
      <c r="B128" s="94"/>
      <c r="C128" s="135"/>
      <c r="D128" s="135"/>
      <c r="E128" s="135"/>
      <c r="F128" s="50" t="s">
        <v>107</v>
      </c>
      <c r="G128" s="50">
        <f t="shared" si="12"/>
        <v>0</v>
      </c>
      <c r="H128" s="123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">
      <c r="A129" s="134">
        <v>9</v>
      </c>
      <c r="B129" s="94"/>
      <c r="C129" s="135"/>
      <c r="D129" s="135"/>
      <c r="E129" s="135"/>
      <c r="F129" s="135"/>
      <c r="G129" s="135"/>
      <c r="H129" s="123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">
      <c r="A130" s="134">
        <v>10</v>
      </c>
      <c r="B130" s="94"/>
      <c r="C130" s="135"/>
      <c r="D130" s="135"/>
      <c r="E130" s="135"/>
      <c r="F130" s="135"/>
      <c r="G130" s="135"/>
      <c r="H130" s="123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">
      <c r="A131" s="138"/>
      <c r="B131" s="139"/>
      <c r="C131" s="140"/>
      <c r="D131" s="167">
        <f>SUMIFS(D121:D130, F121:F130, "Y")</f>
        <v>0</v>
      </c>
      <c r="E131" s="143">
        <f>SUMIFS(E121:E130, F121:F130, "Y")</f>
        <v>0</v>
      </c>
      <c r="F131" s="143">
        <f>(SUMIFS(D121:D130, F121:F130, "Y") + SUMIFS(E121:E130, F121:F130, "Y"))</f>
        <v>0</v>
      </c>
      <c r="G131" s="140"/>
      <c r="H131" s="144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">
      <c r="A137" s="256" t="s">
        <v>352</v>
      </c>
      <c r="B137" s="257"/>
      <c r="C137" s="119"/>
      <c r="D137" s="119"/>
      <c r="E137" s="119"/>
      <c r="F137" s="119"/>
      <c r="G137" s="119"/>
      <c r="H137" s="12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">
      <c r="A138" s="258" t="s">
        <v>7</v>
      </c>
      <c r="B138" s="259"/>
      <c r="C138" s="135"/>
      <c r="D138" s="30"/>
      <c r="E138" s="30"/>
      <c r="F138" s="30"/>
      <c r="G138" s="30"/>
      <c r="H138" s="123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">
      <c r="A139" s="258" t="s">
        <v>8</v>
      </c>
      <c r="B139" s="259"/>
      <c r="C139" s="82"/>
      <c r="D139" s="30"/>
      <c r="E139" s="49"/>
      <c r="F139" s="49"/>
      <c r="G139" s="49"/>
      <c r="H139" s="125" t="s">
        <v>10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">
      <c r="A140" s="258" t="s">
        <v>103</v>
      </c>
      <c r="B140" s="259"/>
      <c r="C140" s="135"/>
      <c r="D140" s="66"/>
      <c r="E140" s="260" t="s">
        <v>14</v>
      </c>
      <c r="F140" s="126" t="s">
        <v>15</v>
      </c>
      <c r="G140" s="135"/>
      <c r="H140" s="127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">
      <c r="A141" s="258" t="s">
        <v>17</v>
      </c>
      <c r="B141" s="259"/>
      <c r="C141" s="50">
        <v>2</v>
      </c>
      <c r="D141" s="66"/>
      <c r="E141" s="261"/>
      <c r="F141" s="126" t="s">
        <v>18</v>
      </c>
      <c r="G141" s="50">
        <v>0</v>
      </c>
      <c r="H141" s="127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">
      <c r="A142" s="258" t="s">
        <v>20</v>
      </c>
      <c r="B142" s="259"/>
      <c r="C142" s="50">
        <f>C140*C141</f>
        <v>0</v>
      </c>
      <c r="D142" s="30"/>
      <c r="E142" s="128"/>
      <c r="F142" s="30"/>
      <c r="G142" s="66"/>
      <c r="H142" s="123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">
      <c r="A143" s="258" t="s">
        <v>22</v>
      </c>
      <c r="B143" s="259"/>
      <c r="C143" s="121">
        <f>C138+C142</f>
        <v>0</v>
      </c>
      <c r="D143" s="30"/>
      <c r="E143" s="30"/>
      <c r="F143" s="30"/>
      <c r="G143" s="30"/>
      <c r="H143" s="123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">
      <c r="A144" s="258" t="s">
        <v>353</v>
      </c>
      <c r="B144" s="259"/>
      <c r="C144" s="146">
        <f>C143/C141</f>
        <v>0</v>
      </c>
      <c r="D144" s="30"/>
      <c r="E144" s="30"/>
      <c r="F144" s="30"/>
      <c r="G144" s="30"/>
      <c r="H144" s="123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">
      <c r="A145" s="258" t="s">
        <v>28</v>
      </c>
      <c r="B145" s="259"/>
      <c r="C145" s="130" t="s">
        <v>29</v>
      </c>
      <c r="D145" s="30"/>
      <c r="E145" s="30"/>
      <c r="F145" s="30"/>
      <c r="G145" s="30"/>
      <c r="H145" s="123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">
      <c r="A146" s="131" t="s">
        <v>31</v>
      </c>
      <c r="B146" s="132" t="s">
        <v>106</v>
      </c>
      <c r="C146" s="133" t="s">
        <v>33</v>
      </c>
      <c r="D146" s="133" t="s">
        <v>34</v>
      </c>
      <c r="E146" s="133" t="s">
        <v>35</v>
      </c>
      <c r="F146" s="133" t="s">
        <v>36</v>
      </c>
      <c r="G146" s="133" t="s">
        <v>37</v>
      </c>
      <c r="H146" s="123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">
      <c r="A147" s="134">
        <v>0</v>
      </c>
      <c r="B147" s="135"/>
      <c r="C147" s="135"/>
      <c r="D147" s="135"/>
      <c r="E147" s="135"/>
      <c r="F147" s="135"/>
      <c r="G147" s="50">
        <f>C143</f>
        <v>0</v>
      </c>
      <c r="H147" s="123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">
      <c r="A148" s="134">
        <v>1</v>
      </c>
      <c r="B148" s="82"/>
      <c r="C148" s="135"/>
      <c r="D148" s="135"/>
      <c r="E148" s="135"/>
      <c r="F148" s="50" t="s">
        <v>107</v>
      </c>
      <c r="G148" s="50">
        <f t="shared" ref="G148:G155" si="13">(G147-C148)</f>
        <v>0</v>
      </c>
      <c r="H148" s="123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">
      <c r="A149" s="134">
        <v>2</v>
      </c>
      <c r="B149" s="82"/>
      <c r="C149" s="135"/>
      <c r="D149" s="135"/>
      <c r="E149" s="135"/>
      <c r="F149" s="50" t="s">
        <v>107</v>
      </c>
      <c r="G149" s="50">
        <f t="shared" si="13"/>
        <v>0</v>
      </c>
      <c r="H149" s="123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">
      <c r="A150" s="134">
        <v>3</v>
      </c>
      <c r="B150" s="82"/>
      <c r="C150" s="135"/>
      <c r="D150" s="135"/>
      <c r="E150" s="135"/>
      <c r="F150" s="50" t="s">
        <v>107</v>
      </c>
      <c r="G150" s="50">
        <f t="shared" si="13"/>
        <v>0</v>
      </c>
      <c r="H150" s="123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">
      <c r="A151" s="134">
        <v>4</v>
      </c>
      <c r="B151" s="82"/>
      <c r="C151" s="135"/>
      <c r="D151" s="135"/>
      <c r="E151" s="135"/>
      <c r="F151" s="50" t="s">
        <v>107</v>
      </c>
      <c r="G151" s="50">
        <f t="shared" si="13"/>
        <v>0</v>
      </c>
      <c r="H151" s="123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">
      <c r="A152" s="134">
        <v>5</v>
      </c>
      <c r="B152" s="94"/>
      <c r="C152" s="135"/>
      <c r="D152" s="135"/>
      <c r="E152" s="135"/>
      <c r="F152" s="50" t="s">
        <v>107</v>
      </c>
      <c r="G152" s="50">
        <f t="shared" si="13"/>
        <v>0</v>
      </c>
      <c r="H152" s="123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">
      <c r="A153" s="134">
        <v>6</v>
      </c>
      <c r="B153" s="94"/>
      <c r="C153" s="135"/>
      <c r="D153" s="135"/>
      <c r="E153" s="135"/>
      <c r="F153" s="50" t="s">
        <v>107</v>
      </c>
      <c r="G153" s="50">
        <f t="shared" si="13"/>
        <v>0</v>
      </c>
      <c r="H153" s="123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">
      <c r="A154" s="134">
        <v>7</v>
      </c>
      <c r="B154" s="94"/>
      <c r="C154" s="135"/>
      <c r="D154" s="135"/>
      <c r="E154" s="135"/>
      <c r="F154" s="50" t="s">
        <v>107</v>
      </c>
      <c r="G154" s="50">
        <f t="shared" si="13"/>
        <v>0</v>
      </c>
      <c r="H154" s="123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">
      <c r="A155" s="134">
        <v>8</v>
      </c>
      <c r="B155" s="94"/>
      <c r="C155" s="135"/>
      <c r="D155" s="135"/>
      <c r="E155" s="135"/>
      <c r="F155" s="50" t="s">
        <v>107</v>
      </c>
      <c r="G155" s="50">
        <f t="shared" si="13"/>
        <v>0</v>
      </c>
      <c r="H155" s="123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">
      <c r="A156" s="134">
        <v>9</v>
      </c>
      <c r="B156" s="94"/>
      <c r="C156" s="135"/>
      <c r="D156" s="135"/>
      <c r="E156" s="135"/>
      <c r="F156" s="135"/>
      <c r="G156" s="135"/>
      <c r="H156" s="123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">
      <c r="A157" s="134">
        <v>10</v>
      </c>
      <c r="B157" s="94"/>
      <c r="C157" s="135"/>
      <c r="D157" s="135"/>
      <c r="E157" s="135"/>
      <c r="F157" s="135"/>
      <c r="G157" s="135"/>
      <c r="H157" s="123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">
      <c r="A158" s="138"/>
      <c r="B158" s="139"/>
      <c r="C158" s="140"/>
      <c r="D158" s="167">
        <f>SUMIFS(D148:D157, F148:F157, "Y")</f>
        <v>0</v>
      </c>
      <c r="E158" s="143">
        <f>SUMIFS(E148:E157, F148:F157, "Y")</f>
        <v>0</v>
      </c>
      <c r="F158" s="143">
        <f>(SUMIFS(D148:D157, F148:F157, "Y") + SUMIFS(E148:E157, F148:F157, "Y"))</f>
        <v>0</v>
      </c>
      <c r="G158" s="140"/>
      <c r="H158" s="144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">
      <c r="A164" s="256" t="s">
        <v>354</v>
      </c>
      <c r="B164" s="257"/>
      <c r="C164" s="119"/>
      <c r="D164" s="119"/>
      <c r="E164" s="119"/>
      <c r="F164" s="119"/>
      <c r="G164" s="119"/>
      <c r="H164" s="12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">
      <c r="A165" s="258" t="s">
        <v>7</v>
      </c>
      <c r="B165" s="259"/>
      <c r="C165" s="135"/>
      <c r="D165" s="30"/>
      <c r="E165" s="30"/>
      <c r="F165" s="30"/>
      <c r="G165" s="30"/>
      <c r="H165" s="123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">
      <c r="A166" s="258" t="s">
        <v>8</v>
      </c>
      <c r="B166" s="259"/>
      <c r="C166" s="82"/>
      <c r="D166" s="30"/>
      <c r="E166" s="49"/>
      <c r="F166" s="49"/>
      <c r="G166" s="49"/>
      <c r="H166" s="125" t="s">
        <v>10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">
      <c r="A167" s="258" t="s">
        <v>103</v>
      </c>
      <c r="B167" s="259"/>
      <c r="C167" s="135"/>
      <c r="D167" s="66"/>
      <c r="E167" s="260" t="s">
        <v>14</v>
      </c>
      <c r="F167" s="126" t="s">
        <v>15</v>
      </c>
      <c r="G167" s="135"/>
      <c r="H167" s="127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">
      <c r="A168" s="258" t="s">
        <v>17</v>
      </c>
      <c r="B168" s="259"/>
      <c r="C168" s="50">
        <v>2</v>
      </c>
      <c r="D168" s="66"/>
      <c r="E168" s="261"/>
      <c r="F168" s="126" t="s">
        <v>18</v>
      </c>
      <c r="G168" s="50">
        <v>0</v>
      </c>
      <c r="H168" s="127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">
      <c r="A169" s="258" t="s">
        <v>20</v>
      </c>
      <c r="B169" s="259"/>
      <c r="C169" s="50">
        <f>C167*C168</f>
        <v>0</v>
      </c>
      <c r="D169" s="30"/>
      <c r="E169" s="128"/>
      <c r="F169" s="30"/>
      <c r="G169" s="66"/>
      <c r="H169" s="123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">
      <c r="A170" s="258" t="s">
        <v>22</v>
      </c>
      <c r="B170" s="259"/>
      <c r="C170" s="121">
        <f>C165+C169</f>
        <v>0</v>
      </c>
      <c r="D170" s="30"/>
      <c r="E170" s="30"/>
      <c r="F170" s="30"/>
      <c r="G170" s="30"/>
      <c r="H170" s="123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">
      <c r="A171" s="258" t="s">
        <v>353</v>
      </c>
      <c r="B171" s="259"/>
      <c r="C171" s="146">
        <f>C170/C168</f>
        <v>0</v>
      </c>
      <c r="D171" s="30"/>
      <c r="E171" s="30"/>
      <c r="F171" s="30"/>
      <c r="G171" s="30"/>
      <c r="H171" s="123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">
      <c r="A172" s="258" t="s">
        <v>28</v>
      </c>
      <c r="B172" s="259"/>
      <c r="C172" s="130" t="s">
        <v>29</v>
      </c>
      <c r="D172" s="30"/>
      <c r="E172" s="30"/>
      <c r="F172" s="30"/>
      <c r="G172" s="30"/>
      <c r="H172" s="123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">
      <c r="A173" s="131" t="s">
        <v>31</v>
      </c>
      <c r="B173" s="132" t="s">
        <v>106</v>
      </c>
      <c r="C173" s="133" t="s">
        <v>33</v>
      </c>
      <c r="D173" s="133" t="s">
        <v>34</v>
      </c>
      <c r="E173" s="133" t="s">
        <v>35</v>
      </c>
      <c r="F173" s="133" t="s">
        <v>36</v>
      </c>
      <c r="G173" s="133" t="s">
        <v>37</v>
      </c>
      <c r="H173" s="123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">
      <c r="A174" s="134">
        <v>0</v>
      </c>
      <c r="B174" s="135"/>
      <c r="C174" s="135"/>
      <c r="D174" s="135"/>
      <c r="E174" s="135"/>
      <c r="F174" s="135"/>
      <c r="G174" s="50">
        <f>C170</f>
        <v>0</v>
      </c>
      <c r="H174" s="123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">
      <c r="A175" s="134">
        <v>1</v>
      </c>
      <c r="B175" s="82"/>
      <c r="C175" s="135"/>
      <c r="D175" s="135"/>
      <c r="E175" s="135"/>
      <c r="F175" s="50" t="s">
        <v>107</v>
      </c>
      <c r="G175" s="50">
        <f t="shared" ref="G175:G182" si="14">(G174-C175)</f>
        <v>0</v>
      </c>
      <c r="H175" s="123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">
      <c r="A176" s="134">
        <v>2</v>
      </c>
      <c r="B176" s="82"/>
      <c r="C176" s="135"/>
      <c r="D176" s="135"/>
      <c r="E176" s="135"/>
      <c r="F176" s="50" t="s">
        <v>107</v>
      </c>
      <c r="G176" s="50">
        <f t="shared" si="14"/>
        <v>0</v>
      </c>
      <c r="H176" s="123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">
      <c r="A177" s="134">
        <v>3</v>
      </c>
      <c r="B177" s="82"/>
      <c r="C177" s="135"/>
      <c r="D177" s="135"/>
      <c r="E177" s="135"/>
      <c r="F177" s="50" t="s">
        <v>107</v>
      </c>
      <c r="G177" s="50">
        <f t="shared" si="14"/>
        <v>0</v>
      </c>
      <c r="H177" s="123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">
      <c r="A178" s="134">
        <v>4</v>
      </c>
      <c r="B178" s="82"/>
      <c r="C178" s="135"/>
      <c r="D178" s="135"/>
      <c r="E178" s="135"/>
      <c r="F178" s="50" t="s">
        <v>107</v>
      </c>
      <c r="G178" s="50">
        <f t="shared" si="14"/>
        <v>0</v>
      </c>
      <c r="H178" s="123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">
      <c r="A179" s="134">
        <v>5</v>
      </c>
      <c r="B179" s="94"/>
      <c r="C179" s="135"/>
      <c r="D179" s="135"/>
      <c r="E179" s="135"/>
      <c r="F179" s="50" t="s">
        <v>107</v>
      </c>
      <c r="G179" s="50">
        <f t="shared" si="14"/>
        <v>0</v>
      </c>
      <c r="H179" s="123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">
      <c r="A180" s="134">
        <v>6</v>
      </c>
      <c r="B180" s="94"/>
      <c r="C180" s="135"/>
      <c r="D180" s="135"/>
      <c r="E180" s="135"/>
      <c r="F180" s="50" t="s">
        <v>107</v>
      </c>
      <c r="G180" s="50">
        <f t="shared" si="14"/>
        <v>0</v>
      </c>
      <c r="H180" s="123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">
      <c r="A181" s="134">
        <v>7</v>
      </c>
      <c r="B181" s="94"/>
      <c r="C181" s="135"/>
      <c r="D181" s="135"/>
      <c r="E181" s="135"/>
      <c r="F181" s="50" t="s">
        <v>107</v>
      </c>
      <c r="G181" s="50">
        <f t="shared" si="14"/>
        <v>0</v>
      </c>
      <c r="H181" s="123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">
      <c r="A182" s="134">
        <v>8</v>
      </c>
      <c r="B182" s="94"/>
      <c r="C182" s="135"/>
      <c r="D182" s="135"/>
      <c r="E182" s="135"/>
      <c r="F182" s="50" t="s">
        <v>107</v>
      </c>
      <c r="G182" s="50">
        <f t="shared" si="14"/>
        <v>0</v>
      </c>
      <c r="H182" s="123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">
      <c r="A183" s="134">
        <v>9</v>
      </c>
      <c r="B183" s="94"/>
      <c r="C183" s="135"/>
      <c r="D183" s="135"/>
      <c r="E183" s="135"/>
      <c r="F183" s="135"/>
      <c r="G183" s="135"/>
      <c r="H183" s="123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">
      <c r="A184" s="134">
        <v>10</v>
      </c>
      <c r="B184" s="94"/>
      <c r="C184" s="135"/>
      <c r="D184" s="135"/>
      <c r="E184" s="135"/>
      <c r="F184" s="135"/>
      <c r="G184" s="135"/>
      <c r="H184" s="123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">
      <c r="A185" s="138"/>
      <c r="B185" s="139"/>
      <c r="C185" s="140"/>
      <c r="D185" s="167">
        <f>SUMIFS(D175:D184, F175:F184, "Y")</f>
        <v>0</v>
      </c>
      <c r="E185" s="143">
        <f>SUMIFS(E175:E184, F175:F184, "Y")</f>
        <v>0</v>
      </c>
      <c r="F185" s="143">
        <f>(SUMIFS(D175:D184, F175:F184, "Y") + SUMIFS(E175:E184, F175:F184, "Y"))</f>
        <v>0</v>
      </c>
      <c r="G185" s="140"/>
      <c r="H185" s="144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">
      <c r="A191" s="256" t="s">
        <v>355</v>
      </c>
      <c r="B191" s="257"/>
      <c r="C191" s="119"/>
      <c r="D191" s="119"/>
      <c r="E191" s="119"/>
      <c r="F191" s="119"/>
      <c r="G191" s="119"/>
      <c r="H191" s="12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">
      <c r="A192" s="258" t="s">
        <v>7</v>
      </c>
      <c r="B192" s="259"/>
      <c r="C192" s="135"/>
      <c r="D192" s="30"/>
      <c r="E192" s="30"/>
      <c r="F192" s="30"/>
      <c r="G192" s="30"/>
      <c r="H192" s="123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">
      <c r="A193" s="258" t="s">
        <v>8</v>
      </c>
      <c r="B193" s="259"/>
      <c r="C193" s="82"/>
      <c r="D193" s="30"/>
      <c r="E193" s="49"/>
      <c r="F193" s="49"/>
      <c r="G193" s="49"/>
      <c r="H193" s="125" t="s">
        <v>10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">
      <c r="A194" s="258" t="s">
        <v>103</v>
      </c>
      <c r="B194" s="259"/>
      <c r="C194" s="135"/>
      <c r="D194" s="66"/>
      <c r="E194" s="260" t="s">
        <v>14</v>
      </c>
      <c r="F194" s="126" t="s">
        <v>15</v>
      </c>
      <c r="G194" s="135"/>
      <c r="H194" s="127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">
      <c r="A195" s="258" t="s">
        <v>17</v>
      </c>
      <c r="B195" s="259"/>
      <c r="C195" s="50">
        <v>2</v>
      </c>
      <c r="D195" s="66"/>
      <c r="E195" s="261"/>
      <c r="F195" s="126" t="s">
        <v>18</v>
      </c>
      <c r="G195" s="50">
        <v>0</v>
      </c>
      <c r="H195" s="127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">
      <c r="A196" s="258" t="s">
        <v>20</v>
      </c>
      <c r="B196" s="259"/>
      <c r="C196" s="50">
        <f>C194*C195</f>
        <v>0</v>
      </c>
      <c r="D196" s="30"/>
      <c r="E196" s="128"/>
      <c r="F196" s="30"/>
      <c r="G196" s="66"/>
      <c r="H196" s="123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">
      <c r="A197" s="258" t="s">
        <v>22</v>
      </c>
      <c r="B197" s="259"/>
      <c r="C197" s="121">
        <f>C192+C196</f>
        <v>0</v>
      </c>
      <c r="D197" s="30"/>
      <c r="E197" s="30"/>
      <c r="F197" s="30"/>
      <c r="G197" s="30"/>
      <c r="H197" s="123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">
      <c r="A198" s="258" t="s">
        <v>353</v>
      </c>
      <c r="B198" s="259"/>
      <c r="C198" s="146">
        <f>C197/C195</f>
        <v>0</v>
      </c>
      <c r="D198" s="30"/>
      <c r="E198" s="30"/>
      <c r="F198" s="30"/>
      <c r="G198" s="30"/>
      <c r="H198" s="123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">
      <c r="A199" s="258" t="s">
        <v>28</v>
      </c>
      <c r="B199" s="259"/>
      <c r="C199" s="130" t="s">
        <v>29</v>
      </c>
      <c r="D199" s="30"/>
      <c r="E199" s="30"/>
      <c r="F199" s="30"/>
      <c r="G199" s="30"/>
      <c r="H199" s="123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">
      <c r="A200" s="131" t="s">
        <v>31</v>
      </c>
      <c r="B200" s="132" t="s">
        <v>106</v>
      </c>
      <c r="C200" s="133" t="s">
        <v>33</v>
      </c>
      <c r="D200" s="133" t="s">
        <v>34</v>
      </c>
      <c r="E200" s="133" t="s">
        <v>35</v>
      </c>
      <c r="F200" s="133" t="s">
        <v>36</v>
      </c>
      <c r="G200" s="133" t="s">
        <v>37</v>
      </c>
      <c r="H200" s="123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">
      <c r="A201" s="134">
        <v>0</v>
      </c>
      <c r="B201" s="135"/>
      <c r="C201" s="135"/>
      <c r="D201" s="135"/>
      <c r="E201" s="135"/>
      <c r="F201" s="135"/>
      <c r="G201" s="50">
        <f>C197</f>
        <v>0</v>
      </c>
      <c r="H201" s="123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">
      <c r="A202" s="134">
        <v>1</v>
      </c>
      <c r="B202" s="82"/>
      <c r="C202" s="135"/>
      <c r="D202" s="135"/>
      <c r="E202" s="135"/>
      <c r="F202" s="50" t="s">
        <v>107</v>
      </c>
      <c r="G202" s="50">
        <f t="shared" ref="G202:G209" si="15">(G201-C202)</f>
        <v>0</v>
      </c>
      <c r="H202" s="123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">
      <c r="A203" s="134">
        <v>2</v>
      </c>
      <c r="B203" s="82"/>
      <c r="C203" s="135"/>
      <c r="D203" s="135"/>
      <c r="E203" s="135"/>
      <c r="F203" s="50" t="s">
        <v>107</v>
      </c>
      <c r="G203" s="50">
        <f t="shared" si="15"/>
        <v>0</v>
      </c>
      <c r="H203" s="123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">
      <c r="A204" s="134">
        <v>3</v>
      </c>
      <c r="B204" s="82"/>
      <c r="C204" s="135"/>
      <c r="D204" s="135"/>
      <c r="E204" s="135"/>
      <c r="F204" s="50" t="s">
        <v>107</v>
      </c>
      <c r="G204" s="50">
        <f t="shared" si="15"/>
        <v>0</v>
      </c>
      <c r="H204" s="123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">
      <c r="A205" s="134">
        <v>4</v>
      </c>
      <c r="B205" s="82"/>
      <c r="C205" s="135"/>
      <c r="D205" s="135"/>
      <c r="E205" s="135"/>
      <c r="F205" s="50" t="s">
        <v>107</v>
      </c>
      <c r="G205" s="50">
        <f t="shared" si="15"/>
        <v>0</v>
      </c>
      <c r="H205" s="123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">
      <c r="A206" s="134">
        <v>5</v>
      </c>
      <c r="B206" s="94"/>
      <c r="C206" s="135"/>
      <c r="D206" s="135"/>
      <c r="E206" s="135"/>
      <c r="F206" s="50" t="s">
        <v>107</v>
      </c>
      <c r="G206" s="50">
        <f t="shared" si="15"/>
        <v>0</v>
      </c>
      <c r="H206" s="123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">
      <c r="A207" s="134">
        <v>6</v>
      </c>
      <c r="B207" s="94"/>
      <c r="C207" s="135"/>
      <c r="D207" s="135"/>
      <c r="E207" s="135"/>
      <c r="F207" s="50" t="s">
        <v>107</v>
      </c>
      <c r="G207" s="50">
        <f t="shared" si="15"/>
        <v>0</v>
      </c>
      <c r="H207" s="123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">
      <c r="A208" s="134">
        <v>7</v>
      </c>
      <c r="B208" s="94"/>
      <c r="C208" s="135"/>
      <c r="D208" s="135"/>
      <c r="E208" s="135"/>
      <c r="F208" s="50" t="s">
        <v>107</v>
      </c>
      <c r="G208" s="50">
        <f t="shared" si="15"/>
        <v>0</v>
      </c>
      <c r="H208" s="123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">
      <c r="A209" s="134">
        <v>8</v>
      </c>
      <c r="B209" s="94"/>
      <c r="C209" s="135"/>
      <c r="D209" s="135"/>
      <c r="E209" s="135"/>
      <c r="F209" s="50" t="s">
        <v>107</v>
      </c>
      <c r="G209" s="50">
        <f t="shared" si="15"/>
        <v>0</v>
      </c>
      <c r="H209" s="123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">
      <c r="A210" s="134">
        <v>9</v>
      </c>
      <c r="B210" s="94"/>
      <c r="C210" s="135"/>
      <c r="D210" s="135"/>
      <c r="E210" s="135"/>
      <c r="F210" s="135"/>
      <c r="G210" s="135"/>
      <c r="H210" s="123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">
      <c r="A211" s="134">
        <v>10</v>
      </c>
      <c r="B211" s="94"/>
      <c r="C211" s="135"/>
      <c r="D211" s="135"/>
      <c r="E211" s="135"/>
      <c r="F211" s="135"/>
      <c r="G211" s="135"/>
      <c r="H211" s="123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">
      <c r="A212" s="138"/>
      <c r="B212" s="139"/>
      <c r="C212" s="140"/>
      <c r="D212" s="167">
        <f>SUMIFS(D202:D211, F202:F211, "Y")</f>
        <v>0</v>
      </c>
      <c r="E212" s="143">
        <f>SUMIFS(E202:E211, F202:F211, "Y")</f>
        <v>0</v>
      </c>
      <c r="F212" s="143">
        <f>(SUMIFS(D202:D211, F202:F211, "Y") + SUMIFS(E202:E211, F202:F211, "Y"))</f>
        <v>0</v>
      </c>
      <c r="G212" s="140"/>
      <c r="H212" s="144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80">
    <mergeCell ref="A115:B115"/>
    <mergeCell ref="A116:B116"/>
    <mergeCell ref="A117:B117"/>
    <mergeCell ref="A118:B118"/>
    <mergeCell ref="A87:B87"/>
    <mergeCell ref="A88:B88"/>
    <mergeCell ref="A89:B89"/>
    <mergeCell ref="A90:B90"/>
    <mergeCell ref="A91:B91"/>
    <mergeCell ref="A110:B110"/>
    <mergeCell ref="A111:B111"/>
    <mergeCell ref="A85:B85"/>
    <mergeCell ref="A86:B86"/>
    <mergeCell ref="E86:E87"/>
    <mergeCell ref="A112:B112"/>
    <mergeCell ref="A113:B113"/>
    <mergeCell ref="E113:E114"/>
    <mergeCell ref="A114:B114"/>
    <mergeCell ref="A62:B62"/>
    <mergeCell ref="A63:B63"/>
    <mergeCell ref="A64:B64"/>
    <mergeCell ref="A83:B83"/>
    <mergeCell ref="A84:B84"/>
    <mergeCell ref="A58:B58"/>
    <mergeCell ref="A59:B59"/>
    <mergeCell ref="E59:E60"/>
    <mergeCell ref="A60:B60"/>
    <mergeCell ref="A61:B61"/>
    <mergeCell ref="A35:B35"/>
    <mergeCell ref="A36:B36"/>
    <mergeCell ref="A37:B37"/>
    <mergeCell ref="A56:B56"/>
    <mergeCell ref="A57:B57"/>
    <mergeCell ref="A31:B31"/>
    <mergeCell ref="E32:E33"/>
    <mergeCell ref="A32:B32"/>
    <mergeCell ref="A33:B33"/>
    <mergeCell ref="A34:B34"/>
    <mergeCell ref="E194:E195"/>
    <mergeCell ref="A195:B195"/>
    <mergeCell ref="A196:B196"/>
    <mergeCell ref="A197:B197"/>
    <mergeCell ref="A2:B2"/>
    <mergeCell ref="A3:B3"/>
    <mergeCell ref="A4:B4"/>
    <mergeCell ref="A5:B5"/>
    <mergeCell ref="E5:E6"/>
    <mergeCell ref="A6:B6"/>
    <mergeCell ref="A7:B7"/>
    <mergeCell ref="A8:B8"/>
    <mergeCell ref="A9:B9"/>
    <mergeCell ref="A10:B10"/>
    <mergeCell ref="A29:B29"/>
    <mergeCell ref="A30:B30"/>
    <mergeCell ref="A198:B198"/>
    <mergeCell ref="A199:B199"/>
    <mergeCell ref="A192:B192"/>
    <mergeCell ref="A193:B193"/>
    <mergeCell ref="A194:B194"/>
    <mergeCell ref="A169:B169"/>
    <mergeCell ref="A170:B170"/>
    <mergeCell ref="A171:B171"/>
    <mergeCell ref="A172:B172"/>
    <mergeCell ref="A191:B191"/>
    <mergeCell ref="A165:B165"/>
    <mergeCell ref="A166:B166"/>
    <mergeCell ref="E167:E168"/>
    <mergeCell ref="A167:B167"/>
    <mergeCell ref="A168:B168"/>
    <mergeCell ref="A142:B142"/>
    <mergeCell ref="A143:B143"/>
    <mergeCell ref="A144:B144"/>
    <mergeCell ref="A145:B145"/>
    <mergeCell ref="A164:B164"/>
    <mergeCell ref="A137:B137"/>
    <mergeCell ref="A138:B138"/>
    <mergeCell ref="A139:B139"/>
    <mergeCell ref="A140:B140"/>
    <mergeCell ref="E140:E141"/>
    <mergeCell ref="A141:B141"/>
  </mergeCells>
  <dataValidations count="1">
    <dataValidation type="list" allowBlank="1" showErrorMessage="1" sqref="F13:F22 F40:F49 F67:F76 F94:F103 F121:F130 F148:F157 F175:F184 F202:F211" xr:uid="{00000000-0002-0000-0600-000000000000}">
      <formula1>"Y,N,-"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calculator</vt:lpstr>
      <vt:lpstr>Creditor 1</vt:lpstr>
      <vt:lpstr>Creditor 2</vt:lpstr>
      <vt:lpstr>Creditor 3</vt:lpstr>
      <vt:lpstr>Creditor 4</vt:lpstr>
      <vt:lpstr>Creditor 5</vt:lpstr>
      <vt:lpstr>Creditor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2025-05-19T08:54:05Z</dcterms:modified>
</cp:coreProperties>
</file>