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28800" windowHeight="12135" tabRatio="67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Totals'!$A$1:$N$79</definedName>
  </definedNames>
  <calcPr calcId="152511"/>
</workbook>
</file>

<file path=xl/calcChain.xml><?xml version="1.0" encoding="utf-8"?>
<calcChain xmlns="http://schemas.openxmlformats.org/spreadsheetml/2006/main">
  <c r="F76" i="5" l="1"/>
  <c r="F74" i="5"/>
  <c r="B73" i="5"/>
  <c r="B12" i="14"/>
  <c r="B18" i="14" s="1"/>
  <c r="G76" i="4"/>
  <c r="G74" i="4"/>
  <c r="C73" i="4"/>
  <c r="B74" i="4"/>
  <c r="B73" i="4"/>
  <c r="E79" i="10"/>
  <c r="E77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H76" i="1"/>
  <c r="H74" i="1"/>
  <c r="D73" i="1"/>
  <c r="D74" i="1"/>
  <c r="C73" i="1"/>
  <c r="B73" i="1"/>
  <c r="L5" i="2" l="1"/>
  <c r="G12" i="2" l="1"/>
  <c r="F12" i="2"/>
  <c r="K56" i="2" l="1"/>
  <c r="K73" i="2" s="1"/>
  <c r="K39" i="1" l="1"/>
  <c r="L44" i="2" l="1"/>
  <c r="K45" i="2"/>
  <c r="J45" i="2"/>
  <c r="I45" i="2"/>
  <c r="H45" i="2"/>
  <c r="G45" i="2"/>
  <c r="F45" i="2"/>
  <c r="E45" i="2"/>
  <c r="C45" i="2"/>
  <c r="G34" i="2"/>
  <c r="E34" i="2"/>
  <c r="F34" i="2"/>
  <c r="L32" i="2"/>
  <c r="L33" i="2"/>
  <c r="K33" i="1"/>
  <c r="K11" i="1"/>
  <c r="K22" i="1"/>
  <c r="L62" i="3" l="1"/>
  <c r="K49" i="1"/>
  <c r="K27" i="1" l="1"/>
  <c r="M32" i="3"/>
  <c r="L61" i="3" l="1"/>
  <c r="K17" i="1"/>
  <c r="K18" i="1"/>
  <c r="K19" i="1"/>
  <c r="K20" i="1"/>
  <c r="K21" i="1"/>
  <c r="K16" i="1"/>
  <c r="K6" i="1"/>
  <c r="K7" i="1"/>
  <c r="K8" i="1"/>
  <c r="K9" i="1"/>
  <c r="K10" i="1"/>
  <c r="K5" i="1"/>
  <c r="E23" i="2" l="1"/>
  <c r="H12" i="10" l="1"/>
  <c r="G45" i="10"/>
  <c r="G34" i="10"/>
  <c r="G12" i="10"/>
  <c r="G23" i="10"/>
  <c r="F55" i="10"/>
  <c r="F45" i="10"/>
  <c r="F34" i="10"/>
  <c r="F23" i="10"/>
  <c r="F12" i="10"/>
  <c r="E45" i="10"/>
  <c r="E34" i="10"/>
  <c r="E23" i="10"/>
  <c r="E12" i="10"/>
  <c r="D55" i="10"/>
  <c r="D45" i="10"/>
  <c r="D34" i="10"/>
  <c r="D23" i="10"/>
  <c r="D12" i="10"/>
  <c r="C12" i="10"/>
  <c r="C23" i="10"/>
  <c r="C34" i="10"/>
  <c r="C55" i="10"/>
  <c r="C45" i="10"/>
  <c r="AJ33" i="10"/>
  <c r="AJ32" i="10"/>
  <c r="AJ31" i="10"/>
  <c r="AJ30" i="10"/>
  <c r="AJ29" i="10"/>
  <c r="AJ28" i="10"/>
  <c r="AJ27" i="10"/>
  <c r="AJ22" i="10"/>
  <c r="AJ21" i="10"/>
  <c r="AJ20" i="10"/>
  <c r="AJ19" i="10"/>
  <c r="AJ18" i="10"/>
  <c r="AJ17" i="10"/>
  <c r="AJ16" i="10"/>
  <c r="AJ11" i="10"/>
  <c r="AJ10" i="10"/>
  <c r="AJ9" i="10"/>
  <c r="AJ8" i="10"/>
  <c r="AJ7" i="10"/>
  <c r="AJ6" i="10"/>
  <c r="AJ5" i="10"/>
  <c r="B16" i="14"/>
  <c r="AJ49" i="10"/>
  <c r="M6" i="3"/>
  <c r="AJ15" i="10" l="1"/>
  <c r="AJ14" i="10"/>
  <c r="AJ25" i="10"/>
  <c r="AJ23" i="10"/>
  <c r="AJ24" i="10"/>
  <c r="AJ13" i="10"/>
  <c r="AJ12" i="10"/>
  <c r="M7" i="3" l="1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B42" i="1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AJ44" i="10" l="1"/>
  <c r="AJ43" i="10"/>
  <c r="AI14" i="10"/>
  <c r="AH14" i="10"/>
  <c r="M43" i="3" l="1"/>
  <c r="F35" i="2" l="1"/>
  <c r="I58" i="10" l="1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I57" i="10"/>
  <c r="J57" i="10"/>
  <c r="K57" i="10"/>
  <c r="L57" i="10"/>
  <c r="K66" i="6" s="1"/>
  <c r="M57" i="10"/>
  <c r="N57" i="10"/>
  <c r="O57" i="10"/>
  <c r="K60" i="6" s="1"/>
  <c r="P57" i="10"/>
  <c r="K46" i="6" s="1"/>
  <c r="Q57" i="10"/>
  <c r="R57" i="10"/>
  <c r="K64" i="6" s="1"/>
  <c r="S57" i="10"/>
  <c r="T57" i="10"/>
  <c r="K72" i="6" s="1"/>
  <c r="U57" i="10"/>
  <c r="V57" i="10"/>
  <c r="W57" i="10"/>
  <c r="K70" i="6" s="1"/>
  <c r="X57" i="10"/>
  <c r="K68" i="6" s="1"/>
  <c r="Y57" i="10"/>
  <c r="Z57" i="10"/>
  <c r="AA57" i="10"/>
  <c r="K58" i="6" s="1"/>
  <c r="AB57" i="10"/>
  <c r="K56" i="6" s="1"/>
  <c r="AC57" i="10"/>
  <c r="AD57" i="10"/>
  <c r="K54" i="6" s="1"/>
  <c r="AE57" i="10"/>
  <c r="K52" i="6" s="1"/>
  <c r="AF57" i="10"/>
  <c r="AG57" i="10"/>
  <c r="AH57" i="10"/>
  <c r="AI57" i="10"/>
  <c r="K62" i="6" s="1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I47" i="10"/>
  <c r="J47" i="10"/>
  <c r="K47" i="10"/>
  <c r="L47" i="10"/>
  <c r="H66" i="6" s="1"/>
  <c r="M47" i="10"/>
  <c r="N47" i="10"/>
  <c r="O47" i="10"/>
  <c r="H60" i="6" s="1"/>
  <c r="P47" i="10"/>
  <c r="Q47" i="10"/>
  <c r="R47" i="10"/>
  <c r="H64" i="6" s="1"/>
  <c r="S47" i="10"/>
  <c r="T47" i="10"/>
  <c r="H72" i="6" s="1"/>
  <c r="U47" i="10"/>
  <c r="V47" i="10"/>
  <c r="W47" i="10"/>
  <c r="H70" i="6" s="1"/>
  <c r="X47" i="10"/>
  <c r="H68" i="6" s="1"/>
  <c r="Y47" i="10"/>
  <c r="Z47" i="10"/>
  <c r="AA47" i="10"/>
  <c r="AB47" i="10"/>
  <c r="H56" i="6" s="1"/>
  <c r="AC47" i="10"/>
  <c r="AD47" i="10"/>
  <c r="H54" i="6" s="1"/>
  <c r="AE47" i="10"/>
  <c r="AF47" i="10"/>
  <c r="AG47" i="10"/>
  <c r="AH47" i="10"/>
  <c r="AI47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I36" i="10"/>
  <c r="J36" i="10"/>
  <c r="K36" i="10"/>
  <c r="L36" i="10"/>
  <c r="E66" i="6" s="1"/>
  <c r="M36" i="10"/>
  <c r="N36" i="10"/>
  <c r="O36" i="10"/>
  <c r="E60" i="6" s="1"/>
  <c r="P36" i="10"/>
  <c r="Q36" i="10"/>
  <c r="R36" i="10"/>
  <c r="E64" i="6" s="1"/>
  <c r="S36" i="10"/>
  <c r="T36" i="10"/>
  <c r="E72" i="6" s="1"/>
  <c r="U36" i="10"/>
  <c r="V36" i="10"/>
  <c r="W36" i="10"/>
  <c r="E70" i="6" s="1"/>
  <c r="X36" i="10"/>
  <c r="E68" i="6" s="1"/>
  <c r="Y36" i="10"/>
  <c r="Z36" i="10"/>
  <c r="AA36" i="10"/>
  <c r="AB36" i="10"/>
  <c r="E56" i="6" s="1"/>
  <c r="AC36" i="10"/>
  <c r="AD36" i="10"/>
  <c r="E54" i="6" s="1"/>
  <c r="AE36" i="10"/>
  <c r="AF36" i="10"/>
  <c r="AG36" i="10"/>
  <c r="AH36" i="10"/>
  <c r="AI36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I25" i="10"/>
  <c r="J25" i="10"/>
  <c r="K25" i="10"/>
  <c r="L25" i="10"/>
  <c r="B66" i="6" s="1"/>
  <c r="M25" i="10"/>
  <c r="N25" i="10"/>
  <c r="O25" i="10"/>
  <c r="B60" i="6" s="1"/>
  <c r="P25" i="10"/>
  <c r="Q25" i="10"/>
  <c r="R25" i="10"/>
  <c r="B64" i="6" s="1"/>
  <c r="S25" i="10"/>
  <c r="T25" i="10"/>
  <c r="B72" i="6" s="1"/>
  <c r="U25" i="10"/>
  <c r="V25" i="10"/>
  <c r="W25" i="10"/>
  <c r="B70" i="6" s="1"/>
  <c r="X25" i="10"/>
  <c r="B68" i="6" s="1"/>
  <c r="Y25" i="10"/>
  <c r="Z25" i="10"/>
  <c r="AA25" i="10"/>
  <c r="AB25" i="10"/>
  <c r="B56" i="6" s="1"/>
  <c r="AC25" i="10"/>
  <c r="AD25" i="10"/>
  <c r="B54" i="6" s="1"/>
  <c r="AE25" i="10"/>
  <c r="AF25" i="10"/>
  <c r="AG25" i="10"/>
  <c r="AH25" i="10"/>
  <c r="AI25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S73" i="10" s="1"/>
  <c r="AB14" i="10"/>
  <c r="AC14" i="10"/>
  <c r="AD14" i="10"/>
  <c r="AE14" i="10"/>
  <c r="AF14" i="10"/>
  <c r="AG14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B56" i="14" l="1"/>
  <c r="B72" i="14"/>
  <c r="B64" i="14"/>
  <c r="B58" i="14"/>
  <c r="K74" i="6"/>
  <c r="B74" i="14"/>
  <c r="B62" i="14"/>
  <c r="B60" i="14"/>
  <c r="B48" i="14"/>
  <c r="B66" i="14"/>
  <c r="B68" i="14"/>
  <c r="B76" i="14"/>
  <c r="B70" i="14"/>
  <c r="B50" i="14"/>
  <c r="O73" i="10"/>
  <c r="B74" i="6"/>
  <c r="H74" i="6"/>
  <c r="R73" i="10"/>
  <c r="N73" i="10"/>
  <c r="P73" i="10"/>
  <c r="V73" i="10"/>
  <c r="Q73" i="10"/>
  <c r="M73" i="10"/>
  <c r="W73" i="10"/>
  <c r="T73" i="10"/>
  <c r="L73" i="10"/>
  <c r="K73" i="10"/>
  <c r="D73" i="10"/>
  <c r="U73" i="10"/>
  <c r="F73" i="10"/>
  <c r="E74" i="6"/>
  <c r="D59" i="2"/>
  <c r="E59" i="2"/>
  <c r="F59" i="2"/>
  <c r="G59" i="2"/>
  <c r="H59" i="2"/>
  <c r="I59" i="2"/>
  <c r="J59" i="2"/>
  <c r="K59" i="2"/>
  <c r="K58" i="2"/>
  <c r="K48" i="6" s="1"/>
  <c r="J58" i="2"/>
  <c r="I58" i="2"/>
  <c r="K50" i="6" s="1"/>
  <c r="H58" i="2"/>
  <c r="G58" i="2"/>
  <c r="K34" i="6" s="1"/>
  <c r="F58" i="2"/>
  <c r="K32" i="6" s="1"/>
  <c r="E58" i="2"/>
  <c r="D58" i="2"/>
  <c r="K30" i="6" s="1"/>
  <c r="D57" i="2"/>
  <c r="E57" i="2"/>
  <c r="F57" i="2"/>
  <c r="G57" i="2"/>
  <c r="H57" i="2"/>
  <c r="I57" i="2"/>
  <c r="J57" i="2"/>
  <c r="K57" i="2"/>
  <c r="J56" i="2"/>
  <c r="J73" i="2" s="1"/>
  <c r="I56" i="2"/>
  <c r="I73" i="2" s="1"/>
  <c r="H56" i="2"/>
  <c r="H73" i="2" s="1"/>
  <c r="G56" i="2"/>
  <c r="G73" i="2" s="1"/>
  <c r="F56" i="2"/>
  <c r="F73" i="2" s="1"/>
  <c r="E56" i="2"/>
  <c r="E73" i="2" s="1"/>
  <c r="D56" i="2"/>
  <c r="D73" i="2" s="1"/>
  <c r="H47" i="2"/>
  <c r="M74" i="2" l="1"/>
  <c r="I46" i="2"/>
  <c r="H46" i="2"/>
  <c r="I47" i="2"/>
  <c r="H50" i="6" s="1"/>
  <c r="H48" i="2"/>
  <c r="I48" i="2"/>
  <c r="K48" i="2"/>
  <c r="J48" i="2"/>
  <c r="K47" i="2"/>
  <c r="J47" i="2"/>
  <c r="J46" i="2"/>
  <c r="K46" i="2"/>
  <c r="F36" i="2"/>
  <c r="E36" i="2"/>
  <c r="D34" i="2"/>
  <c r="D48" i="2"/>
  <c r="D47" i="2"/>
  <c r="D46" i="2"/>
  <c r="D45" i="2"/>
  <c r="E48" i="2"/>
  <c r="E47" i="2"/>
  <c r="E46" i="2"/>
  <c r="F48" i="2"/>
  <c r="F47" i="2"/>
  <c r="F46" i="2"/>
  <c r="G48" i="2"/>
  <c r="G47" i="2"/>
  <c r="G46" i="2"/>
  <c r="G36" i="2"/>
  <c r="G35" i="2"/>
  <c r="K38" i="1" l="1"/>
  <c r="J12" i="2" l="1"/>
  <c r="C58" i="5"/>
  <c r="K12" i="6" s="1"/>
  <c r="C56" i="5"/>
  <c r="AJ53" i="10"/>
  <c r="AJ52" i="10"/>
  <c r="AJ51" i="10"/>
  <c r="AJ50" i="10"/>
  <c r="AJ42" i="10"/>
  <c r="AJ41" i="10"/>
  <c r="AJ40" i="10"/>
  <c r="AJ39" i="10"/>
  <c r="AJ38" i="10"/>
  <c r="K50" i="1"/>
  <c r="C45" i="5"/>
  <c r="C34" i="5"/>
  <c r="C23" i="5"/>
  <c r="C12" i="5"/>
  <c r="C67" i="5"/>
  <c r="C14" i="5"/>
  <c r="C25" i="5"/>
  <c r="B12" i="6" s="1"/>
  <c r="C36" i="5"/>
  <c r="E12" i="6" s="1"/>
  <c r="C47" i="5"/>
  <c r="H12" i="6" s="1"/>
  <c r="C69" i="5"/>
  <c r="D69" i="5" s="1"/>
  <c r="C57" i="5"/>
  <c r="C59" i="5"/>
  <c r="D67" i="5"/>
  <c r="C68" i="5"/>
  <c r="D68" i="5" s="1"/>
  <c r="C70" i="5"/>
  <c r="D70" i="5" s="1"/>
  <c r="AJ54" i="10"/>
  <c r="H62" i="6"/>
  <c r="E62" i="6"/>
  <c r="B62" i="6"/>
  <c r="C36" i="10"/>
  <c r="C57" i="10"/>
  <c r="C14" i="10"/>
  <c r="C25" i="10"/>
  <c r="C47" i="10"/>
  <c r="C68" i="10"/>
  <c r="L68" i="10"/>
  <c r="R68" i="10"/>
  <c r="X68" i="10"/>
  <c r="AG68" i="10"/>
  <c r="AB68" i="10"/>
  <c r="C66" i="10"/>
  <c r="L66" i="10"/>
  <c r="R66" i="10"/>
  <c r="X66" i="10"/>
  <c r="AG66" i="10"/>
  <c r="AB66" i="10"/>
  <c r="K12" i="2"/>
  <c r="L55" i="2"/>
  <c r="L54" i="2"/>
  <c r="L53" i="2"/>
  <c r="L52" i="2"/>
  <c r="L50" i="2"/>
  <c r="L49" i="2"/>
  <c r="L51" i="2"/>
  <c r="L43" i="2"/>
  <c r="L42" i="2"/>
  <c r="L41" i="2"/>
  <c r="L40" i="2"/>
  <c r="L39" i="2"/>
  <c r="L31" i="2"/>
  <c r="L30" i="2"/>
  <c r="L29" i="2"/>
  <c r="L28" i="2"/>
  <c r="L27" i="2"/>
  <c r="L22" i="2"/>
  <c r="L21" i="2"/>
  <c r="L20" i="2"/>
  <c r="L19" i="2"/>
  <c r="L18" i="2"/>
  <c r="L17" i="2"/>
  <c r="L16" i="2"/>
  <c r="L11" i="2"/>
  <c r="L10" i="2"/>
  <c r="L9" i="2"/>
  <c r="L8" i="2"/>
  <c r="L7" i="2"/>
  <c r="L6" i="2"/>
  <c r="D14" i="10"/>
  <c r="K14" i="2"/>
  <c r="J14" i="2"/>
  <c r="I14" i="2"/>
  <c r="H14" i="2"/>
  <c r="G14" i="2"/>
  <c r="I12" i="2"/>
  <c r="H12" i="2"/>
  <c r="F14" i="4"/>
  <c r="E14" i="4"/>
  <c r="D14" i="4"/>
  <c r="C14" i="4"/>
  <c r="G5" i="4"/>
  <c r="G6" i="4"/>
  <c r="G7" i="4"/>
  <c r="G8" i="4"/>
  <c r="G9" i="4"/>
  <c r="G10" i="4"/>
  <c r="G11" i="4"/>
  <c r="F12" i="4"/>
  <c r="E12" i="4"/>
  <c r="D12" i="4"/>
  <c r="C12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4" i="1"/>
  <c r="I14" i="1"/>
  <c r="H14" i="1"/>
  <c r="G14" i="1"/>
  <c r="F14" i="1"/>
  <c r="E14" i="1"/>
  <c r="D14" i="1"/>
  <c r="C14" i="1"/>
  <c r="J12" i="1"/>
  <c r="I12" i="1"/>
  <c r="H12" i="1"/>
  <c r="G12" i="1"/>
  <c r="E12" i="1"/>
  <c r="F12" i="1"/>
  <c r="D12" i="1"/>
  <c r="C12" i="1"/>
  <c r="H14" i="10"/>
  <c r="G14" i="10"/>
  <c r="F14" i="10"/>
  <c r="E14" i="10"/>
  <c r="H50" i="3"/>
  <c r="L38" i="2"/>
  <c r="C56" i="2"/>
  <c r="C57" i="2"/>
  <c r="C58" i="2"/>
  <c r="C59" i="2"/>
  <c r="C46" i="2"/>
  <c r="C47" i="2"/>
  <c r="C48" i="2"/>
  <c r="C34" i="2"/>
  <c r="C35" i="2"/>
  <c r="C36" i="2"/>
  <c r="C37" i="2"/>
  <c r="C23" i="2"/>
  <c r="C24" i="2"/>
  <c r="C25" i="2"/>
  <c r="C26" i="2"/>
  <c r="C12" i="2"/>
  <c r="C13" i="2"/>
  <c r="C14" i="2"/>
  <c r="C15" i="2"/>
  <c r="G34" i="1"/>
  <c r="E15" i="4"/>
  <c r="F15" i="4"/>
  <c r="G16" i="4"/>
  <c r="J34" i="2"/>
  <c r="K67" i="2"/>
  <c r="K68" i="2"/>
  <c r="K69" i="2"/>
  <c r="K70" i="2"/>
  <c r="I67" i="2"/>
  <c r="I68" i="2"/>
  <c r="I69" i="2"/>
  <c r="I70" i="2"/>
  <c r="H48" i="6"/>
  <c r="K34" i="2"/>
  <c r="K35" i="2"/>
  <c r="K36" i="2"/>
  <c r="E48" i="6" s="1"/>
  <c r="K37" i="2"/>
  <c r="I34" i="2"/>
  <c r="I35" i="2"/>
  <c r="I36" i="2"/>
  <c r="E50" i="6" s="1"/>
  <c r="I37" i="2"/>
  <c r="K23" i="2"/>
  <c r="K24" i="2"/>
  <c r="K25" i="2"/>
  <c r="B48" i="6" s="1"/>
  <c r="K26" i="2"/>
  <c r="I23" i="2"/>
  <c r="I24" i="2"/>
  <c r="I25" i="2"/>
  <c r="B50" i="6" s="1"/>
  <c r="I26" i="2"/>
  <c r="K15" i="2"/>
  <c r="K13" i="2"/>
  <c r="I15" i="2"/>
  <c r="I13" i="2"/>
  <c r="J23" i="2"/>
  <c r="J24" i="2"/>
  <c r="E51" i="3"/>
  <c r="E50" i="3"/>
  <c r="E39" i="3"/>
  <c r="C56" i="4"/>
  <c r="D56" i="4"/>
  <c r="E56" i="4"/>
  <c r="F56" i="4"/>
  <c r="G55" i="4"/>
  <c r="G54" i="4"/>
  <c r="G53" i="4"/>
  <c r="G52" i="4"/>
  <c r="G51" i="4"/>
  <c r="G50" i="4"/>
  <c r="G49" i="4"/>
  <c r="C45" i="4"/>
  <c r="D45" i="4"/>
  <c r="E45" i="4"/>
  <c r="F45" i="4"/>
  <c r="G44" i="4"/>
  <c r="G43" i="4"/>
  <c r="G42" i="4"/>
  <c r="G41" i="4"/>
  <c r="G40" i="4"/>
  <c r="G39" i="4"/>
  <c r="G38" i="4"/>
  <c r="G27" i="4"/>
  <c r="C25" i="4"/>
  <c r="D25" i="4"/>
  <c r="E25" i="4"/>
  <c r="F25" i="4"/>
  <c r="C23" i="4"/>
  <c r="D23" i="4"/>
  <c r="E23" i="4"/>
  <c r="F23" i="4"/>
  <c r="G22" i="4"/>
  <c r="G21" i="4"/>
  <c r="G20" i="4"/>
  <c r="G19" i="4"/>
  <c r="G18" i="4"/>
  <c r="G17" i="4"/>
  <c r="D56" i="1"/>
  <c r="C56" i="1"/>
  <c r="G56" i="1"/>
  <c r="F56" i="1"/>
  <c r="E56" i="1"/>
  <c r="C45" i="1"/>
  <c r="D45" i="1"/>
  <c r="E45" i="1"/>
  <c r="F45" i="1"/>
  <c r="G45" i="1"/>
  <c r="F34" i="1"/>
  <c r="E34" i="1"/>
  <c r="D34" i="1"/>
  <c r="C34" i="1"/>
  <c r="G23" i="1"/>
  <c r="F23" i="1"/>
  <c r="E23" i="1"/>
  <c r="D23" i="1"/>
  <c r="C23" i="1"/>
  <c r="F58" i="4"/>
  <c r="E58" i="4"/>
  <c r="D58" i="4"/>
  <c r="C58" i="4"/>
  <c r="F47" i="4"/>
  <c r="E47" i="4"/>
  <c r="D47" i="4"/>
  <c r="C47" i="4"/>
  <c r="E36" i="4"/>
  <c r="G33" i="4"/>
  <c r="G32" i="4"/>
  <c r="G31" i="4"/>
  <c r="G30" i="4"/>
  <c r="G29" i="4"/>
  <c r="G28" i="4"/>
  <c r="I31" i="3"/>
  <c r="I30" i="3"/>
  <c r="C63" i="3"/>
  <c r="D64" i="3"/>
  <c r="G63" i="3"/>
  <c r="E62" i="3"/>
  <c r="M54" i="3"/>
  <c r="M55" i="3"/>
  <c r="M56" i="3"/>
  <c r="M57" i="3"/>
  <c r="M58" i="3"/>
  <c r="M59" i="3"/>
  <c r="D63" i="3"/>
  <c r="E63" i="3"/>
  <c r="F63" i="3"/>
  <c r="H63" i="3"/>
  <c r="I63" i="3"/>
  <c r="J63" i="3"/>
  <c r="K63" i="3"/>
  <c r="L63" i="3"/>
  <c r="K22" i="6" s="1"/>
  <c r="K61" i="3"/>
  <c r="J61" i="3"/>
  <c r="I61" i="3"/>
  <c r="H61" i="3"/>
  <c r="G61" i="3"/>
  <c r="F61" i="3"/>
  <c r="E61" i="3"/>
  <c r="C61" i="3"/>
  <c r="D61" i="3"/>
  <c r="K55" i="1"/>
  <c r="K54" i="1"/>
  <c r="K53" i="1"/>
  <c r="K52" i="1"/>
  <c r="K51" i="1"/>
  <c r="C58" i="1"/>
  <c r="D58" i="1"/>
  <c r="E58" i="1"/>
  <c r="F58" i="1"/>
  <c r="H58" i="1"/>
  <c r="I58" i="1"/>
  <c r="J58" i="1"/>
  <c r="J56" i="1"/>
  <c r="I56" i="1"/>
  <c r="H56" i="1"/>
  <c r="G55" i="10"/>
  <c r="B44" i="14" s="1"/>
  <c r="H55" i="10"/>
  <c r="H57" i="10"/>
  <c r="K44" i="6" s="1"/>
  <c r="G57" i="10"/>
  <c r="K42" i="6" s="1"/>
  <c r="D57" i="10"/>
  <c r="K36" i="6" s="1"/>
  <c r="E57" i="10"/>
  <c r="K38" i="6" s="1"/>
  <c r="F57" i="10"/>
  <c r="K40" i="6" s="1"/>
  <c r="E55" i="10"/>
  <c r="B40" i="14" s="1"/>
  <c r="G52" i="3"/>
  <c r="I53" i="3"/>
  <c r="I52" i="3"/>
  <c r="E53" i="3"/>
  <c r="E52" i="3"/>
  <c r="E42" i="3"/>
  <c r="E41" i="3"/>
  <c r="D52" i="3"/>
  <c r="C52" i="3"/>
  <c r="J47" i="1"/>
  <c r="I47" i="1"/>
  <c r="H47" i="1"/>
  <c r="F47" i="1"/>
  <c r="E47" i="1"/>
  <c r="D47" i="1"/>
  <c r="C47" i="1"/>
  <c r="H58" i="6"/>
  <c r="H52" i="6"/>
  <c r="H46" i="6"/>
  <c r="H47" i="10"/>
  <c r="H44" i="6" s="1"/>
  <c r="G47" i="10"/>
  <c r="H42" i="6" s="1"/>
  <c r="F47" i="10"/>
  <c r="H40" i="6" s="1"/>
  <c r="E47" i="10"/>
  <c r="H38" i="6" s="1"/>
  <c r="D47" i="10"/>
  <c r="H36" i="6" s="1"/>
  <c r="E46" i="6"/>
  <c r="H36" i="10"/>
  <c r="E44" i="6" s="1"/>
  <c r="G36" i="10"/>
  <c r="E42" i="6" s="1"/>
  <c r="F36" i="10"/>
  <c r="E40" i="6" s="1"/>
  <c r="E36" i="10"/>
  <c r="E38" i="6" s="1"/>
  <c r="D36" i="10"/>
  <c r="E36" i="6" s="1"/>
  <c r="H34" i="2"/>
  <c r="H36" i="2"/>
  <c r="F36" i="4"/>
  <c r="D36" i="4"/>
  <c r="C36" i="4"/>
  <c r="L41" i="3"/>
  <c r="E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37" i="1"/>
  <c r="I37" i="1"/>
  <c r="H37" i="1"/>
  <c r="F37" i="1"/>
  <c r="E37" i="1"/>
  <c r="D37" i="1"/>
  <c r="C37" i="1"/>
  <c r="C36" i="1"/>
  <c r="D36" i="1"/>
  <c r="E36" i="1"/>
  <c r="F36" i="1"/>
  <c r="H36" i="1"/>
  <c r="I35" i="1"/>
  <c r="J35" i="1"/>
  <c r="J34" i="1"/>
  <c r="I34" i="1"/>
  <c r="H34" i="1"/>
  <c r="J25" i="1"/>
  <c r="I25" i="1"/>
  <c r="I23" i="1"/>
  <c r="E64" i="3"/>
  <c r="G37" i="1"/>
  <c r="G30" i="3"/>
  <c r="D29" i="3"/>
  <c r="E30" i="3"/>
  <c r="C30" i="3"/>
  <c r="D30" i="3"/>
  <c r="C28" i="3"/>
  <c r="D28" i="3"/>
  <c r="E34" i="4"/>
  <c r="C13" i="4"/>
  <c r="D13" i="4"/>
  <c r="E13" i="4"/>
  <c r="F13" i="4"/>
  <c r="C15" i="4"/>
  <c r="D15" i="4"/>
  <c r="D24" i="4"/>
  <c r="E24" i="4"/>
  <c r="C24" i="4"/>
  <c r="C37" i="4"/>
  <c r="D37" i="4"/>
  <c r="F37" i="4"/>
  <c r="E35" i="4"/>
  <c r="F35" i="4"/>
  <c r="C35" i="4"/>
  <c r="D35" i="4"/>
  <c r="D46" i="4"/>
  <c r="C46" i="4"/>
  <c r="C48" i="4"/>
  <c r="F48" i="4"/>
  <c r="D59" i="4"/>
  <c r="C57" i="4"/>
  <c r="D57" i="4"/>
  <c r="E59" i="4"/>
  <c r="F57" i="4"/>
  <c r="F59" i="4"/>
  <c r="G60" i="4"/>
  <c r="G61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G69" i="4"/>
  <c r="E48" i="4"/>
  <c r="D48" i="4"/>
  <c r="F46" i="4"/>
  <c r="F34" i="4"/>
  <c r="F26" i="4"/>
  <c r="E46" i="4"/>
  <c r="E26" i="4"/>
  <c r="C59" i="4"/>
  <c r="E57" i="4"/>
  <c r="E37" i="4"/>
  <c r="D34" i="4"/>
  <c r="D26" i="4"/>
  <c r="F24" i="4"/>
  <c r="C34" i="4"/>
  <c r="C26" i="4"/>
  <c r="F14" i="2"/>
  <c r="E14" i="2"/>
  <c r="D14" i="2"/>
  <c r="E12" i="2"/>
  <c r="D12" i="2"/>
  <c r="D18" i="3"/>
  <c r="C18" i="3"/>
  <c r="B58" i="6"/>
  <c r="B52" i="6"/>
  <c r="B46" i="6"/>
  <c r="H25" i="10"/>
  <c r="B44" i="6" s="1"/>
  <c r="G25" i="10"/>
  <c r="B42" i="6" s="1"/>
  <c r="F25" i="10"/>
  <c r="B40" i="6" s="1"/>
  <c r="E25" i="10"/>
  <c r="B38" i="6" s="1"/>
  <c r="D25" i="10"/>
  <c r="H23" i="10"/>
  <c r="H34" i="10"/>
  <c r="H45" i="10"/>
  <c r="J25" i="2"/>
  <c r="J26" i="2"/>
  <c r="H26" i="2"/>
  <c r="H25" i="2"/>
  <c r="G26" i="2"/>
  <c r="G25" i="2"/>
  <c r="B34" i="6" s="1"/>
  <c r="F26" i="2"/>
  <c r="F25" i="2"/>
  <c r="B32" i="6" s="1"/>
  <c r="E25" i="2"/>
  <c r="E26" i="2"/>
  <c r="D26" i="2"/>
  <c r="D25" i="2"/>
  <c r="B30" i="6" s="1"/>
  <c r="D24" i="2"/>
  <c r="D23" i="2"/>
  <c r="J15" i="2"/>
  <c r="H15" i="2"/>
  <c r="G15" i="2"/>
  <c r="F15" i="2"/>
  <c r="E15" i="2"/>
  <c r="D15" i="2"/>
  <c r="C48" i="10"/>
  <c r="C46" i="10"/>
  <c r="C37" i="10"/>
  <c r="C35" i="10"/>
  <c r="C26" i="10"/>
  <c r="C24" i="10"/>
  <c r="C15" i="10"/>
  <c r="H34" i="6"/>
  <c r="E34" i="6"/>
  <c r="G37" i="2"/>
  <c r="G13" i="2"/>
  <c r="F13" i="2"/>
  <c r="G24" i="2"/>
  <c r="G23" i="2"/>
  <c r="J13" i="2"/>
  <c r="J35" i="2"/>
  <c r="J36" i="2"/>
  <c r="J37" i="2"/>
  <c r="J67" i="2"/>
  <c r="J68" i="2"/>
  <c r="J69" i="2"/>
  <c r="J70" i="2"/>
  <c r="H23" i="1"/>
  <c r="AJ65" i="10"/>
  <c r="AJ64" i="10"/>
  <c r="AJ63" i="10"/>
  <c r="AJ62" i="10"/>
  <c r="AJ61" i="10"/>
  <c r="AJ60" i="10"/>
  <c r="AJ59" i="10"/>
  <c r="AE66" i="10"/>
  <c r="AF66" i="10"/>
  <c r="Z66" i="10"/>
  <c r="AA66" i="10"/>
  <c r="AE67" i="10"/>
  <c r="AF67" i="10"/>
  <c r="AG67" i="10"/>
  <c r="Z67" i="10"/>
  <c r="AA67" i="10"/>
  <c r="AB67" i="10"/>
  <c r="AE68" i="10"/>
  <c r="AF68" i="10"/>
  <c r="Z68" i="10"/>
  <c r="AA68" i="10"/>
  <c r="AE69" i="10"/>
  <c r="AF69" i="10"/>
  <c r="AG69" i="10"/>
  <c r="Z69" i="10"/>
  <c r="AA69" i="10"/>
  <c r="AB69" i="10"/>
  <c r="AD66" i="10"/>
  <c r="AD67" i="10"/>
  <c r="AD68" i="10"/>
  <c r="AD69" i="10"/>
  <c r="E58" i="6"/>
  <c r="E52" i="6"/>
  <c r="K41" i="1"/>
  <c r="B16" i="2"/>
  <c r="B17" i="2" s="1"/>
  <c r="B18" i="2" s="1"/>
  <c r="B19" i="2" s="1"/>
  <c r="B20" i="2" s="1"/>
  <c r="B21" i="2" s="1"/>
  <c r="B22" i="2" s="1"/>
  <c r="B27" i="2" s="1"/>
  <c r="B28" i="2" s="1"/>
  <c r="B29" i="2" s="1"/>
  <c r="B30" i="2" s="1"/>
  <c r="B31" i="2" s="1"/>
  <c r="B32" i="2" s="1"/>
  <c r="B33" i="2" s="1"/>
  <c r="B38" i="2" s="1"/>
  <c r="B39" i="2" s="1"/>
  <c r="B40" i="2" s="1"/>
  <c r="B41" i="2" s="1"/>
  <c r="B42" i="2" s="1"/>
  <c r="B43" i="2" s="1"/>
  <c r="B44" i="2" s="1"/>
  <c r="B49" i="2" s="1"/>
  <c r="B50" i="2" s="1"/>
  <c r="B51" i="2" s="1"/>
  <c r="B52" i="2" s="1"/>
  <c r="B53" i="2" s="1"/>
  <c r="B54" i="2" s="1"/>
  <c r="B55" i="2" s="1"/>
  <c r="B60" i="2" s="1"/>
  <c r="B61" i="2" s="1"/>
  <c r="B62" i="2" s="1"/>
  <c r="B63" i="2" s="1"/>
  <c r="B64" i="2" s="1"/>
  <c r="B65" i="2" s="1"/>
  <c r="B66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3" i="10"/>
  <c r="H13" i="2"/>
  <c r="K30" i="3"/>
  <c r="M26" i="3"/>
  <c r="M25" i="3"/>
  <c r="M24" i="3"/>
  <c r="M23" i="3"/>
  <c r="M22" i="3"/>
  <c r="M21" i="3"/>
  <c r="D13" i="2"/>
  <c r="C13" i="5"/>
  <c r="E11" i="11"/>
  <c r="E10" i="11"/>
  <c r="E9" i="11"/>
  <c r="E8" i="11"/>
  <c r="E7" i="11"/>
  <c r="E6" i="11"/>
  <c r="E5" i="11"/>
  <c r="E14" i="11"/>
  <c r="T66" i="10"/>
  <c r="U66" i="10"/>
  <c r="V66" i="10"/>
  <c r="T67" i="10"/>
  <c r="U67" i="10"/>
  <c r="V67" i="10"/>
  <c r="X67" i="10"/>
  <c r="T68" i="10"/>
  <c r="U68" i="10"/>
  <c r="V68" i="10"/>
  <c r="T69" i="10"/>
  <c r="U69" i="10"/>
  <c r="V69" i="10"/>
  <c r="X69" i="10"/>
  <c r="B8" i="11"/>
  <c r="B9" i="11"/>
  <c r="B10" i="11"/>
  <c r="B11" i="11"/>
  <c r="R69" i="10"/>
  <c r="Q69" i="10"/>
  <c r="P69" i="10"/>
  <c r="O69" i="10"/>
  <c r="N69" i="10"/>
  <c r="Q68" i="10"/>
  <c r="P68" i="10"/>
  <c r="O68" i="10"/>
  <c r="N68" i="10"/>
  <c r="R67" i="10"/>
  <c r="Q67" i="10"/>
  <c r="P67" i="10"/>
  <c r="O67" i="10"/>
  <c r="N67" i="10"/>
  <c r="Q66" i="10"/>
  <c r="P66" i="10"/>
  <c r="O66" i="10"/>
  <c r="N66" i="10"/>
  <c r="L69" i="10"/>
  <c r="K69" i="10"/>
  <c r="K68" i="10"/>
  <c r="L67" i="10"/>
  <c r="K67" i="10"/>
  <c r="K66" i="10"/>
  <c r="B7" i="11"/>
  <c r="C56" i="11"/>
  <c r="D56" i="11"/>
  <c r="H45" i="1"/>
  <c r="F50" i="3"/>
  <c r="D66" i="10"/>
  <c r="E66" i="10"/>
  <c r="F66" i="10"/>
  <c r="G66" i="10"/>
  <c r="H66" i="10"/>
  <c r="D68" i="10"/>
  <c r="E68" i="10"/>
  <c r="F68" i="10"/>
  <c r="G68" i="10"/>
  <c r="C58" i="11"/>
  <c r="D58" i="11"/>
  <c r="G58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7" i="4"/>
  <c r="B28" i="4" s="1"/>
  <c r="B29" i="4" s="1"/>
  <c r="B30" i="4" s="1"/>
  <c r="B31" i="4" s="1"/>
  <c r="B32" i="4" s="1"/>
  <c r="B33" i="4" s="1"/>
  <c r="B38" i="4" s="1"/>
  <c r="B39" i="4" s="1"/>
  <c r="B40" i="4" s="1"/>
  <c r="B41" i="4" s="1"/>
  <c r="B42" i="4" s="1"/>
  <c r="B43" i="4" s="1"/>
  <c r="B44" i="4" s="1"/>
  <c r="B49" i="4" s="1"/>
  <c r="B50" i="4" s="1"/>
  <c r="B51" i="4" s="1"/>
  <c r="B52" i="4" s="1"/>
  <c r="B53" i="4" s="1"/>
  <c r="B54" i="4" s="1"/>
  <c r="B55" i="4" s="1"/>
  <c r="B60" i="4" s="1"/>
  <c r="B61" i="4" s="1"/>
  <c r="B62" i="4" s="1"/>
  <c r="B63" i="4" s="1"/>
  <c r="B64" i="4" s="1"/>
  <c r="B65" i="4" s="1"/>
  <c r="B66" i="4" s="1"/>
  <c r="B16" i="5"/>
  <c r="B17" i="5" s="1"/>
  <c r="B18" i="5" s="1"/>
  <c r="B19" i="5" s="1"/>
  <c r="B20" i="5" s="1"/>
  <c r="B21" i="5" s="1"/>
  <c r="B22" i="5" s="1"/>
  <c r="B27" i="5" s="1"/>
  <c r="B28" i="5" s="1"/>
  <c r="B29" i="5" s="1"/>
  <c r="B30" i="5" s="1"/>
  <c r="B31" i="5" s="1"/>
  <c r="B32" i="5" s="1"/>
  <c r="B33" i="5" s="1"/>
  <c r="B38" i="5" s="1"/>
  <c r="B39" i="5" s="1"/>
  <c r="B40" i="5" s="1"/>
  <c r="B41" i="5" s="1"/>
  <c r="B42" i="5" s="1"/>
  <c r="B43" i="5" s="1"/>
  <c r="B44" i="5" s="1"/>
  <c r="B49" i="5" s="1"/>
  <c r="B50" i="5" s="1"/>
  <c r="B51" i="5" s="1"/>
  <c r="B52" i="5" s="1"/>
  <c r="B53" i="5" s="1"/>
  <c r="B54" i="5" s="1"/>
  <c r="B55" i="5" s="1"/>
  <c r="B60" i="5" s="1"/>
  <c r="B61" i="5" s="1"/>
  <c r="B62" i="5" s="1"/>
  <c r="B63" i="5" s="1"/>
  <c r="B64" i="5" s="1"/>
  <c r="B65" i="5" s="1"/>
  <c r="B66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69" i="2"/>
  <c r="C69" i="1"/>
  <c r="D69" i="1"/>
  <c r="E69" i="1"/>
  <c r="F69" i="1"/>
  <c r="G69" i="1"/>
  <c r="C69" i="11"/>
  <c r="H32" i="6"/>
  <c r="G47" i="1"/>
  <c r="D47" i="11"/>
  <c r="C47" i="11"/>
  <c r="E32" i="6"/>
  <c r="G36" i="1"/>
  <c r="D36" i="11"/>
  <c r="C36" i="11"/>
  <c r="C25" i="1"/>
  <c r="D25" i="1"/>
  <c r="E25" i="1"/>
  <c r="F25" i="1"/>
  <c r="G25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67" i="1"/>
  <c r="D67" i="1"/>
  <c r="E67" i="1"/>
  <c r="F67" i="1"/>
  <c r="G67" i="1"/>
  <c r="C72" i="3"/>
  <c r="D72" i="3"/>
  <c r="C50" i="3"/>
  <c r="D50" i="3"/>
  <c r="F67" i="2"/>
  <c r="C12" i="11"/>
  <c r="C67" i="11"/>
  <c r="C23" i="11"/>
  <c r="C34" i="11"/>
  <c r="C45" i="11"/>
  <c r="K40" i="1"/>
  <c r="K42" i="1"/>
  <c r="K43" i="1"/>
  <c r="K44" i="1"/>
  <c r="K28" i="1"/>
  <c r="K29" i="1"/>
  <c r="K30" i="1"/>
  <c r="K31" i="1"/>
  <c r="K32" i="1"/>
  <c r="K70" i="1"/>
  <c r="M66" i="3"/>
  <c r="M65" i="3"/>
  <c r="M73" i="3" s="1"/>
  <c r="M33" i="3"/>
  <c r="M34" i="3"/>
  <c r="M35" i="3"/>
  <c r="M36" i="3"/>
  <c r="M44" i="3"/>
  <c r="M45" i="3"/>
  <c r="M46" i="3"/>
  <c r="M47" i="3"/>
  <c r="L61" i="2"/>
  <c r="L60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57" i="1"/>
  <c r="E57" i="1"/>
  <c r="F57" i="1"/>
  <c r="G57" i="1"/>
  <c r="H57" i="1"/>
  <c r="I57" i="1"/>
  <c r="J57" i="1"/>
  <c r="C35" i="5"/>
  <c r="C37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I74" i="3"/>
  <c r="J74" i="3"/>
  <c r="K74" i="3"/>
  <c r="L74" i="3"/>
  <c r="I69" i="1"/>
  <c r="J69" i="1"/>
  <c r="I36" i="1"/>
  <c r="J36" i="1"/>
  <c r="J30" i="3"/>
  <c r="L30" i="3"/>
  <c r="B22" i="6" s="1"/>
  <c r="J52" i="3"/>
  <c r="K52" i="3"/>
  <c r="L52" i="3"/>
  <c r="H22" i="6" s="1"/>
  <c r="I72" i="3"/>
  <c r="J72" i="3"/>
  <c r="K72" i="3"/>
  <c r="L72" i="3"/>
  <c r="I28" i="3"/>
  <c r="J28" i="3"/>
  <c r="K28" i="3"/>
  <c r="L28" i="3"/>
  <c r="I50" i="3"/>
  <c r="J50" i="3"/>
  <c r="K50" i="3"/>
  <c r="L50" i="3"/>
  <c r="I45" i="1"/>
  <c r="J45" i="1"/>
  <c r="J23" i="1"/>
  <c r="I67" i="1"/>
  <c r="J67" i="1"/>
  <c r="H68" i="10"/>
  <c r="H69" i="10"/>
  <c r="G69" i="10"/>
  <c r="F69" i="10"/>
  <c r="E69" i="10"/>
  <c r="D69" i="10"/>
  <c r="C69" i="10"/>
  <c r="H67" i="10"/>
  <c r="G67" i="10"/>
  <c r="F67" i="10"/>
  <c r="E67" i="10"/>
  <c r="D67" i="10"/>
  <c r="C67" i="10"/>
  <c r="H58" i="10"/>
  <c r="G58" i="10"/>
  <c r="F58" i="10"/>
  <c r="E58" i="10"/>
  <c r="D58" i="10"/>
  <c r="C58" i="10"/>
  <c r="H56" i="10"/>
  <c r="G56" i="10"/>
  <c r="F56" i="10"/>
  <c r="E56" i="10"/>
  <c r="D56" i="10"/>
  <c r="C56" i="10"/>
  <c r="H48" i="10"/>
  <c r="G48" i="10"/>
  <c r="F48" i="10"/>
  <c r="E48" i="10"/>
  <c r="D48" i="10"/>
  <c r="H46" i="10"/>
  <c r="G46" i="10"/>
  <c r="F46" i="10"/>
  <c r="E46" i="10"/>
  <c r="D46" i="10"/>
  <c r="H37" i="10"/>
  <c r="G37" i="10"/>
  <c r="F37" i="10"/>
  <c r="E37" i="10"/>
  <c r="D37" i="10"/>
  <c r="H35" i="10"/>
  <c r="G35" i="10"/>
  <c r="F35" i="10"/>
  <c r="E35" i="10"/>
  <c r="D35" i="10"/>
  <c r="H26" i="10"/>
  <c r="G26" i="10"/>
  <c r="F26" i="10"/>
  <c r="E26" i="10"/>
  <c r="D26" i="10"/>
  <c r="H24" i="10"/>
  <c r="G24" i="10"/>
  <c r="F24" i="10"/>
  <c r="E24" i="10"/>
  <c r="D24" i="10"/>
  <c r="H15" i="10"/>
  <c r="G15" i="10"/>
  <c r="F15" i="10"/>
  <c r="E15" i="10"/>
  <c r="D15" i="10"/>
  <c r="H13" i="10"/>
  <c r="G13" i="10"/>
  <c r="F13" i="10"/>
  <c r="E13" i="10"/>
  <c r="C13" i="10"/>
  <c r="D35" i="1"/>
  <c r="E35" i="1"/>
  <c r="F35" i="1"/>
  <c r="G35" i="1"/>
  <c r="H35" i="1"/>
  <c r="D26" i="1"/>
  <c r="I26" i="1"/>
  <c r="H25" i="1"/>
  <c r="F28" i="3"/>
  <c r="K29" i="3"/>
  <c r="G55" i="8"/>
  <c r="G56" i="8"/>
  <c r="G54" i="8"/>
  <c r="G48" i="1"/>
  <c r="G10" i="8"/>
  <c r="B16" i="1"/>
  <c r="B17" i="1" s="1"/>
  <c r="B18" i="1" s="1"/>
  <c r="B19" i="1" s="1"/>
  <c r="B20" i="1" s="1"/>
  <c r="B21" i="1" s="1"/>
  <c r="B22" i="1" s="1"/>
  <c r="B27" i="1" s="1"/>
  <c r="B28" i="1" s="1"/>
  <c r="B29" i="1" s="1"/>
  <c r="B30" i="1" s="1"/>
  <c r="B31" i="1" s="1"/>
  <c r="B32" i="1" s="1"/>
  <c r="B33" i="1" s="1"/>
  <c r="B38" i="1" s="1"/>
  <c r="B39" i="1" s="1"/>
  <c r="B40" i="1" s="1"/>
  <c r="B41" i="1" s="1"/>
  <c r="B42" i="1" s="1"/>
  <c r="B43" i="1" s="1"/>
  <c r="B44" i="1" s="1"/>
  <c r="B49" i="1" s="1"/>
  <c r="B50" i="1" s="1"/>
  <c r="B51" i="1" s="1"/>
  <c r="B52" i="1" s="1"/>
  <c r="B53" i="1" s="1"/>
  <c r="B54" i="1" s="1"/>
  <c r="B55" i="1" s="1"/>
  <c r="B55" i="8"/>
  <c r="F20" i="3"/>
  <c r="G33" i="8"/>
  <c r="G32" i="8"/>
  <c r="E13" i="1"/>
  <c r="F64" i="3"/>
  <c r="G64" i="3"/>
  <c r="I64" i="3"/>
  <c r="J64" i="3"/>
  <c r="K64" i="3"/>
  <c r="L64" i="3"/>
  <c r="C59" i="8"/>
  <c r="H23" i="2"/>
  <c r="F42" i="3"/>
  <c r="I62" i="3"/>
  <c r="C37" i="8"/>
  <c r="C15" i="5"/>
  <c r="F68" i="2"/>
  <c r="F70" i="2"/>
  <c r="H35" i="2"/>
  <c r="H37" i="2"/>
  <c r="C48" i="5"/>
  <c r="F52" i="3"/>
  <c r="D12" i="8"/>
  <c r="C13" i="1"/>
  <c r="C15" i="1"/>
  <c r="E67" i="2"/>
  <c r="H67" i="2"/>
  <c r="E68" i="2"/>
  <c r="H68" i="2"/>
  <c r="E69" i="2"/>
  <c r="H69" i="2"/>
  <c r="E70" i="2"/>
  <c r="H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E35" i="2"/>
  <c r="E37" i="2"/>
  <c r="F37" i="2"/>
  <c r="E24" i="2"/>
  <c r="H24" i="2"/>
  <c r="E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35" i="2"/>
  <c r="D36" i="2"/>
  <c r="E30" i="6" s="1"/>
  <c r="D37" i="2"/>
  <c r="H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3" i="1"/>
  <c r="C59" i="1"/>
  <c r="C57" i="1"/>
  <c r="C35" i="1"/>
  <c r="C26" i="1"/>
  <c r="C24" i="1"/>
  <c r="D69" i="2"/>
  <c r="C26" i="5"/>
  <c r="C75" i="3"/>
  <c r="C73" i="3"/>
  <c r="C64" i="3"/>
  <c r="C62" i="3"/>
  <c r="C53" i="3"/>
  <c r="C51" i="3"/>
  <c r="D42" i="3"/>
  <c r="C42" i="3"/>
  <c r="C31" i="3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F13" i="1"/>
  <c r="G13" i="1"/>
  <c r="H13" i="1"/>
  <c r="I13" i="1"/>
  <c r="J13" i="1"/>
  <c r="D62" i="3"/>
  <c r="F62" i="3"/>
  <c r="G62" i="3"/>
  <c r="J62" i="3"/>
  <c r="K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68" i="1"/>
  <c r="C70" i="1"/>
  <c r="C46" i="1"/>
  <c r="D68" i="2"/>
  <c r="D67" i="2"/>
  <c r="D70" i="2"/>
  <c r="C46" i="5"/>
  <c r="C24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16" i="10"/>
  <c r="B17" i="10" s="1"/>
  <c r="B18" i="10" s="1"/>
  <c r="B19" i="10" s="1"/>
  <c r="B20" i="10" s="1"/>
  <c r="B21" i="10" s="1"/>
  <c r="B22" i="10" s="1"/>
  <c r="B27" i="10" s="1"/>
  <c r="B28" i="10" s="1"/>
  <c r="B29" i="10" s="1"/>
  <c r="B30" i="10" s="1"/>
  <c r="B31" i="10" s="1"/>
  <c r="B32" i="10" s="1"/>
  <c r="B33" i="10" s="1"/>
  <c r="B38" i="10" s="1"/>
  <c r="B39" i="10" s="1"/>
  <c r="B40" i="10" s="1"/>
  <c r="B41" i="10" s="1"/>
  <c r="B42" i="10" s="1"/>
  <c r="B43" i="10" s="1"/>
  <c r="B44" i="10" s="1"/>
  <c r="B49" i="10" s="1"/>
  <c r="B50" i="10" s="1"/>
  <c r="B51" i="10" s="1"/>
  <c r="B52" i="10" s="1"/>
  <c r="B53" i="10" s="1"/>
  <c r="B54" i="10" s="1"/>
  <c r="B59" i="10" s="1"/>
  <c r="B60" i="10" s="1"/>
  <c r="B61" i="10" s="1"/>
  <c r="B62" i="10" s="1"/>
  <c r="B63" i="10" s="1"/>
  <c r="B64" i="10" s="1"/>
  <c r="B65" i="10" s="1"/>
  <c r="K67" i="1"/>
  <c r="K69" i="1"/>
  <c r="E69" i="11"/>
  <c r="E70" i="11"/>
  <c r="E67" i="11"/>
  <c r="K68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4" i="2"/>
  <c r="F23" i="2"/>
  <c r="K26" i="6" l="1"/>
  <c r="M62" i="3"/>
  <c r="M61" i="3"/>
  <c r="K28" i="6"/>
  <c r="K20" i="6"/>
  <c r="K24" i="6"/>
  <c r="AJ55" i="10"/>
  <c r="AJ56" i="10"/>
  <c r="B38" i="14"/>
  <c r="B36" i="6"/>
  <c r="H26" i="6"/>
  <c r="E26" i="6"/>
  <c r="B26" i="6"/>
  <c r="E78" i="3"/>
  <c r="B24" i="14" s="1"/>
  <c r="D79" i="3"/>
  <c r="G78" i="3"/>
  <c r="F78" i="3"/>
  <c r="E79" i="3"/>
  <c r="D78" i="3"/>
  <c r="AJ45" i="10"/>
  <c r="B46" i="14"/>
  <c r="E73" i="10"/>
  <c r="B32" i="14"/>
  <c r="B36" i="14"/>
  <c r="B54" i="14"/>
  <c r="G68" i="4"/>
  <c r="B74" i="1"/>
  <c r="F75" i="5"/>
  <c r="G70" i="4"/>
  <c r="E20" i="6"/>
  <c r="G67" i="4"/>
  <c r="M74" i="3"/>
  <c r="M72" i="3"/>
  <c r="M17" i="3"/>
  <c r="M75" i="3"/>
  <c r="M64" i="3"/>
  <c r="H20" i="6"/>
  <c r="B20" i="6"/>
  <c r="G73" i="10"/>
  <c r="B14" i="6"/>
  <c r="AJ47" i="10"/>
  <c r="H14" i="6" s="1"/>
  <c r="H73" i="10"/>
  <c r="C73" i="10"/>
  <c r="J73" i="10"/>
  <c r="I73" i="10"/>
  <c r="AJ36" i="10"/>
  <c r="AJ34" i="10"/>
  <c r="M63" i="3"/>
  <c r="K6" i="6" s="1"/>
  <c r="K56" i="1"/>
  <c r="K58" i="1"/>
  <c r="K4" i="6" s="1"/>
  <c r="K57" i="1"/>
  <c r="K59" i="1"/>
  <c r="G58" i="4"/>
  <c r="K8" i="6" s="1"/>
  <c r="K14" i="1"/>
  <c r="AJ66" i="10"/>
  <c r="AJ67" i="10"/>
  <c r="AJ68" i="10"/>
  <c r="AJ69" i="10"/>
  <c r="AJ57" i="10"/>
  <c r="K14" i="6" s="1"/>
  <c r="AJ58" i="10"/>
  <c r="AJ26" i="10"/>
  <c r="G56" i="4"/>
  <c r="G57" i="4"/>
  <c r="G59" i="4"/>
  <c r="G46" i="4"/>
  <c r="G47" i="4"/>
  <c r="H8" i="6" s="1"/>
  <c r="G48" i="4"/>
  <c r="G45" i="4"/>
  <c r="B74" i="5"/>
  <c r="F73" i="5"/>
  <c r="G35" i="4"/>
  <c r="G34" i="4"/>
  <c r="G36" i="4"/>
  <c r="E8" i="6" s="1"/>
  <c r="G14" i="4"/>
  <c r="K23" i="1"/>
  <c r="K24" i="1"/>
  <c r="K26" i="1"/>
  <c r="M30" i="3"/>
  <c r="B6" i="6" s="1"/>
  <c r="M31" i="3"/>
  <c r="G12" i="4"/>
  <c r="G15" i="4"/>
  <c r="M20" i="3"/>
  <c r="D31" i="3"/>
  <c r="K15" i="1"/>
  <c r="C74" i="4"/>
  <c r="G13" i="4"/>
  <c r="B24" i="6"/>
  <c r="M29" i="3"/>
  <c r="M18" i="3"/>
  <c r="M19" i="3"/>
  <c r="K25" i="1"/>
  <c r="B4" i="6" s="1"/>
  <c r="B28" i="6"/>
  <c r="K12" i="1"/>
  <c r="K13" i="1"/>
  <c r="C73" i="2"/>
  <c r="L59" i="2"/>
  <c r="L67" i="2"/>
  <c r="L48" i="2"/>
  <c r="L46" i="2"/>
  <c r="AJ48" i="10"/>
  <c r="AJ46" i="10"/>
  <c r="AJ35" i="10"/>
  <c r="AJ37" i="10"/>
  <c r="G79" i="3"/>
  <c r="F79" i="3"/>
  <c r="M53" i="3"/>
  <c r="M51" i="3"/>
  <c r="M52" i="3"/>
  <c r="H6" i="6" s="1"/>
  <c r="M50" i="3"/>
  <c r="H24" i="6"/>
  <c r="K48" i="1"/>
  <c r="H28" i="6"/>
  <c r="K46" i="1"/>
  <c r="K45" i="1"/>
  <c r="K47" i="1"/>
  <c r="H4" i="6" s="1"/>
  <c r="I74" i="2"/>
  <c r="E28" i="6"/>
  <c r="L15" i="2"/>
  <c r="L68" i="2"/>
  <c r="L47" i="2"/>
  <c r="H10" i="6" s="1"/>
  <c r="J74" i="2"/>
  <c r="L70" i="2"/>
  <c r="L23" i="2"/>
  <c r="E74" i="2"/>
  <c r="L12" i="2"/>
  <c r="L24" i="2"/>
  <c r="F74" i="2"/>
  <c r="L69" i="2"/>
  <c r="K74" i="2"/>
  <c r="G74" i="2"/>
  <c r="L56" i="2"/>
  <c r="D74" i="2"/>
  <c r="L25" i="2"/>
  <c r="B10" i="6" s="1"/>
  <c r="L13" i="2"/>
  <c r="C74" i="2"/>
  <c r="L14" i="2"/>
  <c r="L45" i="2"/>
  <c r="L58" i="2"/>
  <c r="K10" i="6" s="1"/>
  <c r="L37" i="2"/>
  <c r="L26" i="2"/>
  <c r="L36" i="2"/>
  <c r="E10" i="6" s="1"/>
  <c r="L57" i="2"/>
  <c r="H74" i="2"/>
  <c r="L35" i="2"/>
  <c r="L34" i="2"/>
  <c r="M41" i="3"/>
  <c r="E6" i="6" s="1"/>
  <c r="M40" i="3"/>
  <c r="M39" i="3"/>
  <c r="M42" i="3"/>
  <c r="E24" i="6"/>
  <c r="C74" i="1"/>
  <c r="K35" i="1"/>
  <c r="K37" i="1"/>
  <c r="K34" i="1"/>
  <c r="K36" i="1"/>
  <c r="M28" i="3"/>
  <c r="G37" i="4"/>
  <c r="G23" i="4"/>
  <c r="G24" i="4"/>
  <c r="G25" i="4"/>
  <c r="G26" i="4"/>
  <c r="N74" i="2" l="1"/>
  <c r="M76" i="2"/>
  <c r="K76" i="6"/>
  <c r="K16" i="6"/>
  <c r="B52" i="14"/>
  <c r="E80" i="10"/>
  <c r="B14" i="14"/>
  <c r="B28" i="14"/>
  <c r="B22" i="14"/>
  <c r="B26" i="14"/>
  <c r="B30" i="14"/>
  <c r="F82" i="3"/>
  <c r="B6" i="14" s="1"/>
  <c r="F84" i="3"/>
  <c r="B73" i="2"/>
  <c r="B8" i="14"/>
  <c r="H73" i="1"/>
  <c r="E78" i="10"/>
  <c r="B4" i="14"/>
  <c r="B76" i="6"/>
  <c r="E14" i="6"/>
  <c r="H76" i="6"/>
  <c r="H16" i="6"/>
  <c r="E76" i="6"/>
  <c r="M73" i="2"/>
  <c r="B74" i="2"/>
  <c r="M75" i="2"/>
  <c r="F85" i="3"/>
  <c r="F83" i="3"/>
  <c r="E4" i="6"/>
  <c r="H75" i="1"/>
  <c r="G73" i="4"/>
  <c r="G75" i="4"/>
  <c r="B8" i="6"/>
  <c r="B16" i="6" s="1"/>
  <c r="N24" i="6" l="1"/>
  <c r="N30" i="6" s="1"/>
  <c r="N20" i="6"/>
  <c r="N15" i="6"/>
  <c r="E16" i="6"/>
  <c r="B10" i="14" l="1"/>
  <c r="B34" i="14"/>
  <c r="B78" i="14" s="1"/>
</calcChain>
</file>

<file path=xl/sharedStrings.xml><?xml version="1.0" encoding="utf-8"?>
<sst xmlns="http://schemas.openxmlformats.org/spreadsheetml/2006/main" count="937" uniqueCount="127">
  <si>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</si>
  <si>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</si>
  <si>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</si>
  <si>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</si>
  <si>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</si>
  <si>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</si>
  <si>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</si>
  <si>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</si>
  <si>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</si>
  <si>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</si>
  <si>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</si>
  <si>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</si>
  <si>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</si>
  <si>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</si>
  <si>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</si>
  <si>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</si>
  <si>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</si>
  <si>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</si>
  <si>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</si>
  <si>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</si>
  <si>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</si>
  <si>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</si>
  <si>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</si>
  <si>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</si>
  <si>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</si>
  <si>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</si>
  <si>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</si>
  <si>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</si>
  <si>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</si>
  <si>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</si>
  <si>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</si>
  <si>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</si>
  <si>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</si>
  <si>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</si>
  <si>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</si>
  <si>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</si>
  <si>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</si>
  <si>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</si>
  <si>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</si>
  <si>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</si>
  <si>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</si>
  <si>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</si>
  <si>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</si>
  <si>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</si>
  <si>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</si>
  <si>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</si>
  <si>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</si>
  <si>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</si>
  <si>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</si>
  <si>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</si>
  <si>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</si>
  <si>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</si>
  <si>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</si>
  <si>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</si>
  <si>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</si>
  <si>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</si>
  <si>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</si>
  <si>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</si>
  <si>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</si>
  <si>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</si>
  <si>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</si>
  <si>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</si>
  <si>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</si>
  <si>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</si>
  <si>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</si>
  <si>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</si>
  <si>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</si>
  <si>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</si>
  <si>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</si>
  <si>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</si>
  <si>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</si>
  <si>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</si>
  <si>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</si>
  <si>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</si>
  <si>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</si>
  <si>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</si>
  <si>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</si>
  <si>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</si>
  <si>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</si>
  <si>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</si>
  <si>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</si>
  <si>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</si>
  <si>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</si>
  <si>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</si>
  <si>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</si>
  <si>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</si>
  <si>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</si>
  <si>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</si>
  <si>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</si>
  <si>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</si>
  <si>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</si>
  <si>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</si>
  <si>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</si>
  <si>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</si>
  <si>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</si>
  <si>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</si>
  <si>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</si>
  <si>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</si>
  <si>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</si>
  <si>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</si>
  <si>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</si>
  <si>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</si>
  <si>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</si>
  <si>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</si>
  <si>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</si>
  <si>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</si>
  <si>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</si>
  <si>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</si>
  <si>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</si>
  <si>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</si>
  <si>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</si>
  <si>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</si>
  <si>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</si>
  <si>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</si>
  <si>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</si>
  <si>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</si>
  <si>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</si>
  <si>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</si>
  <si>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</si>
  <si>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</si>
  <si>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</si>
  <si>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</si>
  <si>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</si>
  <si>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2/3/2020--2/7/2020</t>
  </si>
  <si>
    <t>2/10/2020--2/14/2020</t>
  </si>
  <si>
    <t>2/17/2020--2/21/2020</t>
  </si>
  <si>
    <t>2/24/2020--2/28/2020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</si>
</sst>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66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71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/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6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6" fontId="1" fillId="0" borderId="41" xfId="3" applyNumberFormat="1" applyFont="1" applyBorder="1" applyAlignment="1"/>
    <xf numFmtId="3" fontId="19" fillId="5" borderId="8" xfId="0" applyNumberFormat="1" applyFont="1" applyFill="1" applyBorder="1" applyAlignment="1">
      <alignment horizontal="right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4" borderId="69" xfId="0" applyNumberFormat="1" applyFont="1" applyFill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164" fontId="19" fillId="0" borderId="48" xfId="0" applyNumberFormat="1" applyFont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3" borderId="44" xfId="0" applyNumberFormat="1" applyFont="1" applyFill="1" applyBorder="1" applyAlignment="1"/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41" xfId="0" applyFont="1" applyFill="1" applyBorder="1" applyAlignment="1">
      <alignment horizontal="center" vertical="center" wrapText="1"/>
    </xf>
    <xf numFmtId="0" fontId="27" fillId="4" borderId="2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0" fontId="19" fillId="3" borderId="8" xfId="0" applyFont="1" applyFill="1" applyBorder="1"/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/>
    </xf>
    <xf numFmtId="3" fontId="12" fillId="0" borderId="35" xfId="0" applyNumberFormat="1" applyFont="1" applyBorder="1" applyAlignment="1">
      <alignment horizontal="right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9"/>
  <sheetViews>
    <sheetView tabSelected="1" zoomScaleNormal="100" workbookViewId="0">
      <pane ySplit="2" topLeftCell="A3" activePane="bottomLeft" state="frozen"/>
      <selection pane="bottomLeft" activeCell="N29" sqref="N29"/>
    </sheetView>
  </sheetViews>
  <sheetFormatPr defaultRowHeight="13.5" x14ac:dyDescent="0.25"/>
  <cols>
    <col min="1" max="1" width="26.5703125" style="96" bestFit="1" customWidth="1"/>
    <col min="2" max="2" width="7.5703125" style="96" bestFit="1" customWidth="1"/>
    <col min="3" max="3" width="3.7109375" style="96" customWidth="1"/>
    <col min="4" max="4" width="26.5703125" style="96" bestFit="1" customWidth="1"/>
    <col min="5" max="5" width="7.5703125" style="96" bestFit="1" customWidth="1"/>
    <col min="6" max="6" width="3.7109375" style="96" customWidth="1"/>
    <col min="7" max="7" width="26.5703125" style="96" bestFit="1" customWidth="1"/>
    <col min="8" max="8" width="11.140625" style="96" customWidth="1"/>
    <col min="9" max="9" width="3.7109375" style="96" customWidth="1"/>
    <col min="10" max="10" width="26.5703125" style="487" bestFit="1" customWidth="1"/>
    <col min="11" max="11" width="11.140625" style="487" customWidth="1"/>
    <col min="12" max="12" width="3.7109375" style="96" customWidth="1"/>
    <col min="13" max="13" width="36.5703125" style="96" bestFit="1" customWidth="1"/>
    <col min="14" max="14" width="9.140625" style="96" bestFit="1" customWidth="1"/>
    <col min="15" max="16384" width="9.140625" style="96"/>
  </cols>
  <sheetData>
    <row r="1" spans="1:14" x14ac:dyDescent="0.25">
      <c r="A1" s="534" t="s">
        <v>43</v>
      </c>
      <c r="B1" s="535"/>
      <c r="C1" s="42"/>
      <c r="D1" s="534" t="s">
        <v>43</v>
      </c>
      <c r="E1" s="535"/>
      <c r="F1" s="85"/>
      <c r="G1" s="534" t="s">
        <v>43</v>
      </c>
      <c r="H1" s="535"/>
      <c r="I1" s="85"/>
      <c r="J1" s="534" t="s">
        <v>43</v>
      </c>
      <c r="K1" s="579"/>
    </row>
    <row r="2" spans="1:14" ht="15.75" customHeight="1" x14ac:dyDescent="0.25">
      <c r="A2" s="536" t="s">
        <v>123</v>
      </c>
      <c r="B2" s="713"/>
      <c r="C2" s="86"/>
      <c r="D2" s="537" t="s">
        <v>124</v>
      </c>
      <c r="E2" s="538"/>
      <c r="F2" s="85"/>
      <c r="G2" s="537" t="s">
        <v>125</v>
      </c>
      <c r="H2" s="538"/>
      <c r="I2" s="85"/>
      <c r="J2" s="537" t="s">
        <v>126</v>
      </c>
      <c r="K2" s="542"/>
    </row>
    <row r="3" spans="1:14" ht="14.25" thickBot="1" x14ac:dyDescent="0.3">
      <c r="A3" s="539" t="s">
        <v>44</v>
      </c>
      <c r="B3" s="540"/>
      <c r="C3" s="85"/>
      <c r="D3" s="539" t="s">
        <v>44</v>
      </c>
      <c r="E3" s="540"/>
      <c r="F3" s="85"/>
      <c r="G3" s="539" t="s">
        <v>44</v>
      </c>
      <c r="H3" s="541"/>
      <c r="I3" s="85"/>
      <c r="J3" s="539" t="s">
        <v>44</v>
      </c>
      <c r="K3" s="580"/>
    </row>
    <row r="4" spans="1:14" s="97" customFormat="1" ht="12.95" customHeight="1" x14ac:dyDescent="0.25">
      <c r="A4" s="528" t="s">
        <v>45</v>
      </c>
      <c r="B4" s="515">
        <f>SUM('NY Waterway-(Port Imperial FC)'!K25)</f>
        <v>76768</v>
      </c>
      <c r="C4" s="87"/>
      <c r="D4" s="528" t="s">
        <v>45</v>
      </c>
      <c r="E4" s="515">
        <f>SUM('NY Waterway-(Port Imperial FC)'!K36)</f>
        <v>73428</v>
      </c>
      <c r="F4" s="87"/>
      <c r="G4" s="528" t="s">
        <v>45</v>
      </c>
      <c r="H4" s="515">
        <f>SUM('NY Waterway-(Port Imperial FC)'!K47)</f>
        <v>65048</v>
      </c>
      <c r="I4" s="87"/>
      <c r="J4" s="528" t="s">
        <v>45</v>
      </c>
      <c r="K4" s="515">
        <f>'NY Waterway-(Port Imperial FC)'!K58</f>
        <v>75606</v>
      </c>
    </row>
    <row r="5" spans="1:14" s="97" customFormat="1" ht="12.95" customHeight="1" thickBot="1" x14ac:dyDescent="0.3">
      <c r="A5" s="529"/>
      <c r="B5" s="516"/>
      <c r="C5" s="87"/>
      <c r="D5" s="529"/>
      <c r="E5" s="530"/>
      <c r="F5" s="87"/>
      <c r="G5" s="529"/>
      <c r="H5" s="530"/>
      <c r="I5" s="87"/>
      <c r="J5" s="529"/>
      <c r="K5" s="530"/>
    </row>
    <row r="6" spans="1:14" s="97" customFormat="1" ht="12.95" customHeight="1" x14ac:dyDescent="0.25">
      <c r="A6" s="517" t="s">
        <v>46</v>
      </c>
      <c r="B6" s="515">
        <f>SUM('NY Waterway-(Billy Bey FC)'!M30)</f>
        <v>49867</v>
      </c>
      <c r="C6" s="87"/>
      <c r="D6" s="517" t="s">
        <v>46</v>
      </c>
      <c r="E6" s="532">
        <f>SUM('NY Waterway-(Billy Bey FC)'!M41)</f>
        <v>50507</v>
      </c>
      <c r="F6" s="87"/>
      <c r="G6" s="517" t="s">
        <v>46</v>
      </c>
      <c r="H6" s="532">
        <f>SUM('NY Waterway-(Billy Bey FC)'!M52)</f>
        <v>40891</v>
      </c>
      <c r="I6" s="87"/>
      <c r="J6" s="517" t="s">
        <v>46</v>
      </c>
      <c r="K6" s="532">
        <f>'NY Waterway-(Billy Bey FC)'!M63</f>
        <v>50313</v>
      </c>
    </row>
    <row r="7" spans="1:14" s="97" customFormat="1" ht="12.95" customHeight="1" thickBot="1" x14ac:dyDescent="0.3">
      <c r="A7" s="531"/>
      <c r="B7" s="516"/>
      <c r="C7" s="87"/>
      <c r="D7" s="531"/>
      <c r="E7" s="533"/>
      <c r="F7" s="87"/>
      <c r="G7" s="531"/>
      <c r="H7" s="533"/>
      <c r="I7" s="87"/>
      <c r="J7" s="581"/>
      <c r="K7" s="533"/>
    </row>
    <row r="8" spans="1:14" s="97" customFormat="1" ht="12.95" customHeight="1" x14ac:dyDescent="0.25">
      <c r="A8" s="528" t="s">
        <v>47</v>
      </c>
      <c r="B8" s="515">
        <f>SUM(SeaStreak!G25)</f>
        <v>20701</v>
      </c>
      <c r="C8" s="87"/>
      <c r="D8" s="528" t="s">
        <v>47</v>
      </c>
      <c r="E8" s="515">
        <f>SUM(SeaStreak!G36)</f>
        <v>20126</v>
      </c>
      <c r="F8" s="87"/>
      <c r="G8" s="528" t="s">
        <v>47</v>
      </c>
      <c r="H8" s="515">
        <f>SUM(SeaStreak!G47)</f>
        <v>18353</v>
      </c>
      <c r="I8" s="87"/>
      <c r="J8" s="528" t="s">
        <v>47</v>
      </c>
      <c r="K8" s="515">
        <f>SeaStreak!G58</f>
        <v>20688</v>
      </c>
    </row>
    <row r="9" spans="1:14" s="97" customFormat="1" ht="12.95" customHeight="1" thickBot="1" x14ac:dyDescent="0.3">
      <c r="A9" s="543"/>
      <c r="B9" s="530"/>
      <c r="C9" s="87"/>
      <c r="D9" s="543"/>
      <c r="E9" s="530"/>
      <c r="F9" s="87"/>
      <c r="G9" s="543"/>
      <c r="H9" s="530"/>
      <c r="I9" s="87"/>
      <c r="J9" s="543"/>
      <c r="K9" s="530"/>
    </row>
    <row r="10" spans="1:14" s="97" customFormat="1" ht="12.95" customHeight="1" x14ac:dyDescent="0.25">
      <c r="A10" s="517" t="s">
        <v>48</v>
      </c>
      <c r="B10" s="532">
        <f>SUM('New York Water Taxi'!L25)</f>
        <v>2897</v>
      </c>
      <c r="C10" s="87"/>
      <c r="D10" s="517" t="s">
        <v>48</v>
      </c>
      <c r="E10" s="532">
        <f>SUM('New York Water Taxi'!L36)</f>
        <v>2897</v>
      </c>
      <c r="F10" s="87"/>
      <c r="G10" s="517" t="s">
        <v>48</v>
      </c>
      <c r="H10" s="532">
        <f>SUM('New York Water Taxi'!L47)</f>
        <v>4183</v>
      </c>
      <c r="I10" s="87"/>
      <c r="J10" s="517" t="s">
        <v>48</v>
      </c>
      <c r="K10" s="532">
        <f>'New York Water Taxi'!L58</f>
        <v>3268</v>
      </c>
    </row>
    <row r="11" spans="1:14" s="97" customFormat="1" ht="12.95" customHeight="1" thickBot="1" x14ac:dyDescent="0.3">
      <c r="A11" s="523"/>
      <c r="B11" s="544"/>
      <c r="C11" s="87"/>
      <c r="D11" s="523"/>
      <c r="E11" s="533"/>
      <c r="F11" s="87"/>
      <c r="G11" s="523"/>
      <c r="H11" s="533"/>
      <c r="I11" s="87"/>
      <c r="J11" s="523"/>
      <c r="K11" s="533"/>
    </row>
    <row r="12" spans="1:14" s="97" customFormat="1" ht="12.95" customHeight="1" x14ac:dyDescent="0.25">
      <c r="A12" s="549" t="s">
        <v>33</v>
      </c>
      <c r="B12" s="532">
        <f>'Liberty Landing Ferry'!C25</f>
        <v>2870</v>
      </c>
      <c r="C12" s="87"/>
      <c r="D12" s="549" t="s">
        <v>33</v>
      </c>
      <c r="E12" s="532">
        <f>'Liberty Landing Ferry'!C36</f>
        <v>2731</v>
      </c>
      <c r="F12" s="87"/>
      <c r="G12" s="549" t="s">
        <v>33</v>
      </c>
      <c r="H12" s="532">
        <f>'Liberty Landing Ferry'!C47</f>
        <v>2127</v>
      </c>
      <c r="I12" s="87"/>
      <c r="J12" s="549" t="s">
        <v>33</v>
      </c>
      <c r="K12" s="532">
        <f>'Liberty Landing Ferry'!C58</f>
        <v>2673</v>
      </c>
    </row>
    <row r="13" spans="1:14" s="97" customFormat="1" ht="12.95" customHeight="1" thickBot="1" x14ac:dyDescent="0.3">
      <c r="A13" s="550"/>
      <c r="B13" s="544"/>
      <c r="C13" s="87"/>
      <c r="D13" s="550"/>
      <c r="E13" s="533"/>
      <c r="F13" s="87"/>
      <c r="G13" s="550"/>
      <c r="H13" s="533"/>
      <c r="I13" s="87"/>
      <c r="J13" s="550"/>
      <c r="K13" s="533"/>
    </row>
    <row r="14" spans="1:14" s="193" customFormat="1" ht="12.95" customHeight="1" thickBot="1" x14ac:dyDescent="0.3">
      <c r="A14" s="549" t="s">
        <v>71</v>
      </c>
      <c r="B14" s="532">
        <f>'NYC Ferry'!AJ25</f>
        <v>58176</v>
      </c>
      <c r="C14" s="192"/>
      <c r="D14" s="549" t="s">
        <v>71</v>
      </c>
      <c r="E14" s="532">
        <f>'NYC Ferry'!AJ36</f>
        <v>56665</v>
      </c>
      <c r="F14" s="192"/>
      <c r="G14" s="549" t="s">
        <v>71</v>
      </c>
      <c r="H14" s="532">
        <f>'NYC Ferry'!AJ47</f>
        <v>61200</v>
      </c>
      <c r="I14" s="192"/>
      <c r="J14" s="549" t="s">
        <v>71</v>
      </c>
      <c r="K14" s="532">
        <f>'NYC Ferry'!AJ57</f>
        <v>61306</v>
      </c>
    </row>
    <row r="15" spans="1:14" s="193" customFormat="1" ht="12.95" customHeight="1" thickBot="1" x14ac:dyDescent="0.3">
      <c r="A15" s="550"/>
      <c r="B15" s="544"/>
      <c r="C15" s="192"/>
      <c r="D15" s="550"/>
      <c r="E15" s="544"/>
      <c r="F15" s="192"/>
      <c r="G15" s="550"/>
      <c r="H15" s="544"/>
      <c r="I15" s="192"/>
      <c r="J15" s="550"/>
      <c r="K15" s="544"/>
      <c r="M15" s="545" t="s">
        <v>119</v>
      </c>
      <c r="N15" s="547">
        <f>AVERAGE('NYC Ferry'!E80,'NY Waterway-(Port Imperial FC)'!H75,'NY Waterway-(Billy Bey FC)'!F85,SeaStreak!G75,'New York Water Taxi'!M75,'Liberty Landing Ferry'!F75)</f>
        <v>17449.773333333334</v>
      </c>
    </row>
    <row r="16" spans="1:14" s="89" customFormat="1" ht="12.95" customHeight="1" x14ac:dyDescent="0.2">
      <c r="A16" s="545" t="s">
        <v>19</v>
      </c>
      <c r="B16" s="547">
        <f>SUM(B4:B15)</f>
        <v>211279</v>
      </c>
      <c r="C16" s="88"/>
      <c r="D16" s="545" t="s">
        <v>19</v>
      </c>
      <c r="E16" s="547">
        <f>SUM(E4:E15)</f>
        <v>206354</v>
      </c>
      <c r="F16" s="88"/>
      <c r="G16" s="545" t="s">
        <v>19</v>
      </c>
      <c r="H16" s="547">
        <f>SUM(H4:H15)</f>
        <v>191802</v>
      </c>
      <c r="I16" s="88"/>
      <c r="J16" s="545" t="s">
        <v>19</v>
      </c>
      <c r="K16" s="547">
        <f>SUM(K4:K15)</f>
        <v>213854</v>
      </c>
      <c r="M16" s="566"/>
      <c r="N16" s="568"/>
    </row>
    <row r="17" spans="1:14" s="89" customFormat="1" ht="12.95" customHeight="1" thickBot="1" x14ac:dyDescent="0.25">
      <c r="A17" s="546"/>
      <c r="B17" s="548"/>
      <c r="C17" s="88"/>
      <c r="D17" s="546"/>
      <c r="E17" s="548"/>
      <c r="F17" s="88"/>
      <c r="G17" s="546"/>
      <c r="H17" s="548"/>
      <c r="I17" s="88"/>
      <c r="J17" s="546"/>
      <c r="K17" s="548"/>
      <c r="M17" s="566"/>
      <c r="N17" s="568"/>
    </row>
    <row r="18" spans="1:14" s="97" customFormat="1" ht="14.25" thickBot="1" x14ac:dyDescent="0.3">
      <c r="A18" s="90"/>
      <c r="B18" s="91"/>
      <c r="C18" s="87"/>
      <c r="D18" s="90"/>
      <c r="E18" s="91"/>
      <c r="F18" s="87"/>
      <c r="G18" s="92"/>
      <c r="H18" s="93"/>
      <c r="I18" s="87"/>
      <c r="J18" s="494"/>
      <c r="K18" s="495"/>
      <c r="M18" s="567"/>
      <c r="N18" s="569"/>
    </row>
    <row r="19" spans="1:14" ht="14.25" thickBot="1" x14ac:dyDescent="0.3">
      <c r="A19" s="551" t="s">
        <v>49</v>
      </c>
      <c r="B19" s="552"/>
      <c r="C19" s="85"/>
      <c r="D19" s="551" t="s">
        <v>49</v>
      </c>
      <c r="E19" s="552"/>
      <c r="F19" s="85"/>
      <c r="G19" s="551" t="s">
        <v>49</v>
      </c>
      <c r="H19" s="553"/>
      <c r="I19" s="85"/>
      <c r="J19" s="551" t="s">
        <v>49</v>
      </c>
      <c r="K19" s="582"/>
      <c r="M19" s="7"/>
      <c r="N19" s="7"/>
    </row>
    <row r="20" spans="1:14" ht="12.95" customHeight="1" x14ac:dyDescent="0.25">
      <c r="A20" s="528" t="s">
        <v>10</v>
      </c>
      <c r="B20" s="515">
        <f>SUM('NY Waterway-(Billy Bey FC)'!I30,'NY Waterway-(Billy Bey FC)'!J30,'NY Waterway-(Billy Bey FC)'!K30, 'New York Water Taxi'!J25:J25, 'NY Waterway-(Port Imperial FC)'!I25:J25, SeaStreak!C25:D25,'NYC Ferry'!C25,'NYC Ferry'!J25,'NYC Ferry'!M25,'NYC Ferry'!S25,'NYC Ferry'!Y25,'NYC Ferry'!AC25,'NYC Ferry'!AH25)</f>
        <v>57033</v>
      </c>
      <c r="C20" s="85"/>
      <c r="D20" s="528" t="s">
        <v>10</v>
      </c>
      <c r="E20" s="515">
        <f>SUM('NY Waterway-(Billy Bey FC)'!I41,'NY Waterway-(Billy Bey FC)'!J41,'NY Waterway-(Billy Bey FC)'!K41, 'New York Water Taxi'!J36:J36, 'NY Waterway-(Port Imperial FC)'!I36:J36, SeaStreak!C36:D36,'NYC Ferry'!C36,'NYC Ferry'!J36,'NYC Ferry'!M36,'NYC Ferry'!S36,'NYC Ferry'!Y36,'NYC Ferry'!AC36,'NYC Ferry'!AH36)</f>
        <v>56776</v>
      </c>
      <c r="F20" s="85"/>
      <c r="G20" s="528" t="s">
        <v>10</v>
      </c>
      <c r="H20" s="515">
        <f>SUM('NY Waterway-(Billy Bey FC)'!I52,'NY Waterway-(Billy Bey FC)'!J52, 'NY Waterway-(Billy Bey FC)'!K52, 'New York Water Taxi'!J47:J47, 'NY Waterway-(Port Imperial FC)'!I47:J47, SeaStreak!C47:D47,'NYC Ferry'!C47,'NYC Ferry'!J47,'NYC Ferry'!M47,'NYC Ferry'!S47,'NYC Ferry'!Y47,'NYC Ferry'!AC47,'NYC Ferry'!AH47)</f>
        <v>50512</v>
      </c>
      <c r="I20" s="85"/>
      <c r="J20" s="528" t="s">
        <v>10</v>
      </c>
      <c r="K20" s="515">
        <f>SUM('NYC Ferry'!C57,'NYC Ferry'!J57,'NYC Ferry'!M57,'NYC Ferry'!S57,'NYC Ferry'!Y57,'NYC Ferry'!AC57,'NYC Ferry'!AH57,'New York Water Taxi'!J58,'NY Waterway-(Port Imperial FC)'!I58:J58,'NY Waterway-(Billy Bey FC)'!I63:K63,SeaStreak!C58:D58)</f>
        <v>58366</v>
      </c>
      <c r="M20" s="570" t="s">
        <v>120</v>
      </c>
      <c r="N20" s="573">
        <f>SUM('NYC Ferry'!E80,'NY Waterway-(Port Imperial FC)'!H75,'NY Waterway-(Billy Bey FC)'!F85,SeaStreak!G75,'New York Water Taxi'!M75,'Liberty Landing Ferry'!F75)</f>
        <v>104698.64</v>
      </c>
    </row>
    <row r="21" spans="1:14" ht="12.95" customHeight="1" thickBot="1" x14ac:dyDescent="0.3">
      <c r="A21" s="529"/>
      <c r="B21" s="516"/>
      <c r="C21" s="85"/>
      <c r="D21" s="529"/>
      <c r="E21" s="516"/>
      <c r="F21" s="85"/>
      <c r="G21" s="529"/>
      <c r="H21" s="516"/>
      <c r="I21" s="85"/>
      <c r="J21" s="529"/>
      <c r="K21" s="530"/>
      <c r="M21" s="571"/>
      <c r="N21" s="574"/>
    </row>
    <row r="22" spans="1:14" ht="12.95" customHeight="1" thickBot="1" x14ac:dyDescent="0.3">
      <c r="A22" s="517" t="s">
        <v>67</v>
      </c>
      <c r="B22" s="515">
        <f xml:space="preserve"> 'NY Waterway-(Billy Bey FC)'!L30</f>
        <v>1798</v>
      </c>
      <c r="C22" s="85"/>
      <c r="D22" s="517" t="s">
        <v>67</v>
      </c>
      <c r="E22" s="515">
        <f xml:space="preserve"> 'NY Waterway-(Billy Bey FC)'!L41</f>
        <v>1818</v>
      </c>
      <c r="F22" s="85"/>
      <c r="G22" s="517" t="s">
        <v>67</v>
      </c>
      <c r="H22" s="515">
        <f>'NY Waterway-(Billy Bey FC)'!L52</f>
        <v>1553</v>
      </c>
      <c r="I22" s="85"/>
      <c r="J22" s="517" t="s">
        <v>67</v>
      </c>
      <c r="K22" s="515">
        <f>'NY Waterway-(Billy Bey FC)'!L63</f>
        <v>1930</v>
      </c>
      <c r="M22" s="572"/>
      <c r="N22" s="575"/>
    </row>
    <row r="23" spans="1:14" ht="12.95" customHeight="1" thickBot="1" x14ac:dyDescent="0.3">
      <c r="A23" s="518"/>
      <c r="B23" s="516"/>
      <c r="C23" s="85"/>
      <c r="D23" s="518"/>
      <c r="E23" s="516"/>
      <c r="F23" s="85"/>
      <c r="G23" s="518"/>
      <c r="H23" s="516"/>
      <c r="I23" s="85"/>
      <c r="J23" s="583"/>
      <c r="K23" s="516"/>
      <c r="M23" s="488"/>
      <c r="N23" s="491"/>
    </row>
    <row r="24" spans="1:14" ht="12.95" customHeight="1" x14ac:dyDescent="0.25">
      <c r="A24" s="517" t="s">
        <v>8</v>
      </c>
      <c r="B24" s="532">
        <f>SUM('NY Waterway-(Billy Bey FC)'!C30:E30, 'NY Waterway-(Port Imperial FC)'!C25:G25,)</f>
        <v>57778</v>
      </c>
      <c r="C24" s="85"/>
      <c r="D24" s="517" t="s">
        <v>8</v>
      </c>
      <c r="E24" s="532">
        <f>SUM('NY Waterway-(Billy Bey FC)'!C41:E41, 'NY Waterway-(Port Imperial FC)'!C36:G36,)</f>
        <v>55874</v>
      </c>
      <c r="F24" s="85"/>
      <c r="G24" s="517" t="s">
        <v>8</v>
      </c>
      <c r="H24" s="532">
        <f>SUM('NY Waterway-(Billy Bey FC)'!C52:E52, 'NY Waterway-(Port Imperial FC)'!C47:G47,)</f>
        <v>51121</v>
      </c>
      <c r="I24" s="85"/>
      <c r="J24" s="517" t="s">
        <v>8</v>
      </c>
      <c r="K24" s="532">
        <f>SUM('NY Waterway-(Port Imperial FC)'!C58:G58,'NY Waterway-(Billy Bey FC)'!C63:E63)</f>
        <v>57710</v>
      </c>
      <c r="M24" s="570" t="s">
        <v>121</v>
      </c>
      <c r="N24" s="573">
        <f>SUM('NYC Ferry'!E78,'NY Waterway-(Port Imperial FC)'!H73,'NY Waterway-(Billy Bey FC)'!F83,SeaStreak!G73,'New York Water Taxi'!M73,'Liberty Landing Ferry'!F73)</f>
        <v>823289</v>
      </c>
    </row>
    <row r="25" spans="1:14" ht="12.95" customHeight="1" thickBot="1" x14ac:dyDescent="0.3">
      <c r="A25" s="518"/>
      <c r="B25" s="533"/>
      <c r="C25" s="85"/>
      <c r="D25" s="518"/>
      <c r="E25" s="564"/>
      <c r="F25" s="85"/>
      <c r="G25" s="518"/>
      <c r="H25" s="565"/>
      <c r="I25" s="85"/>
      <c r="J25" s="583"/>
      <c r="K25" s="564"/>
      <c r="M25" s="571"/>
      <c r="N25" s="574"/>
    </row>
    <row r="26" spans="1:14" ht="12.95" customHeight="1" thickBot="1" x14ac:dyDescent="0.3">
      <c r="A26" s="528" t="s">
        <v>14</v>
      </c>
      <c r="B26" s="515">
        <f>SUM(SeaStreak!E25:F25,'New York Water Taxi'!H25, 'NYC Ferry'!I25,'NYC Ferry'!U25,'NYC Ferry'!Z25,'NYC Ferry'!AF25)</f>
        <v>20112</v>
      </c>
      <c r="C26" s="85"/>
      <c r="D26" s="528" t="s">
        <v>14</v>
      </c>
      <c r="E26" s="515">
        <f>SUM(SeaStreak!E36:F36,'New York Water Taxi'!H36, 'NYC Ferry'!I36,'NYC Ferry'!U36,'NYC Ferry'!Z36,'NYC Ferry'!AF36)</f>
        <v>19630</v>
      </c>
      <c r="F26" s="85"/>
      <c r="G26" s="528" t="s">
        <v>14</v>
      </c>
      <c r="H26" s="515">
        <f>SUM(SeaStreak!E47:F47,'New York Water Taxi'!H47,'NYC Ferry'!I47,'NYC Ferry'!U47,'NYC Ferry'!Z47,'NYC Ferry'!AF47)</f>
        <v>18549</v>
      </c>
      <c r="I26" s="85"/>
      <c r="J26" s="528" t="s">
        <v>14</v>
      </c>
      <c r="K26" s="515">
        <f>SUM('NYC Ferry'!I57,'NYC Ferry'!U57,'NYC Ferry'!Z57,'NYC Ferry'!AF57,SeaStreak!E58:F58,'New York Water Taxi'!H58,)</f>
        <v>20749</v>
      </c>
      <c r="M26" s="572"/>
      <c r="N26" s="575"/>
    </row>
    <row r="27" spans="1:14" ht="12.95" customHeight="1" thickBot="1" x14ac:dyDescent="0.3">
      <c r="A27" s="543"/>
      <c r="B27" s="555"/>
      <c r="C27" s="85"/>
      <c r="D27" s="543"/>
      <c r="E27" s="555"/>
      <c r="F27" s="85"/>
      <c r="G27" s="543"/>
      <c r="H27" s="555"/>
      <c r="I27" s="85"/>
      <c r="J27" s="543"/>
      <c r="K27" s="555"/>
      <c r="M27" s="489"/>
      <c r="N27" s="492"/>
    </row>
    <row r="28" spans="1:14" ht="12.95" customHeight="1" thickBot="1" x14ac:dyDescent="0.3">
      <c r="A28" s="517" t="s">
        <v>9</v>
      </c>
      <c r="B28" s="521">
        <f>SUM('NY Waterway-(Billy Bey FC)'!F30:H30, 'Liberty Landing Ferry'!C25, 'NY Waterway-(Port Imperial FC)'!H25,'New York Water Taxi'!C25)</f>
        <v>38496</v>
      </c>
      <c r="C28" s="85"/>
      <c r="D28" s="517" t="s">
        <v>9</v>
      </c>
      <c r="E28" s="532">
        <f>SUM('NY Waterway-(Billy Bey FC)'!F41:H41, 'Liberty Landing Ferry'!C36, 'NY Waterway-(Port Imperial FC)'!H36,'New York Water Taxi'!C36)</f>
        <v>37528</v>
      </c>
      <c r="F28" s="85"/>
      <c r="G28" s="517" t="s">
        <v>9</v>
      </c>
      <c r="H28" s="532">
        <f>SUM('NY Waterway-(Billy Bey FC)'!F52:H52, 'Liberty Landing Ferry'!C47, 'NY Waterway-(Port Imperial FC)'!H47,'New York Water Taxi'!C47)</f>
        <v>30192</v>
      </c>
      <c r="I28" s="85"/>
      <c r="J28" s="517" t="s">
        <v>9</v>
      </c>
      <c r="K28" s="532">
        <f>SUM('NY Waterway-(Port Imperial FC)'!H58,'NY Waterway-(Billy Bey FC)'!F63:H63,'Liberty Landing Ferry'!C58,'New York Water Taxi'!C58)</f>
        <v>37057</v>
      </c>
      <c r="M28" s="490" t="s">
        <v>109</v>
      </c>
      <c r="N28" s="493">
        <v>20</v>
      </c>
    </row>
    <row r="29" spans="1:14" ht="12.95" customHeight="1" thickBot="1" x14ac:dyDescent="0.3">
      <c r="A29" s="523"/>
      <c r="B29" s="544"/>
      <c r="C29" s="85"/>
      <c r="D29" s="523"/>
      <c r="E29" s="544"/>
      <c r="F29" s="85"/>
      <c r="G29" s="523"/>
      <c r="H29" s="544"/>
      <c r="I29" s="85"/>
      <c r="J29" s="523"/>
      <c r="K29" s="544"/>
      <c r="M29" s="488"/>
      <c r="N29" s="491"/>
    </row>
    <row r="30" spans="1:14" s="95" customFormat="1" ht="12.95" customHeight="1" x14ac:dyDescent="0.2">
      <c r="A30" s="517" t="s">
        <v>7</v>
      </c>
      <c r="B30" s="521">
        <f>SUM('New York Water Taxi'!D25)</f>
        <v>205</v>
      </c>
      <c r="C30" s="94"/>
      <c r="D30" s="517" t="s">
        <v>7</v>
      </c>
      <c r="E30" s="521">
        <f>SUM('New York Water Taxi'!D36)</f>
        <v>169</v>
      </c>
      <c r="F30" s="94"/>
      <c r="G30" s="517" t="s">
        <v>7</v>
      </c>
      <c r="H30" s="521">
        <f>SUM('New York Water Taxi'!D47)</f>
        <v>510</v>
      </c>
      <c r="I30" s="94"/>
      <c r="J30" s="517" t="s">
        <v>7</v>
      </c>
      <c r="K30" s="521">
        <f>SUM('New York Water Taxi'!D58)</f>
        <v>116</v>
      </c>
      <c r="M30" s="570" t="s">
        <v>110</v>
      </c>
      <c r="N30" s="576">
        <f>N24/N28</f>
        <v>41164.449999999997</v>
      </c>
    </row>
    <row r="31" spans="1:14" s="95" customFormat="1" ht="12.95" customHeight="1" thickBot="1" x14ac:dyDescent="0.25">
      <c r="A31" s="523"/>
      <c r="B31" s="554"/>
      <c r="C31" s="94"/>
      <c r="D31" s="523"/>
      <c r="E31" s="554"/>
      <c r="F31" s="94"/>
      <c r="G31" s="523"/>
      <c r="H31" s="554"/>
      <c r="I31" s="94"/>
      <c r="J31" s="523"/>
      <c r="K31" s="554"/>
      <c r="M31" s="571"/>
      <c r="N31" s="577"/>
    </row>
    <row r="32" spans="1:14" ht="12.75" customHeight="1" thickBot="1" x14ac:dyDescent="0.3">
      <c r="A32" s="517" t="s">
        <v>96</v>
      </c>
      <c r="B32" s="521">
        <f>SUM('New York Water Taxi'!F25)</f>
        <v>196</v>
      </c>
      <c r="C32" s="85"/>
      <c r="D32" s="517" t="s">
        <v>96</v>
      </c>
      <c r="E32" s="521">
        <f>SUM('New York Water Taxi'!F36)</f>
        <v>252</v>
      </c>
      <c r="F32" s="85"/>
      <c r="G32" s="517" t="s">
        <v>96</v>
      </c>
      <c r="H32" s="521">
        <f>SUM('New York Water Taxi'!F47)</f>
        <v>586</v>
      </c>
      <c r="I32" s="85"/>
      <c r="J32" s="517" t="s">
        <v>96</v>
      </c>
      <c r="K32" s="521">
        <f>SUM('New York Water Taxi'!F58)</f>
        <v>447</v>
      </c>
      <c r="M32" s="572"/>
      <c r="N32" s="578"/>
    </row>
    <row r="33" spans="1:11" ht="14.25" thickBot="1" x14ac:dyDescent="0.3">
      <c r="A33" s="523"/>
      <c r="B33" s="525"/>
      <c r="C33" s="85"/>
      <c r="D33" s="523"/>
      <c r="E33" s="524"/>
      <c r="F33" s="85"/>
      <c r="G33" s="523"/>
      <c r="H33" s="525"/>
      <c r="I33" s="85"/>
      <c r="J33" s="523"/>
      <c r="K33" s="524"/>
    </row>
    <row r="34" spans="1:11" ht="12.75" customHeight="1" x14ac:dyDescent="0.25">
      <c r="A34" s="517" t="s">
        <v>93</v>
      </c>
      <c r="B34" s="521">
        <f>'New York Water Taxi'!G25</f>
        <v>174</v>
      </c>
      <c r="C34" s="85"/>
      <c r="D34" s="517" t="s">
        <v>93</v>
      </c>
      <c r="E34" s="521">
        <f>'New York Water Taxi'!G36</f>
        <v>158</v>
      </c>
      <c r="F34" s="85"/>
      <c r="G34" s="517" t="s">
        <v>93</v>
      </c>
      <c r="H34" s="521">
        <f>'New York Water Taxi'!G47</f>
        <v>519</v>
      </c>
      <c r="I34" s="85"/>
      <c r="J34" s="517" t="s">
        <v>93</v>
      </c>
      <c r="K34" s="521">
        <f>SUM('New York Water Taxi'!G58)</f>
        <v>288</v>
      </c>
    </row>
    <row r="35" spans="1:11" ht="14.25" customHeight="1" thickBot="1" x14ac:dyDescent="0.3">
      <c r="A35" s="523"/>
      <c r="B35" s="558"/>
      <c r="C35" s="85"/>
      <c r="D35" s="523"/>
      <c r="E35" s="527"/>
      <c r="F35" s="85"/>
      <c r="G35" s="523"/>
      <c r="H35" s="522"/>
      <c r="I35" s="85"/>
      <c r="J35" s="523"/>
      <c r="K35" s="522"/>
    </row>
    <row r="36" spans="1:11" x14ac:dyDescent="0.25">
      <c r="A36" s="519" t="s">
        <v>62</v>
      </c>
      <c r="B36" s="521">
        <f>SUM('NYC Ferry'!D25+'NYC Ferry'!N25,'New York Water Taxi'!E25)</f>
        <v>3589</v>
      </c>
      <c r="C36" s="85"/>
      <c r="D36" s="519" t="s">
        <v>62</v>
      </c>
      <c r="E36" s="521">
        <f>SUM('NYC Ferry'!D36+'NYC Ferry'!N36,'New York Water Taxi'!E36)</f>
        <v>3404</v>
      </c>
      <c r="F36" s="85"/>
      <c r="G36" s="519" t="s">
        <v>62</v>
      </c>
      <c r="H36" s="521">
        <f>SUM('NYC Ferry'!D47+'NYC Ferry'!N47,'New York Water Taxi'!E47)</f>
        <v>5713</v>
      </c>
      <c r="I36" s="85"/>
      <c r="J36" s="519" t="s">
        <v>62</v>
      </c>
      <c r="K36" s="521">
        <f>SUM('NYC Ferry'!D57,'NYC Ferry'!N57,'New York Water Taxi'!E58)</f>
        <v>4033</v>
      </c>
    </row>
    <row r="37" spans="1:11" ht="14.25" thickBot="1" x14ac:dyDescent="0.3">
      <c r="A37" s="520"/>
      <c r="B37" s="522"/>
      <c r="C37" s="85"/>
      <c r="D37" s="520"/>
      <c r="E37" s="522"/>
      <c r="F37" s="85"/>
      <c r="G37" s="520"/>
      <c r="H37" s="522"/>
      <c r="I37" s="85"/>
      <c r="J37" s="520"/>
      <c r="K37" s="522"/>
    </row>
    <row r="38" spans="1:11" ht="12.75" customHeight="1" x14ac:dyDescent="0.25">
      <c r="A38" s="519" t="s">
        <v>63</v>
      </c>
      <c r="B38" s="521">
        <f>SUM('NYC Ferry'!E25)</f>
        <v>2472</v>
      </c>
      <c r="C38" s="85"/>
      <c r="D38" s="519" t="s">
        <v>63</v>
      </c>
      <c r="E38" s="521">
        <f>SUM('NYC Ferry'!E36)</f>
        <v>2472</v>
      </c>
      <c r="F38" s="85"/>
      <c r="G38" s="519" t="s">
        <v>63</v>
      </c>
      <c r="H38" s="521">
        <f>SUM('NYC Ferry'!E47)</f>
        <v>2369</v>
      </c>
      <c r="I38" s="85"/>
      <c r="J38" s="519" t="s">
        <v>63</v>
      </c>
      <c r="K38" s="521">
        <f>SUM('NYC Ferry'!E57)</f>
        <v>2656</v>
      </c>
    </row>
    <row r="39" spans="1:11" ht="13.5" customHeight="1" thickBot="1" x14ac:dyDescent="0.3">
      <c r="A39" s="520"/>
      <c r="B39" s="522"/>
      <c r="C39" s="85"/>
      <c r="D39" s="520"/>
      <c r="E39" s="522"/>
      <c r="F39" s="85"/>
      <c r="G39" s="520"/>
      <c r="H39" s="522"/>
      <c r="I39" s="85"/>
      <c r="J39" s="520"/>
      <c r="K39" s="522"/>
    </row>
    <row r="40" spans="1:11" ht="12.75" customHeight="1" x14ac:dyDescent="0.25">
      <c r="A40" s="519" t="s">
        <v>11</v>
      </c>
      <c r="B40" s="521">
        <f>SUM('NYC Ferry'!F25)</f>
        <v>5262</v>
      </c>
      <c r="C40" s="85"/>
      <c r="D40" s="519" t="s">
        <v>11</v>
      </c>
      <c r="E40" s="521">
        <f>SUM('NYC Ferry'!F36)</f>
        <v>4852</v>
      </c>
      <c r="F40" s="85"/>
      <c r="G40" s="519" t="s">
        <v>11</v>
      </c>
      <c r="H40" s="521">
        <f>SUM('NYC Ferry'!F47)</f>
        <v>5208</v>
      </c>
      <c r="I40" s="85"/>
      <c r="J40" s="519" t="s">
        <v>11</v>
      </c>
      <c r="K40" s="521">
        <f>SUM('NYC Ferry'!F57)</f>
        <v>5413</v>
      </c>
    </row>
    <row r="41" spans="1:11" ht="13.5" customHeight="1" thickBot="1" x14ac:dyDescent="0.3">
      <c r="A41" s="520"/>
      <c r="B41" s="522"/>
      <c r="C41" s="85"/>
      <c r="D41" s="520"/>
      <c r="E41" s="522"/>
      <c r="F41" s="85"/>
      <c r="G41" s="520"/>
      <c r="H41" s="522"/>
      <c r="I41" s="85"/>
      <c r="J41" s="520"/>
      <c r="K41" s="522"/>
    </row>
    <row r="42" spans="1:11" ht="12.75" customHeight="1" x14ac:dyDescent="0.25">
      <c r="A42" s="519" t="s">
        <v>12</v>
      </c>
      <c r="B42" s="521">
        <f>SUM('NYC Ferry'!G25)</f>
        <v>3210</v>
      </c>
      <c r="C42" s="85"/>
      <c r="D42" s="519" t="s">
        <v>12</v>
      </c>
      <c r="E42" s="521">
        <f>SUM('NYC Ferry'!G36)</f>
        <v>3128</v>
      </c>
      <c r="F42" s="85"/>
      <c r="G42" s="519" t="s">
        <v>12</v>
      </c>
      <c r="H42" s="521">
        <f>SUM('NYC Ferry'!G47)</f>
        <v>3141</v>
      </c>
      <c r="I42" s="85"/>
      <c r="J42" s="519" t="s">
        <v>12</v>
      </c>
      <c r="K42" s="521">
        <f>SUM('NYC Ferry'!G57)</f>
        <v>3274</v>
      </c>
    </row>
    <row r="43" spans="1:11" ht="13.5" customHeight="1" thickBot="1" x14ac:dyDescent="0.3">
      <c r="A43" s="520"/>
      <c r="B43" s="522"/>
      <c r="C43" s="85"/>
      <c r="D43" s="520"/>
      <c r="E43" s="522"/>
      <c r="F43" s="85"/>
      <c r="G43" s="520"/>
      <c r="H43" s="522"/>
      <c r="I43" s="85"/>
      <c r="J43" s="520"/>
      <c r="K43" s="522"/>
    </row>
    <row r="44" spans="1:11" ht="12.75" customHeight="1" x14ac:dyDescent="0.25">
      <c r="A44" s="519" t="s">
        <v>89</v>
      </c>
      <c r="B44" s="521">
        <f>SUM('NYC Ferry'!H25)</f>
        <v>1254</v>
      </c>
      <c r="C44" s="85"/>
      <c r="D44" s="519" t="s">
        <v>89</v>
      </c>
      <c r="E44" s="521">
        <f>SUM('NYC Ferry'!H36)</f>
        <v>1137</v>
      </c>
      <c r="F44" s="85"/>
      <c r="G44" s="519" t="s">
        <v>89</v>
      </c>
      <c r="H44" s="521">
        <f>SUM('NYC Ferry'!H47)</f>
        <v>1552</v>
      </c>
      <c r="I44" s="85"/>
      <c r="J44" s="519" t="s">
        <v>89</v>
      </c>
      <c r="K44" s="521">
        <f>SUM('NYC Ferry'!H57,)</f>
        <v>1315</v>
      </c>
    </row>
    <row r="45" spans="1:11" ht="13.5" customHeight="1" thickBot="1" x14ac:dyDescent="0.3">
      <c r="A45" s="520"/>
      <c r="B45" s="522"/>
      <c r="C45" s="85"/>
      <c r="D45" s="520"/>
      <c r="E45" s="522"/>
      <c r="F45" s="85"/>
      <c r="G45" s="520"/>
      <c r="H45" s="522"/>
      <c r="I45" s="85"/>
      <c r="J45" s="520"/>
      <c r="K45" s="522"/>
    </row>
    <row r="46" spans="1:11" ht="12.75" customHeight="1" x14ac:dyDescent="0.25">
      <c r="A46" s="519" t="s">
        <v>76</v>
      </c>
      <c r="B46" s="521">
        <f>SUM('NYC Ferry'!P25)</f>
        <v>641</v>
      </c>
      <c r="C46" s="85"/>
      <c r="D46" s="519" t="s">
        <v>76</v>
      </c>
      <c r="E46" s="521">
        <f>SUM('NYC Ferry'!P36)</f>
        <v>658</v>
      </c>
      <c r="F46" s="85"/>
      <c r="G46" s="519" t="s">
        <v>76</v>
      </c>
      <c r="H46" s="521">
        <f>SUM('NYC Ferry'!P47)</f>
        <v>667</v>
      </c>
      <c r="I46" s="85"/>
      <c r="J46" s="519" t="s">
        <v>76</v>
      </c>
      <c r="K46" s="521">
        <f>SUM('NYC Ferry'!P57)</f>
        <v>711</v>
      </c>
    </row>
    <row r="47" spans="1:11" ht="13.5" customHeight="1" thickBot="1" x14ac:dyDescent="0.3">
      <c r="A47" s="520"/>
      <c r="B47" s="522"/>
      <c r="C47" s="85"/>
      <c r="D47" s="520"/>
      <c r="E47" s="522"/>
      <c r="F47" s="85"/>
      <c r="G47" s="520"/>
      <c r="H47" s="522"/>
      <c r="I47" s="85"/>
      <c r="J47" s="520"/>
      <c r="K47" s="522"/>
    </row>
    <row r="48" spans="1:11" ht="13.5" customHeight="1" x14ac:dyDescent="0.25">
      <c r="A48" s="519" t="s">
        <v>102</v>
      </c>
      <c r="B48" s="521">
        <f>'New York Water Taxi'!K25</f>
        <v>153</v>
      </c>
      <c r="C48" s="85"/>
      <c r="D48" s="519" t="s">
        <v>102</v>
      </c>
      <c r="E48" s="521">
        <f>SUM('New York Water Taxi'!K36)</f>
        <v>127</v>
      </c>
      <c r="F48" s="85"/>
      <c r="G48" s="519" t="s">
        <v>102</v>
      </c>
      <c r="H48" s="521">
        <f>'New York Water Taxi'!K47</f>
        <v>444</v>
      </c>
      <c r="I48" s="85"/>
      <c r="J48" s="519" t="s">
        <v>102</v>
      </c>
      <c r="K48" s="521">
        <f>SUM('New York Water Taxi'!K58)</f>
        <v>141</v>
      </c>
    </row>
    <row r="49" spans="1:11" ht="13.5" customHeight="1" thickBot="1" x14ac:dyDescent="0.3">
      <c r="A49" s="520"/>
      <c r="B49" s="522"/>
      <c r="C49" s="85"/>
      <c r="D49" s="520"/>
      <c r="E49" s="563"/>
      <c r="F49" s="85"/>
      <c r="G49" s="520"/>
      <c r="H49" s="563"/>
      <c r="I49" s="85"/>
      <c r="J49" s="520"/>
      <c r="K49" s="563"/>
    </row>
    <row r="50" spans="1:11" ht="13.5" customHeight="1" x14ac:dyDescent="0.25">
      <c r="A50" s="556" t="s">
        <v>108</v>
      </c>
      <c r="B50" s="521">
        <f>SUM('NYC Ferry'!K25,'NYC Ferry'!Q25,'New York Water Taxi'!I25)</f>
        <v>1991</v>
      </c>
      <c r="C50" s="85"/>
      <c r="D50" s="556" t="s">
        <v>108</v>
      </c>
      <c r="E50" s="521">
        <f>SUM('NYC Ferry'!K36,'NYC Ferry'!Q36,'New York Water Taxi'!I36)</f>
        <v>2007</v>
      </c>
      <c r="F50" s="85"/>
      <c r="G50" s="556" t="s">
        <v>108</v>
      </c>
      <c r="H50" s="521">
        <f>SUM('NYC Ferry'!K47,'NYC Ferry'!Q47,'New York Water Taxi'!I47)</f>
        <v>1782</v>
      </c>
      <c r="I50" s="85"/>
      <c r="J50" s="556" t="s">
        <v>108</v>
      </c>
      <c r="K50" s="521">
        <f>SUM('NYC Ferry'!K57,'NYC Ferry'!Q57,'New York Water Taxi'!I58)</f>
        <v>2054</v>
      </c>
    </row>
    <row r="51" spans="1:11" ht="13.5" customHeight="1" thickBot="1" x14ac:dyDescent="0.3">
      <c r="A51" s="557"/>
      <c r="B51" s="522"/>
      <c r="C51" s="85"/>
      <c r="D51" s="557"/>
      <c r="E51" s="527"/>
      <c r="F51" s="85"/>
      <c r="G51" s="557"/>
      <c r="H51" s="527"/>
      <c r="I51" s="85"/>
      <c r="J51" s="557"/>
      <c r="K51" s="527"/>
    </row>
    <row r="52" spans="1:11" ht="13.5" customHeight="1" x14ac:dyDescent="0.25">
      <c r="A52" s="519" t="s">
        <v>83</v>
      </c>
      <c r="B52" s="521">
        <f>SUM('NYC Ferry'!AE25)</f>
        <v>1033</v>
      </c>
      <c r="C52" s="85"/>
      <c r="D52" s="519" t="s">
        <v>83</v>
      </c>
      <c r="E52" s="526">
        <f>SUM('NYC Ferry'!AE36)</f>
        <v>987</v>
      </c>
      <c r="F52" s="85"/>
      <c r="G52" s="519" t="s">
        <v>83</v>
      </c>
      <c r="H52" s="526">
        <f>SUM('NYC Ferry'!AE47)</f>
        <v>864</v>
      </c>
      <c r="I52" s="85"/>
      <c r="J52" s="519" t="s">
        <v>83</v>
      </c>
      <c r="K52" s="526">
        <f>SUM('NYC Ferry'!AE57)</f>
        <v>1037</v>
      </c>
    </row>
    <row r="53" spans="1:11" ht="13.5" customHeight="1" thickBot="1" x14ac:dyDescent="0.3">
      <c r="A53" s="520"/>
      <c r="B53" s="522"/>
      <c r="C53" s="85"/>
      <c r="D53" s="520"/>
      <c r="E53" s="527"/>
      <c r="F53" s="85"/>
      <c r="G53" s="520"/>
      <c r="H53" s="527"/>
      <c r="I53" s="85"/>
      <c r="J53" s="520"/>
      <c r="K53" s="527"/>
    </row>
    <row r="54" spans="1:11" ht="13.5" customHeight="1" x14ac:dyDescent="0.25">
      <c r="A54" s="519" t="s">
        <v>84</v>
      </c>
      <c r="B54" s="521">
        <f>SUM('NYC Ferry'!AD25)</f>
        <v>245</v>
      </c>
      <c r="C54" s="85"/>
      <c r="D54" s="519" t="s">
        <v>84</v>
      </c>
      <c r="E54" s="526">
        <f>SUM('NYC Ferry'!AD36)</f>
        <v>213</v>
      </c>
      <c r="F54" s="85"/>
      <c r="G54" s="519" t="s">
        <v>84</v>
      </c>
      <c r="H54" s="526">
        <f>SUM('NYC Ferry'!AD47)</f>
        <v>211</v>
      </c>
      <c r="I54" s="85"/>
      <c r="J54" s="519" t="s">
        <v>84</v>
      </c>
      <c r="K54" s="526">
        <f>SUM('NYC Ferry'!AD57)</f>
        <v>261</v>
      </c>
    </row>
    <row r="55" spans="1:11" ht="13.5" customHeight="1" thickBot="1" x14ac:dyDescent="0.3">
      <c r="A55" s="520"/>
      <c r="B55" s="522"/>
      <c r="C55" s="85"/>
      <c r="D55" s="520"/>
      <c r="E55" s="527"/>
      <c r="F55" s="85"/>
      <c r="G55" s="520"/>
      <c r="H55" s="527"/>
      <c r="I55" s="85"/>
      <c r="J55" s="520"/>
      <c r="K55" s="527"/>
    </row>
    <row r="56" spans="1:11" ht="13.5" customHeight="1" x14ac:dyDescent="0.25">
      <c r="A56" s="519" t="s">
        <v>86</v>
      </c>
      <c r="B56" s="521">
        <f>SUM('NYC Ferry'!AB25)</f>
        <v>2811</v>
      </c>
      <c r="C56" s="85"/>
      <c r="D56" s="519" t="s">
        <v>86</v>
      </c>
      <c r="E56" s="526">
        <f>SUM('NYC Ferry'!AB36)</f>
        <v>2776</v>
      </c>
      <c r="F56" s="85"/>
      <c r="G56" s="519" t="s">
        <v>86</v>
      </c>
      <c r="H56" s="526">
        <f>SUM('NYC Ferry'!AB47)</f>
        <v>2666</v>
      </c>
      <c r="I56" s="85"/>
      <c r="J56" s="519" t="s">
        <v>86</v>
      </c>
      <c r="K56" s="526">
        <f>SUM('NYC Ferry'!AB57)</f>
        <v>2894</v>
      </c>
    </row>
    <row r="57" spans="1:11" ht="13.5" customHeight="1" thickBot="1" x14ac:dyDescent="0.3">
      <c r="A57" s="520"/>
      <c r="B57" s="522"/>
      <c r="C57" s="85"/>
      <c r="D57" s="520"/>
      <c r="E57" s="527"/>
      <c r="F57" s="85"/>
      <c r="G57" s="520"/>
      <c r="H57" s="527"/>
      <c r="I57" s="85"/>
      <c r="J57" s="520"/>
      <c r="K57" s="527"/>
    </row>
    <row r="58" spans="1:11" ht="13.5" customHeight="1" x14ac:dyDescent="0.25">
      <c r="A58" s="519" t="s">
        <v>85</v>
      </c>
      <c r="B58" s="521">
        <f>SUM('NYC Ferry'!AA25)</f>
        <v>1474</v>
      </c>
      <c r="C58" s="85"/>
      <c r="D58" s="519" t="s">
        <v>85</v>
      </c>
      <c r="E58" s="526">
        <f>SUM('NYC Ferry'!AA36)</f>
        <v>1324</v>
      </c>
      <c r="F58" s="85"/>
      <c r="G58" s="519" t="s">
        <v>85</v>
      </c>
      <c r="H58" s="526">
        <f>SUM('NYC Ferry'!AA47)</f>
        <v>1389</v>
      </c>
      <c r="I58" s="85"/>
      <c r="J58" s="519" t="s">
        <v>85</v>
      </c>
      <c r="K58" s="526">
        <f>SUM('NYC Ferry'!AA57)</f>
        <v>1486</v>
      </c>
    </row>
    <row r="59" spans="1:11" ht="13.5" customHeight="1" thickBot="1" x14ac:dyDescent="0.3">
      <c r="A59" s="520"/>
      <c r="B59" s="522"/>
      <c r="C59" s="85"/>
      <c r="D59" s="520"/>
      <c r="E59" s="527"/>
      <c r="F59" s="85"/>
      <c r="G59" s="520"/>
      <c r="H59" s="527"/>
      <c r="I59" s="85"/>
      <c r="J59" s="520"/>
      <c r="K59" s="527"/>
    </row>
    <row r="60" spans="1:11" ht="12.75" customHeight="1" x14ac:dyDescent="0.25">
      <c r="A60" s="519" t="s">
        <v>13</v>
      </c>
      <c r="B60" s="521">
        <f>'NYC Ferry'!O25</f>
        <v>543</v>
      </c>
      <c r="C60" s="85"/>
      <c r="D60" s="519" t="s">
        <v>13</v>
      </c>
      <c r="E60" s="521">
        <f>'NYC Ferry'!O36</f>
        <v>506</v>
      </c>
      <c r="F60" s="85"/>
      <c r="G60" s="519" t="s">
        <v>13</v>
      </c>
      <c r="H60" s="521">
        <f>'NYC Ferry'!O47</f>
        <v>613</v>
      </c>
      <c r="I60" s="85"/>
      <c r="J60" s="519" t="s">
        <v>13</v>
      </c>
      <c r="K60" s="521">
        <f>SUM('NYC Ferry'!O57)</f>
        <v>561</v>
      </c>
    </row>
    <row r="61" spans="1:11" ht="13.5" customHeight="1" thickBot="1" x14ac:dyDescent="0.3">
      <c r="A61" s="520"/>
      <c r="B61" s="522"/>
      <c r="C61" s="85"/>
      <c r="D61" s="520"/>
      <c r="E61" s="522"/>
      <c r="F61" s="85"/>
      <c r="G61" s="520"/>
      <c r="H61" s="522"/>
      <c r="I61" s="85"/>
      <c r="J61" s="520"/>
      <c r="K61" s="522"/>
    </row>
    <row r="62" spans="1:11" ht="13.5" customHeight="1" x14ac:dyDescent="0.25">
      <c r="A62" s="559" t="s">
        <v>31</v>
      </c>
      <c r="B62" s="521">
        <f>'NYC Ferry'!AI25</f>
        <v>0</v>
      </c>
      <c r="C62" s="85"/>
      <c r="D62" s="559" t="s">
        <v>31</v>
      </c>
      <c r="E62" s="563">
        <f>'NYC Ferry'!AI36</f>
        <v>0</v>
      </c>
      <c r="F62" s="85"/>
      <c r="G62" s="559" t="s">
        <v>31</v>
      </c>
      <c r="H62" s="563">
        <f>'NYC Ferry'!AI47</f>
        <v>0</v>
      </c>
      <c r="I62" s="85"/>
      <c r="J62" s="559" t="s">
        <v>31</v>
      </c>
      <c r="K62" s="563">
        <f>SUM('NYC Ferry'!AI57)</f>
        <v>0</v>
      </c>
    </row>
    <row r="63" spans="1:11" ht="13.5" customHeight="1" thickBot="1" x14ac:dyDescent="0.3">
      <c r="A63" s="520"/>
      <c r="B63" s="522"/>
      <c r="C63" s="85"/>
      <c r="D63" s="520"/>
      <c r="E63" s="522"/>
      <c r="F63" s="85"/>
      <c r="G63" s="520"/>
      <c r="H63" s="522"/>
      <c r="I63" s="85"/>
      <c r="J63" s="520"/>
      <c r="K63" s="522"/>
    </row>
    <row r="64" spans="1:11" ht="13.5" customHeight="1" x14ac:dyDescent="0.25">
      <c r="A64" s="519" t="s">
        <v>75</v>
      </c>
      <c r="B64" s="521">
        <f>'NYC Ferry'!R25</f>
        <v>490</v>
      </c>
      <c r="C64" s="85"/>
      <c r="D64" s="519" t="s">
        <v>75</v>
      </c>
      <c r="E64" s="563">
        <f>'NYC Ferry'!R36</f>
        <v>436</v>
      </c>
      <c r="F64" s="85"/>
      <c r="G64" s="519" t="s">
        <v>75</v>
      </c>
      <c r="H64" s="563">
        <f>'NYC Ferry'!R47</f>
        <v>684</v>
      </c>
      <c r="I64" s="85"/>
      <c r="J64" s="519" t="s">
        <v>75</v>
      </c>
      <c r="K64" s="563">
        <f>SUM('NYC Ferry'!R57)</f>
        <v>456</v>
      </c>
    </row>
    <row r="65" spans="1:11" ht="13.5" customHeight="1" thickBot="1" x14ac:dyDescent="0.3">
      <c r="A65" s="520"/>
      <c r="B65" s="522"/>
      <c r="C65" s="85"/>
      <c r="D65" s="520"/>
      <c r="E65" s="522"/>
      <c r="F65" s="85"/>
      <c r="G65" s="520"/>
      <c r="H65" s="522"/>
      <c r="I65" s="85"/>
      <c r="J65" s="520"/>
      <c r="K65" s="522"/>
    </row>
    <row r="66" spans="1:11" ht="13.5" customHeight="1" x14ac:dyDescent="0.25">
      <c r="A66" s="559" t="s">
        <v>70</v>
      </c>
      <c r="B66" s="521">
        <f>'NYC Ferry'!L25</f>
        <v>2234</v>
      </c>
      <c r="C66" s="85"/>
      <c r="D66" s="559" t="s">
        <v>70</v>
      </c>
      <c r="E66" s="563">
        <f>'NYC Ferry'!L36</f>
        <v>2316</v>
      </c>
      <c r="F66" s="85"/>
      <c r="G66" s="559" t="s">
        <v>70</v>
      </c>
      <c r="H66" s="563">
        <f>'NYC Ferry'!L47</f>
        <v>2879</v>
      </c>
      <c r="I66" s="85"/>
      <c r="J66" s="559" t="s">
        <v>70</v>
      </c>
      <c r="K66" s="563">
        <f>SUM('NYC Ferry'!L57)</f>
        <v>2348</v>
      </c>
    </row>
    <row r="67" spans="1:11" ht="13.5" customHeight="1" thickBot="1" x14ac:dyDescent="0.3">
      <c r="A67" s="520"/>
      <c r="B67" s="522"/>
      <c r="C67" s="85"/>
      <c r="D67" s="520"/>
      <c r="E67" s="522"/>
      <c r="F67" s="85"/>
      <c r="G67" s="520"/>
      <c r="H67" s="522"/>
      <c r="I67" s="85"/>
      <c r="J67" s="520"/>
      <c r="K67" s="522"/>
    </row>
    <row r="68" spans="1:11" ht="13.5" customHeight="1" x14ac:dyDescent="0.25">
      <c r="A68" s="559" t="s">
        <v>77</v>
      </c>
      <c r="B68" s="521">
        <f>SUM('NYC Ferry'!X25)</f>
        <v>1921</v>
      </c>
      <c r="C68" s="85"/>
      <c r="D68" s="559" t="s">
        <v>77</v>
      </c>
      <c r="E68" s="563">
        <f>SUM('NYC Ferry'!X36)</f>
        <v>1829</v>
      </c>
      <c r="F68" s="85"/>
      <c r="G68" s="559" t="s">
        <v>77</v>
      </c>
      <c r="H68" s="563">
        <f>SUM('NYC Ferry'!X47)</f>
        <v>2012</v>
      </c>
      <c r="I68" s="85"/>
      <c r="J68" s="559" t="s">
        <v>77</v>
      </c>
      <c r="K68" s="563">
        <f>SUM('NYC Ferry'!X57)</f>
        <v>2059</v>
      </c>
    </row>
    <row r="69" spans="1:11" ht="13.5" customHeight="1" thickBot="1" x14ac:dyDescent="0.3">
      <c r="A69" s="520"/>
      <c r="B69" s="522"/>
      <c r="C69" s="85"/>
      <c r="D69" s="520"/>
      <c r="E69" s="522"/>
      <c r="F69" s="85"/>
      <c r="G69" s="520"/>
      <c r="H69" s="522"/>
      <c r="I69" s="85"/>
      <c r="J69" s="520"/>
      <c r="K69" s="522"/>
    </row>
    <row r="70" spans="1:11" ht="13.5" customHeight="1" x14ac:dyDescent="0.25">
      <c r="A70" s="559" t="s">
        <v>78</v>
      </c>
      <c r="B70" s="521">
        <f>SUM('NYC Ferry'!W25)</f>
        <v>1517</v>
      </c>
      <c r="C70" s="85"/>
      <c r="D70" s="559" t="s">
        <v>78</v>
      </c>
      <c r="E70" s="563">
        <f>SUM('NYC Ferry'!W36)</f>
        <v>1337</v>
      </c>
      <c r="F70" s="85"/>
      <c r="G70" s="559" t="s">
        <v>78</v>
      </c>
      <c r="H70" s="563">
        <f>SUM('NYC Ferry'!W47)</f>
        <v>1492</v>
      </c>
      <c r="I70" s="85"/>
      <c r="J70" s="559" t="s">
        <v>78</v>
      </c>
      <c r="K70" s="563">
        <f>SUM('NYC Ferry'!W57)</f>
        <v>1549</v>
      </c>
    </row>
    <row r="71" spans="1:11" ht="13.5" customHeight="1" thickBot="1" x14ac:dyDescent="0.3">
      <c r="A71" s="520"/>
      <c r="B71" s="522"/>
      <c r="C71" s="85"/>
      <c r="D71" s="520"/>
      <c r="E71" s="522"/>
      <c r="F71" s="85"/>
      <c r="G71" s="520"/>
      <c r="H71" s="522"/>
      <c r="I71" s="85"/>
      <c r="J71" s="520"/>
      <c r="K71" s="522"/>
    </row>
    <row r="72" spans="1:11" ht="13.5" customHeight="1" x14ac:dyDescent="0.25">
      <c r="A72" s="519" t="s">
        <v>106</v>
      </c>
      <c r="B72" s="521">
        <f>'NYC Ferry'!T25</f>
        <v>1205</v>
      </c>
      <c r="C72" s="85"/>
      <c r="D72" s="519" t="s">
        <v>106</v>
      </c>
      <c r="E72" s="521">
        <f>'NYC Ferry'!T36</f>
        <v>1249</v>
      </c>
      <c r="F72" s="85"/>
      <c r="G72" s="519" t="s">
        <v>106</v>
      </c>
      <c r="H72" s="521">
        <f>'NYC Ferry'!T47</f>
        <v>1244</v>
      </c>
      <c r="I72" s="85"/>
      <c r="J72" s="519" t="s">
        <v>106</v>
      </c>
      <c r="K72" s="521">
        <f>SUM('NYC Ferry'!T57)</f>
        <v>1329</v>
      </c>
    </row>
    <row r="73" spans="1:11" ht="13.5" customHeight="1" thickBot="1" x14ac:dyDescent="0.3">
      <c r="A73" s="520"/>
      <c r="B73" s="522"/>
      <c r="C73" s="85"/>
      <c r="D73" s="520"/>
      <c r="E73" s="522"/>
      <c r="F73" s="85"/>
      <c r="G73" s="520"/>
      <c r="H73" s="522"/>
      <c r="I73" s="85"/>
      <c r="J73" s="520"/>
      <c r="K73" s="522"/>
    </row>
    <row r="74" spans="1:11" ht="13.5" customHeight="1" x14ac:dyDescent="0.25">
      <c r="A74" s="519" t="s">
        <v>64</v>
      </c>
      <c r="B74" s="521">
        <f>SUM(,'NYC Ferry'!V25, 'NYC Ferry'!AG25)</f>
        <v>3442</v>
      </c>
      <c r="C74" s="85"/>
      <c r="D74" s="519" t="s">
        <v>64</v>
      </c>
      <c r="E74" s="521">
        <f>SUM(,'NYC Ferry'!V36,'NYC Ferry'!AG36)</f>
        <v>3391</v>
      </c>
      <c r="F74" s="85"/>
      <c r="G74" s="519" t="s">
        <v>64</v>
      </c>
      <c r="H74" s="521">
        <f>SUM('NYC Ferry'!V47,'NYC Ferry'!AG47)</f>
        <v>3330</v>
      </c>
      <c r="I74" s="85"/>
      <c r="J74" s="519" t="s">
        <v>64</v>
      </c>
      <c r="K74" s="521">
        <f>SUM('NYC Ferry'!V57,'NYC Ferry'!AG57)</f>
        <v>3614</v>
      </c>
    </row>
    <row r="75" spans="1:11" ht="13.5" customHeight="1" thickBot="1" x14ac:dyDescent="0.3">
      <c r="A75" s="520"/>
      <c r="B75" s="522"/>
      <c r="C75" s="85"/>
      <c r="D75" s="520"/>
      <c r="E75" s="522"/>
      <c r="F75" s="85"/>
      <c r="G75" s="520"/>
      <c r="H75" s="522"/>
      <c r="I75" s="85"/>
      <c r="J75" s="520"/>
      <c r="K75" s="522"/>
    </row>
    <row r="76" spans="1:11" ht="13.5" customHeight="1" x14ac:dyDescent="0.25">
      <c r="A76" s="560" t="s">
        <v>19</v>
      </c>
      <c r="B76" s="547">
        <f>SUM(B20:B75)</f>
        <v>211279</v>
      </c>
      <c r="C76" s="85"/>
      <c r="D76" s="560" t="s">
        <v>19</v>
      </c>
      <c r="E76" s="547">
        <f>SUM(E20:E75)</f>
        <v>206354</v>
      </c>
      <c r="F76" s="85"/>
      <c r="G76" s="562" t="s">
        <v>19</v>
      </c>
      <c r="H76" s="547">
        <f>SUM(H20:H75)</f>
        <v>191802</v>
      </c>
      <c r="I76" s="85"/>
      <c r="J76" s="562" t="s">
        <v>19</v>
      </c>
      <c r="K76" s="547">
        <f>SUM(K20:K75)</f>
        <v>213854</v>
      </c>
    </row>
    <row r="77" spans="1:11" ht="13.5" customHeight="1" thickBot="1" x14ac:dyDescent="0.3">
      <c r="A77" s="561"/>
      <c r="B77" s="548"/>
      <c r="C77" s="85"/>
      <c r="D77" s="561"/>
      <c r="E77" s="548"/>
      <c r="F77" s="85"/>
      <c r="G77" s="561"/>
      <c r="H77" s="548"/>
      <c r="I77" s="85"/>
      <c r="J77" s="561"/>
      <c r="K77" s="548"/>
    </row>
    <row r="78" spans="1:11" x14ac:dyDescent="0.25">
      <c r="C78" s="85"/>
      <c r="F78" s="85"/>
      <c r="I78" s="85"/>
    </row>
    <row r="79" spans="1:11" x14ac:dyDescent="0.25">
      <c r="C79" s="85"/>
      <c r="F79" s="85"/>
      <c r="I79" s="85"/>
    </row>
  </sheetData>
  <mergeCells count="312">
    <mergeCell ref="J72:J73"/>
    <mergeCell ref="K72:K73"/>
    <mergeCell ref="J74:J75"/>
    <mergeCell ref="K74:K75"/>
    <mergeCell ref="J76:J77"/>
    <mergeCell ref="K76:K77"/>
    <mergeCell ref="J62:J63"/>
    <mergeCell ref="K62:K63"/>
    <mergeCell ref="J64:J65"/>
    <mergeCell ref="K64:K65"/>
    <mergeCell ref="J66:J67"/>
    <mergeCell ref="K66:K67"/>
    <mergeCell ref="J68:J69"/>
    <mergeCell ref="K68:K69"/>
    <mergeCell ref="J70:J71"/>
    <mergeCell ref="K70:K71"/>
    <mergeCell ref="J52:J53"/>
    <mergeCell ref="K52:K53"/>
    <mergeCell ref="J54:J55"/>
    <mergeCell ref="K54:K55"/>
    <mergeCell ref="J56:J57"/>
    <mergeCell ref="K56:K57"/>
    <mergeCell ref="J58:J59"/>
    <mergeCell ref="K58:K59"/>
    <mergeCell ref="J60:J61"/>
    <mergeCell ref="K60:K61"/>
    <mergeCell ref="J42:J43"/>
    <mergeCell ref="K42:K43"/>
    <mergeCell ref="J44:J45"/>
    <mergeCell ref="K44:K45"/>
    <mergeCell ref="J46:J47"/>
    <mergeCell ref="K46:K47"/>
    <mergeCell ref="J48:J49"/>
    <mergeCell ref="K48:K49"/>
    <mergeCell ref="J50:J51"/>
    <mergeCell ref="K50:K51"/>
    <mergeCell ref="J32:J33"/>
    <mergeCell ref="K32:K33"/>
    <mergeCell ref="J34:J35"/>
    <mergeCell ref="K34:K35"/>
    <mergeCell ref="J36:J37"/>
    <mergeCell ref="K36:K37"/>
    <mergeCell ref="J38:J39"/>
    <mergeCell ref="K38:K39"/>
    <mergeCell ref="J40:J41"/>
    <mergeCell ref="K40:K41"/>
    <mergeCell ref="J20:J21"/>
    <mergeCell ref="K20:K21"/>
    <mergeCell ref="J22:J23"/>
    <mergeCell ref="K22:K23"/>
    <mergeCell ref="J24:J25"/>
    <mergeCell ref="J26:J27"/>
    <mergeCell ref="K26:K27"/>
    <mergeCell ref="J28:J29"/>
    <mergeCell ref="J30:J31"/>
    <mergeCell ref="K30:K31"/>
    <mergeCell ref="J10:J11"/>
    <mergeCell ref="K10:K11"/>
    <mergeCell ref="J12:J13"/>
    <mergeCell ref="K12:K13"/>
    <mergeCell ref="J14:J15"/>
    <mergeCell ref="K14:K15"/>
    <mergeCell ref="J16:J17"/>
    <mergeCell ref="K16:K17"/>
    <mergeCell ref="J19:K19"/>
    <mergeCell ref="J1:K1"/>
    <mergeCell ref="J3:K3"/>
    <mergeCell ref="J4:J5"/>
    <mergeCell ref="K4:K5"/>
    <mergeCell ref="J6:J7"/>
    <mergeCell ref="K6:K7"/>
    <mergeCell ref="J8:J9"/>
    <mergeCell ref="K8:K9"/>
    <mergeCell ref="M15:M18"/>
    <mergeCell ref="N15:N18"/>
    <mergeCell ref="M20:M22"/>
    <mergeCell ref="N20:N22"/>
    <mergeCell ref="M24:M26"/>
    <mergeCell ref="N24:N26"/>
    <mergeCell ref="M30:M32"/>
    <mergeCell ref="N30:N32"/>
    <mergeCell ref="K24:K25"/>
    <mergeCell ref="K28:K29"/>
    <mergeCell ref="H72:H73"/>
    <mergeCell ref="E72:E73"/>
    <mergeCell ref="B72:B73"/>
    <mergeCell ref="E62:E63"/>
    <mergeCell ref="G62:G63"/>
    <mergeCell ref="H62:H63"/>
    <mergeCell ref="D62:D63"/>
    <mergeCell ref="H64:H65"/>
    <mergeCell ref="H68:H69"/>
    <mergeCell ref="E24:E25"/>
    <mergeCell ref="G24:G25"/>
    <mergeCell ref="H24:H25"/>
    <mergeCell ref="E34:E35"/>
    <mergeCell ref="H34:H35"/>
    <mergeCell ref="D46:D47"/>
    <mergeCell ref="G46:G47"/>
    <mergeCell ref="E46:E47"/>
    <mergeCell ref="H46:H47"/>
    <mergeCell ref="D52:D53"/>
    <mergeCell ref="G52:G53"/>
    <mergeCell ref="B52:B53"/>
    <mergeCell ref="E52:E53"/>
    <mergeCell ref="H52:H53"/>
    <mergeCell ref="H50:H51"/>
    <mergeCell ref="H48:H49"/>
    <mergeCell ref="A56:A57"/>
    <mergeCell ref="A58:A59"/>
    <mergeCell ref="B56:B57"/>
    <mergeCell ref="B58:B59"/>
    <mergeCell ref="D56:D57"/>
    <mergeCell ref="A74:A75"/>
    <mergeCell ref="D74:D75"/>
    <mergeCell ref="G74:G75"/>
    <mergeCell ref="D64:D65"/>
    <mergeCell ref="E64:E65"/>
    <mergeCell ref="G64:G65"/>
    <mergeCell ref="A66:A67"/>
    <mergeCell ref="B66:B67"/>
    <mergeCell ref="D66:D67"/>
    <mergeCell ref="G68:G69"/>
    <mergeCell ref="A72:A73"/>
    <mergeCell ref="D72:D73"/>
    <mergeCell ref="G72:G73"/>
    <mergeCell ref="H74:H75"/>
    <mergeCell ref="E74:E75"/>
    <mergeCell ref="B74:B75"/>
    <mergeCell ref="D54:D55"/>
    <mergeCell ref="G54:G55"/>
    <mergeCell ref="A54:A55"/>
    <mergeCell ref="E54:E55"/>
    <mergeCell ref="E66:E67"/>
    <mergeCell ref="G66:G67"/>
    <mergeCell ref="H54:H55"/>
    <mergeCell ref="H56:H57"/>
    <mergeCell ref="H58:H59"/>
    <mergeCell ref="B54:B55"/>
    <mergeCell ref="A64:A65"/>
    <mergeCell ref="B64:B65"/>
    <mergeCell ref="A52:A53"/>
    <mergeCell ref="A48:A49"/>
    <mergeCell ref="D48:D49"/>
    <mergeCell ref="G48:G49"/>
    <mergeCell ref="B48:B49"/>
    <mergeCell ref="E48:E49"/>
    <mergeCell ref="D50:D51"/>
    <mergeCell ref="E50:E51"/>
    <mergeCell ref="G50:G51"/>
    <mergeCell ref="A76:A77"/>
    <mergeCell ref="B76:B77"/>
    <mergeCell ref="D76:D77"/>
    <mergeCell ref="E76:E77"/>
    <mergeCell ref="G76:G77"/>
    <mergeCell ref="H76:H77"/>
    <mergeCell ref="H66:H67"/>
    <mergeCell ref="A70:A71"/>
    <mergeCell ref="B70:B71"/>
    <mergeCell ref="D70:D71"/>
    <mergeCell ref="E70:E71"/>
    <mergeCell ref="G70:G71"/>
    <mergeCell ref="H70:H71"/>
    <mergeCell ref="A68:A69"/>
    <mergeCell ref="B68:B69"/>
    <mergeCell ref="D68:D69"/>
    <mergeCell ref="E68:E69"/>
    <mergeCell ref="A32:A33"/>
    <mergeCell ref="B32:B33"/>
    <mergeCell ref="A50:A51"/>
    <mergeCell ref="B50:B51"/>
    <mergeCell ref="A34:A35"/>
    <mergeCell ref="B34:B35"/>
    <mergeCell ref="A62:A63"/>
    <mergeCell ref="B62:B63"/>
    <mergeCell ref="A60:A61"/>
    <mergeCell ref="A46:A47"/>
    <mergeCell ref="B46:B47"/>
    <mergeCell ref="A36:A37"/>
    <mergeCell ref="B36:B37"/>
    <mergeCell ref="D36:D37"/>
    <mergeCell ref="E36:E37"/>
    <mergeCell ref="A38:A39"/>
    <mergeCell ref="B38:B39"/>
    <mergeCell ref="A44:A45"/>
    <mergeCell ref="B44:B45"/>
    <mergeCell ref="D44:D45"/>
    <mergeCell ref="E44:E45"/>
    <mergeCell ref="G44:G45"/>
    <mergeCell ref="H44:H45"/>
    <mergeCell ref="H38:H39"/>
    <mergeCell ref="A26:A27"/>
    <mergeCell ref="B26:B27"/>
    <mergeCell ref="D26:D27"/>
    <mergeCell ref="E26:E27"/>
    <mergeCell ref="G26:G27"/>
    <mergeCell ref="H26:H27"/>
    <mergeCell ref="A42:A43"/>
    <mergeCell ref="B42:B43"/>
    <mergeCell ref="D42:D43"/>
    <mergeCell ref="D38:D39"/>
    <mergeCell ref="A40:A41"/>
    <mergeCell ref="B40:B41"/>
    <mergeCell ref="D40:D41"/>
    <mergeCell ref="E40:E41"/>
    <mergeCell ref="G40:G41"/>
    <mergeCell ref="H40:H41"/>
    <mergeCell ref="E42:E43"/>
    <mergeCell ref="G42:G43"/>
    <mergeCell ref="A30:A31"/>
    <mergeCell ref="B30:B31"/>
    <mergeCell ref="D30:D31"/>
    <mergeCell ref="E30:E31"/>
    <mergeCell ref="G30:G31"/>
    <mergeCell ref="H30:H31"/>
    <mergeCell ref="A28:A29"/>
    <mergeCell ref="B28:B29"/>
    <mergeCell ref="D28:D29"/>
    <mergeCell ref="E28:E29"/>
    <mergeCell ref="G28:G29"/>
    <mergeCell ref="H28:H29"/>
    <mergeCell ref="A19:B19"/>
    <mergeCell ref="D19:E19"/>
    <mergeCell ref="G19:H19"/>
    <mergeCell ref="A20:A21"/>
    <mergeCell ref="B20:B21"/>
    <mergeCell ref="D20:D21"/>
    <mergeCell ref="E20:E21"/>
    <mergeCell ref="G20:G21"/>
    <mergeCell ref="H20:H21"/>
    <mergeCell ref="A22:A23"/>
    <mergeCell ref="D22:D23"/>
    <mergeCell ref="A24:A25"/>
    <mergeCell ref="B24:B25"/>
    <mergeCell ref="D24:D25"/>
    <mergeCell ref="B22:B23"/>
    <mergeCell ref="A16:A17"/>
    <mergeCell ref="B16:B17"/>
    <mergeCell ref="D16:D17"/>
    <mergeCell ref="E16:E17"/>
    <mergeCell ref="H16:H17"/>
    <mergeCell ref="G16:G17"/>
    <mergeCell ref="A12:A13"/>
    <mergeCell ref="B12:B13"/>
    <mergeCell ref="D12:D13"/>
    <mergeCell ref="E12:E13"/>
    <mergeCell ref="G12:G13"/>
    <mergeCell ref="H12:H13"/>
    <mergeCell ref="A14:A15"/>
    <mergeCell ref="B14:B15"/>
    <mergeCell ref="H14:H15"/>
    <mergeCell ref="D14:D15"/>
    <mergeCell ref="E14:E15"/>
    <mergeCell ref="G14:G15"/>
    <mergeCell ref="A8:A9"/>
    <mergeCell ref="B8:B9"/>
    <mergeCell ref="D8:D9"/>
    <mergeCell ref="E8:E9"/>
    <mergeCell ref="G8:G9"/>
    <mergeCell ref="H8:H9"/>
    <mergeCell ref="A10:A11"/>
    <mergeCell ref="B10:B11"/>
    <mergeCell ref="D10:D11"/>
    <mergeCell ref="E10:E11"/>
    <mergeCell ref="G10:G11"/>
    <mergeCell ref="H10:H11"/>
    <mergeCell ref="A1:B1"/>
    <mergeCell ref="D1:E1"/>
    <mergeCell ref="G1:H1"/>
    <mergeCell ref="A2:B2"/>
    <mergeCell ref="D2:E2"/>
    <mergeCell ref="A3:B3"/>
    <mergeCell ref="D3:E3"/>
    <mergeCell ref="G3:H3"/>
    <mergeCell ref="G2:H2"/>
    <mergeCell ref="J2:K2"/>
    <mergeCell ref="G4:G5"/>
    <mergeCell ref="H4:H5"/>
    <mergeCell ref="A4:A5"/>
    <mergeCell ref="D4:D5"/>
    <mergeCell ref="E4:E5"/>
    <mergeCell ref="B4:B5"/>
    <mergeCell ref="A6:A7"/>
    <mergeCell ref="B6:B7"/>
    <mergeCell ref="D6:D7"/>
    <mergeCell ref="E6:E7"/>
    <mergeCell ref="G6:G7"/>
    <mergeCell ref="H6:H7"/>
    <mergeCell ref="E22:E23"/>
    <mergeCell ref="G22:G23"/>
    <mergeCell ref="H22:H23"/>
    <mergeCell ref="G36:G37"/>
    <mergeCell ref="H36:H37"/>
    <mergeCell ref="B60:B61"/>
    <mergeCell ref="D60:D61"/>
    <mergeCell ref="E60:E61"/>
    <mergeCell ref="G60:G61"/>
    <mergeCell ref="H60:H61"/>
    <mergeCell ref="D32:D33"/>
    <mergeCell ref="E32:E33"/>
    <mergeCell ref="G32:G33"/>
    <mergeCell ref="H32:H33"/>
    <mergeCell ref="H42:H43"/>
    <mergeCell ref="E38:E39"/>
    <mergeCell ref="G38:G39"/>
    <mergeCell ref="D34:D35"/>
    <mergeCell ref="G34:G35"/>
    <mergeCell ref="D58:D59"/>
    <mergeCell ref="E56:E57"/>
    <mergeCell ref="E58:E59"/>
    <mergeCell ref="G56:G57"/>
    <mergeCell ref="G58:G5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I19 A16 C16:D16 F16:G16 I16 I36 I38 I40 I42 I44 I20 I26 A77 A20 A26 B37:C37 B39:C39 C38 B41:C41 C40 B43:C43 C42 B45:C45 C44 B35:C35 C36 E37:F37 E39:F39 F38 E41:F41 F40 E43:F43 F42 E45:F45 F44 E35:F35 F36 H37:I37 H39:I39 H41:I41 H43:I43 H45:I45 H35:I35 A60 A62 C20:D20 C26:D26 C60:D60 C62:D62 F20:G20 F26:G26 F60:G60 F62:G62 I60 I62 F63:I63 F17:I17 F77:G77 A24 C24:D24 F24:G24 I24 A17:D17 A76 C76:D76 F76:G76 I76 A21:I21 A27:I27 A63:D63 A25:I25 A29:I29 A28 C28:D28 A31:I31 A30 C30:D30 F30:I30 C77:D77 I77 I28 F28:G28 B61:I61 C34 F34 I34 B33:C33 E33:F33 H33:I33 C32 F32 I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4" bestFit="1" customWidth="1"/>
    <col min="3" max="3" width="15.7109375" style="8" customWidth="1"/>
    <col min="4" max="5" width="18.7109375" style="8" bestFit="1" customWidth="1"/>
    <col min="6" max="6" width="18.5703125" style="8" bestFit="1" customWidth="1"/>
    <col min="7" max="16384" width="9.140625" style="8"/>
  </cols>
  <sheetData>
    <row r="1" spans="1:6" ht="14.25" customHeight="1" x14ac:dyDescent="0.25">
      <c r="A1" s="20"/>
      <c r="B1" s="160"/>
      <c r="C1" s="654" t="s">
        <v>68</v>
      </c>
      <c r="D1" s="654" t="s">
        <v>8</v>
      </c>
      <c r="E1" s="652" t="s">
        <v>19</v>
      </c>
    </row>
    <row r="2" spans="1:6" ht="14.25" customHeight="1" thickBot="1" x14ac:dyDescent="0.3">
      <c r="A2" s="21"/>
      <c r="B2" s="161"/>
      <c r="C2" s="685"/>
      <c r="D2" s="685"/>
      <c r="E2" s="653"/>
    </row>
    <row r="3" spans="1:6" ht="14.25" customHeight="1" x14ac:dyDescent="0.25">
      <c r="A3" s="611" t="s">
        <v>52</v>
      </c>
      <c r="B3" s="664" t="s">
        <v>53</v>
      </c>
      <c r="C3" s="707" t="s">
        <v>65</v>
      </c>
      <c r="D3" s="707" t="s">
        <v>8</v>
      </c>
      <c r="E3" s="653"/>
    </row>
    <row r="4" spans="1:6" ht="15" customHeight="1" thickBot="1" x14ac:dyDescent="0.3">
      <c r="A4" s="663"/>
      <c r="B4" s="665"/>
      <c r="C4" s="679"/>
      <c r="D4" s="679"/>
      <c r="E4" s="653"/>
    </row>
    <row r="5" spans="1:6" s="43" customFormat="1" ht="14.25" thickBot="1" x14ac:dyDescent="0.3">
      <c r="A5" s="22" t="s">
        <v>3</v>
      </c>
      <c r="B5" s="162">
        <v>42856</v>
      </c>
      <c r="C5" s="9"/>
      <c r="D5" s="15"/>
      <c r="E5" s="14">
        <f t="shared" ref="E5:E11" si="0">SUM(C5:D5)</f>
        <v>0</v>
      </c>
    </row>
    <row r="6" spans="1:6" s="43" customFormat="1" ht="14.25" thickBot="1" x14ac:dyDescent="0.3">
      <c r="A6" s="22" t="s">
        <v>4</v>
      </c>
      <c r="B6" s="176">
        <v>42948</v>
      </c>
      <c r="C6" s="9"/>
      <c r="D6" s="15"/>
      <c r="E6" s="14">
        <f t="shared" si="0"/>
        <v>0</v>
      </c>
    </row>
    <row r="7" spans="1:6" s="43" customFormat="1" ht="14.25" thickBot="1" x14ac:dyDescent="0.3">
      <c r="A7" s="22" t="s">
        <v>5</v>
      </c>
      <c r="B7" s="176">
        <f>B6+1</f>
        <v>42949</v>
      </c>
      <c r="C7" s="9"/>
      <c r="D7" s="15"/>
      <c r="E7" s="14">
        <f t="shared" si="0"/>
        <v>0</v>
      </c>
    </row>
    <row r="8" spans="1:6" s="43" customFormat="1" ht="14.25" thickBot="1" x14ac:dyDescent="0.3">
      <c r="A8" s="22" t="s">
        <v>6</v>
      </c>
      <c r="B8" s="176">
        <f>B7+1</f>
        <v>42950</v>
      </c>
      <c r="C8" s="9"/>
      <c r="D8" s="15"/>
      <c r="E8" s="14">
        <f t="shared" si="0"/>
        <v>0</v>
      </c>
      <c r="F8" s="142"/>
    </row>
    <row r="9" spans="1:6" s="43" customFormat="1" ht="14.25" thickBot="1" x14ac:dyDescent="0.3">
      <c r="A9" s="22" t="s">
        <v>0</v>
      </c>
      <c r="B9" s="176">
        <f>B8+1</f>
        <v>42951</v>
      </c>
      <c r="C9" s="9"/>
      <c r="D9" s="15"/>
      <c r="E9" s="14">
        <f t="shared" si="0"/>
        <v>0</v>
      </c>
      <c r="F9" s="142"/>
    </row>
    <row r="10" spans="1:6" s="43" customFormat="1" ht="14.25" customHeight="1" outlineLevel="1" thickBot="1" x14ac:dyDescent="0.3">
      <c r="A10" s="22" t="s">
        <v>1</v>
      </c>
      <c r="B10" s="176">
        <f>B9+1</f>
        <v>42952</v>
      </c>
      <c r="C10" s="15"/>
      <c r="D10" s="15"/>
      <c r="E10" s="14">
        <f t="shared" si="0"/>
        <v>0</v>
      </c>
      <c r="F10" s="142"/>
    </row>
    <row r="11" spans="1:6" s="43" customFormat="1" ht="15" customHeight="1" outlineLevel="1" thickBot="1" x14ac:dyDescent="0.3">
      <c r="A11" s="22" t="s">
        <v>2</v>
      </c>
      <c r="B11" s="176">
        <f>B10+1</f>
        <v>42953</v>
      </c>
      <c r="C11" s="18"/>
      <c r="D11" s="18"/>
      <c r="E11" s="14">
        <f t="shared" si="0"/>
        <v>0</v>
      </c>
      <c r="F11" s="142"/>
    </row>
    <row r="12" spans="1:6" s="44" customFormat="1" ht="15" customHeight="1" outlineLevel="1" thickBot="1" x14ac:dyDescent="0.3">
      <c r="A12" s="150" t="s">
        <v>21</v>
      </c>
      <c r="B12" s="619" t="s">
        <v>24</v>
      </c>
      <c r="C12" s="106">
        <f>SUM(C5:C11)</f>
        <v>0</v>
      </c>
      <c r="D12" s="106">
        <f>SUM(D5:D11)</f>
        <v>0</v>
      </c>
      <c r="E12" s="109">
        <f>SUM(E5:E11)</f>
        <v>0</v>
      </c>
    </row>
    <row r="13" spans="1:6" s="44" customFormat="1" ht="15" customHeight="1" outlineLevel="1" thickBot="1" x14ac:dyDescent="0.3">
      <c r="A13" s="101" t="s">
        <v>23</v>
      </c>
      <c r="B13" s="620"/>
      <c r="C13" s="102" t="e">
        <f>AVERAGE(C5:C11)</f>
        <v>#DIV/0!</v>
      </c>
      <c r="D13" s="102" t="e">
        <f>AVERAGE(D5:D11)</f>
        <v>#DIV/0!</v>
      </c>
      <c r="E13" s="105">
        <f>AVERAGE(E5:E11)</f>
        <v>0</v>
      </c>
    </row>
    <row r="14" spans="1:6" s="44" customFormat="1" ht="15" customHeight="1" thickBot="1" x14ac:dyDescent="0.3">
      <c r="A14" s="23" t="s">
        <v>20</v>
      </c>
      <c r="B14" s="620"/>
      <c r="C14" s="24">
        <f>SUM(C5:C9)</f>
        <v>0</v>
      </c>
      <c r="D14" s="24">
        <f>SUM(D5:D9)</f>
        <v>0</v>
      </c>
      <c r="E14" s="24">
        <f>SUM(E5:E9)</f>
        <v>0</v>
      </c>
    </row>
    <row r="15" spans="1:6" s="44" customFormat="1" ht="15" customHeight="1" thickBot="1" x14ac:dyDescent="0.3">
      <c r="A15" s="23" t="s">
        <v>22</v>
      </c>
      <c r="B15" s="620"/>
      <c r="C15" s="28" t="e">
        <f>AVERAGE(C5:C9)</f>
        <v>#DIV/0!</v>
      </c>
      <c r="D15" s="28" t="e">
        <f>AVERAGE(D5:D9)</f>
        <v>#DIV/0!</v>
      </c>
      <c r="E15" s="28">
        <f>AVERAGE(E5:E9)</f>
        <v>0</v>
      </c>
    </row>
    <row r="16" spans="1:6" s="44" customFormat="1" ht="15" customHeight="1" thickBot="1" x14ac:dyDescent="0.3">
      <c r="A16" s="22" t="s">
        <v>3</v>
      </c>
      <c r="B16" s="162">
        <f>B11+1</f>
        <v>42954</v>
      </c>
      <c r="C16" s="9"/>
      <c r="D16" s="10"/>
      <c r="E16" s="13">
        <f t="shared" ref="E16:E22" si="1">SUM(C16:D16)</f>
        <v>0</v>
      </c>
    </row>
    <row r="17" spans="1:6" s="44" customFormat="1" ht="15" customHeight="1" thickBot="1" x14ac:dyDescent="0.3">
      <c r="A17" s="22" t="s">
        <v>4</v>
      </c>
      <c r="B17" s="163">
        <f t="shared" ref="B17:B22" si="2">B16+1</f>
        <v>42955</v>
      </c>
      <c r="C17" s="9"/>
      <c r="D17" s="16"/>
      <c r="E17" s="14">
        <f t="shared" si="1"/>
        <v>0</v>
      </c>
    </row>
    <row r="18" spans="1:6" s="44" customFormat="1" ht="15" customHeight="1" thickBot="1" x14ac:dyDescent="0.3">
      <c r="A18" s="22" t="s">
        <v>5</v>
      </c>
      <c r="B18" s="163">
        <f t="shared" si="2"/>
        <v>42956</v>
      </c>
      <c r="C18" s="9"/>
      <c r="D18" s="16"/>
      <c r="E18" s="14">
        <f t="shared" si="1"/>
        <v>0</v>
      </c>
    </row>
    <row r="19" spans="1:6" s="44" customFormat="1" ht="15" customHeight="1" thickBot="1" x14ac:dyDescent="0.3">
      <c r="A19" s="22" t="s">
        <v>6</v>
      </c>
      <c r="B19" s="164">
        <f t="shared" si="2"/>
        <v>42957</v>
      </c>
      <c r="C19" s="9"/>
      <c r="D19" s="16"/>
      <c r="E19" s="14">
        <f t="shared" si="1"/>
        <v>0</v>
      </c>
    </row>
    <row r="20" spans="1:6" s="44" customFormat="1" ht="15" customHeight="1" thickBot="1" x14ac:dyDescent="0.3">
      <c r="A20" s="22" t="s">
        <v>0</v>
      </c>
      <c r="B20" s="164">
        <f t="shared" si="2"/>
        <v>42958</v>
      </c>
      <c r="C20" s="9"/>
      <c r="D20" s="16"/>
      <c r="E20" s="14">
        <f t="shared" si="1"/>
        <v>0</v>
      </c>
    </row>
    <row r="21" spans="1:6" s="44" customFormat="1" ht="15" customHeight="1" outlineLevel="1" thickBot="1" x14ac:dyDescent="0.3">
      <c r="A21" s="22" t="s">
        <v>1</v>
      </c>
      <c r="B21" s="176">
        <f t="shared" si="2"/>
        <v>42959</v>
      </c>
      <c r="C21" s="15"/>
      <c r="D21" s="16"/>
      <c r="E21" s="14">
        <f t="shared" si="1"/>
        <v>0</v>
      </c>
      <c r="F21" s="145"/>
    </row>
    <row r="22" spans="1:6" s="44" customFormat="1" ht="15" customHeight="1" outlineLevel="1" thickBot="1" x14ac:dyDescent="0.3">
      <c r="A22" s="22" t="s">
        <v>2</v>
      </c>
      <c r="B22" s="163">
        <f t="shared" si="2"/>
        <v>42960</v>
      </c>
      <c r="C22" s="18"/>
      <c r="D22" s="19"/>
      <c r="E22" s="63">
        <f t="shared" si="1"/>
        <v>0</v>
      </c>
    </row>
    <row r="23" spans="1:6" s="44" customFormat="1" ht="15" customHeight="1" outlineLevel="1" thickBot="1" x14ac:dyDescent="0.3">
      <c r="A23" s="150" t="s">
        <v>21</v>
      </c>
      <c r="B23" s="619" t="s">
        <v>25</v>
      </c>
      <c r="C23" s="106">
        <f>SUM(C16:C22)</f>
        <v>0</v>
      </c>
      <c r="D23" s="106">
        <f>SUM(D16:D22)</f>
        <v>0</v>
      </c>
      <c r="E23" s="106">
        <f>SUM(E16:E22)</f>
        <v>0</v>
      </c>
    </row>
    <row r="24" spans="1:6" s="44" customFormat="1" ht="15" customHeight="1" outlineLevel="1" thickBot="1" x14ac:dyDescent="0.3">
      <c r="A24" s="101" t="s">
        <v>23</v>
      </c>
      <c r="B24" s="620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4" customFormat="1" ht="15" customHeight="1" thickBot="1" x14ac:dyDescent="0.3">
      <c r="A25" s="23" t="s">
        <v>20</v>
      </c>
      <c r="B25" s="620"/>
      <c r="C25" s="24">
        <f>SUM(C16:C20)</f>
        <v>0</v>
      </c>
      <c r="D25" s="24">
        <f>SUM(D16:D20)</f>
        <v>0</v>
      </c>
      <c r="E25" s="24">
        <f>SUM(E16:E20)</f>
        <v>0</v>
      </c>
    </row>
    <row r="26" spans="1:6" s="44" customFormat="1" ht="15" customHeight="1" thickBot="1" x14ac:dyDescent="0.3">
      <c r="A26" s="23" t="s">
        <v>22</v>
      </c>
      <c r="B26" s="621"/>
      <c r="C26" s="28" t="e">
        <f>AVERAGE(C16:C20)</f>
        <v>#DIV/0!</v>
      </c>
      <c r="D26" s="28" t="e">
        <f>AVERAGE(D16:D20)</f>
        <v>#DIV/0!</v>
      </c>
      <c r="E26" s="28">
        <f>AVERAGE(E16:E20)</f>
        <v>0</v>
      </c>
    </row>
    <row r="27" spans="1:6" s="44" customFormat="1" ht="15" customHeight="1" thickBot="1" x14ac:dyDescent="0.3">
      <c r="A27" s="22" t="s">
        <v>3</v>
      </c>
      <c r="B27" s="165">
        <f>B22+1</f>
        <v>42961</v>
      </c>
      <c r="C27" s="9"/>
      <c r="D27" s="9"/>
      <c r="E27" s="13">
        <f t="shared" ref="E27:E33" si="3">SUM(C27:D27)</f>
        <v>0</v>
      </c>
    </row>
    <row r="28" spans="1:6" s="44" customFormat="1" ht="15" customHeight="1" thickBot="1" x14ac:dyDescent="0.3">
      <c r="A28" s="22" t="s">
        <v>4</v>
      </c>
      <c r="B28" s="166">
        <f t="shared" ref="B28:B33" si="4">B27+1</f>
        <v>42962</v>
      </c>
      <c r="C28" s="9"/>
      <c r="D28" s="15"/>
      <c r="E28" s="14">
        <f t="shared" si="3"/>
        <v>0</v>
      </c>
    </row>
    <row r="29" spans="1:6" s="44" customFormat="1" ht="15" customHeight="1" thickBot="1" x14ac:dyDescent="0.3">
      <c r="A29" s="22" t="s">
        <v>5</v>
      </c>
      <c r="B29" s="166">
        <f t="shared" si="4"/>
        <v>42963</v>
      </c>
      <c r="C29" s="9"/>
      <c r="D29" s="15"/>
      <c r="E29" s="14">
        <f t="shared" si="3"/>
        <v>0</v>
      </c>
    </row>
    <row r="30" spans="1:6" s="44" customFormat="1" ht="15" customHeight="1" thickBot="1" x14ac:dyDescent="0.3">
      <c r="A30" s="22" t="s">
        <v>6</v>
      </c>
      <c r="B30" s="166">
        <f t="shared" si="4"/>
        <v>42964</v>
      </c>
      <c r="C30" s="9"/>
      <c r="D30" s="15"/>
      <c r="E30" s="14">
        <f t="shared" si="3"/>
        <v>0</v>
      </c>
    </row>
    <row r="31" spans="1:6" s="44" customFormat="1" ht="15" customHeight="1" thickBot="1" x14ac:dyDescent="0.3">
      <c r="A31" s="22" t="s">
        <v>0</v>
      </c>
      <c r="B31" s="166">
        <f t="shared" si="4"/>
        <v>42965</v>
      </c>
      <c r="C31" s="9"/>
      <c r="D31" s="15"/>
      <c r="E31" s="14">
        <f t="shared" si="3"/>
        <v>0</v>
      </c>
    </row>
    <row r="32" spans="1:6" s="44" customFormat="1" ht="15" customHeight="1" outlineLevel="1" thickBot="1" x14ac:dyDescent="0.3">
      <c r="A32" s="22" t="s">
        <v>1</v>
      </c>
      <c r="B32" s="166">
        <f t="shared" si="4"/>
        <v>42966</v>
      </c>
      <c r="C32" s="15"/>
      <c r="D32" s="15"/>
      <c r="E32" s="14">
        <f t="shared" si="3"/>
        <v>0</v>
      </c>
    </row>
    <row r="33" spans="1:6" s="44" customFormat="1" ht="15" customHeight="1" outlineLevel="1" thickBot="1" x14ac:dyDescent="0.3">
      <c r="A33" s="22" t="s">
        <v>2</v>
      </c>
      <c r="B33" s="166">
        <f t="shared" si="4"/>
        <v>42967</v>
      </c>
      <c r="C33" s="18"/>
      <c r="D33" s="18"/>
      <c r="E33" s="63">
        <f t="shared" si="3"/>
        <v>0</v>
      </c>
      <c r="F33" s="145"/>
    </row>
    <row r="34" spans="1:6" s="44" customFormat="1" ht="15" customHeight="1" outlineLevel="1" thickBot="1" x14ac:dyDescent="0.3">
      <c r="A34" s="150" t="s">
        <v>21</v>
      </c>
      <c r="B34" s="619" t="s">
        <v>26</v>
      </c>
      <c r="C34" s="106">
        <f>SUM(C27:C33)</f>
        <v>0</v>
      </c>
      <c r="D34" s="106">
        <f>SUM(D27:D33)</f>
        <v>0</v>
      </c>
      <c r="E34" s="106">
        <f>SUM(E27:E33)</f>
        <v>0</v>
      </c>
    </row>
    <row r="35" spans="1:6" s="44" customFormat="1" ht="15" customHeight="1" outlineLevel="1" thickBot="1" x14ac:dyDescent="0.3">
      <c r="A35" s="101" t="s">
        <v>23</v>
      </c>
      <c r="B35" s="620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4" customFormat="1" ht="15" customHeight="1" thickBot="1" x14ac:dyDescent="0.3">
      <c r="A36" s="23" t="s">
        <v>20</v>
      </c>
      <c r="B36" s="620"/>
      <c r="C36" s="24">
        <f>SUM(C27:C31)</f>
        <v>0</v>
      </c>
      <c r="D36" s="24">
        <f>SUM(D27:D31)</f>
        <v>0</v>
      </c>
      <c r="E36" s="24">
        <f>SUM(E27:E31)</f>
        <v>0</v>
      </c>
    </row>
    <row r="37" spans="1:6" s="44" customFormat="1" ht="15" customHeight="1" thickBot="1" x14ac:dyDescent="0.3">
      <c r="A37" s="23" t="s">
        <v>22</v>
      </c>
      <c r="B37" s="621"/>
      <c r="C37" s="28" t="e">
        <f>AVERAGE(C27:C31)</f>
        <v>#DIV/0!</v>
      </c>
      <c r="D37" s="28" t="e">
        <f>AVERAGE(D27:D31)</f>
        <v>#DIV/0!</v>
      </c>
      <c r="E37" s="28">
        <f>AVERAGE(E27:E31)</f>
        <v>0</v>
      </c>
    </row>
    <row r="38" spans="1:6" s="44" customFormat="1" ht="15" customHeight="1" thickBot="1" x14ac:dyDescent="0.3">
      <c r="A38" s="22" t="s">
        <v>3</v>
      </c>
      <c r="B38" s="167">
        <f>B33+1</f>
        <v>42968</v>
      </c>
      <c r="C38" s="9"/>
      <c r="D38" s="9"/>
      <c r="E38" s="13">
        <f t="shared" ref="E38:E44" si="5">SUM(C38:D38)</f>
        <v>0</v>
      </c>
      <c r="F38" s="145"/>
    </row>
    <row r="39" spans="1:6" s="44" customFormat="1" ht="15" customHeight="1" thickBot="1" x14ac:dyDescent="0.3">
      <c r="A39" s="22" t="s">
        <v>4</v>
      </c>
      <c r="B39" s="168">
        <f t="shared" ref="B39:B44" si="6">B38+1</f>
        <v>42969</v>
      </c>
      <c r="C39" s="9"/>
      <c r="D39" s="15"/>
      <c r="E39" s="14">
        <f t="shared" si="5"/>
        <v>0</v>
      </c>
      <c r="F39" s="145"/>
    </row>
    <row r="40" spans="1:6" s="44" customFormat="1" ht="15" customHeight="1" thickBot="1" x14ac:dyDescent="0.3">
      <c r="A40" s="22" t="s">
        <v>5</v>
      </c>
      <c r="B40" s="168">
        <f t="shared" si="6"/>
        <v>42970</v>
      </c>
      <c r="C40" s="9"/>
      <c r="D40" s="15"/>
      <c r="E40" s="14">
        <f t="shared" si="5"/>
        <v>0</v>
      </c>
      <c r="F40" s="145"/>
    </row>
    <row r="41" spans="1:6" s="44" customFormat="1" ht="15" customHeight="1" thickBot="1" x14ac:dyDescent="0.3">
      <c r="A41" s="22" t="s">
        <v>6</v>
      </c>
      <c r="B41" s="168">
        <f t="shared" si="6"/>
        <v>42971</v>
      </c>
      <c r="C41" s="9"/>
      <c r="D41" s="15"/>
      <c r="E41" s="14">
        <f t="shared" si="5"/>
        <v>0</v>
      </c>
      <c r="F41" s="145"/>
    </row>
    <row r="42" spans="1:6" s="44" customFormat="1" ht="15" customHeight="1" thickBot="1" x14ac:dyDescent="0.3">
      <c r="A42" s="22" t="s">
        <v>0</v>
      </c>
      <c r="B42" s="168">
        <f t="shared" si="6"/>
        <v>42972</v>
      </c>
      <c r="C42" s="9"/>
      <c r="D42" s="15"/>
      <c r="E42" s="14">
        <f t="shared" si="5"/>
        <v>0</v>
      </c>
      <c r="F42" s="145"/>
    </row>
    <row r="43" spans="1:6" s="44" customFormat="1" ht="15" customHeight="1" outlineLevel="1" thickBot="1" x14ac:dyDescent="0.3">
      <c r="A43" s="22" t="s">
        <v>1</v>
      </c>
      <c r="B43" s="168">
        <f t="shared" si="6"/>
        <v>42973</v>
      </c>
      <c r="C43" s="15"/>
      <c r="D43" s="15"/>
      <c r="E43" s="14">
        <f t="shared" si="5"/>
        <v>0</v>
      </c>
      <c r="F43" s="145"/>
    </row>
    <row r="44" spans="1:6" s="44" customFormat="1" ht="15" customHeight="1" outlineLevel="1" thickBot="1" x14ac:dyDescent="0.3">
      <c r="A44" s="22" t="s">
        <v>2</v>
      </c>
      <c r="B44" s="168">
        <f t="shared" si="6"/>
        <v>42974</v>
      </c>
      <c r="C44" s="18"/>
      <c r="D44" s="18"/>
      <c r="E44" s="63">
        <f t="shared" si="5"/>
        <v>0</v>
      </c>
      <c r="F44" s="145"/>
    </row>
    <row r="45" spans="1:6" s="44" customFormat="1" ht="15" customHeight="1" outlineLevel="1" thickBot="1" x14ac:dyDescent="0.3">
      <c r="A45" s="150" t="s">
        <v>21</v>
      </c>
      <c r="B45" s="619" t="s">
        <v>27</v>
      </c>
      <c r="C45" s="106">
        <f>SUM(C38:C44)</f>
        <v>0</v>
      </c>
      <c r="D45" s="106">
        <f>SUM(D38:D44)</f>
        <v>0</v>
      </c>
      <c r="E45" s="106">
        <f>SUM(E38:E44)</f>
        <v>0</v>
      </c>
    </row>
    <row r="46" spans="1:6" s="44" customFormat="1" ht="15" customHeight="1" outlineLevel="1" thickBot="1" x14ac:dyDescent="0.3">
      <c r="A46" s="101" t="s">
        <v>23</v>
      </c>
      <c r="B46" s="620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4" customFormat="1" ht="15" customHeight="1" thickBot="1" x14ac:dyDescent="0.3">
      <c r="A47" s="23" t="s">
        <v>20</v>
      </c>
      <c r="B47" s="620"/>
      <c r="C47" s="24">
        <f>SUM(C38:C42)</f>
        <v>0</v>
      </c>
      <c r="D47" s="24">
        <f>SUM(D38:D42)</f>
        <v>0</v>
      </c>
      <c r="E47" s="24">
        <f>SUM(E38:E42)</f>
        <v>0</v>
      </c>
    </row>
    <row r="48" spans="1:6" s="44" customFormat="1" ht="15" customHeight="1" thickBot="1" x14ac:dyDescent="0.3">
      <c r="A48" s="23" t="s">
        <v>22</v>
      </c>
      <c r="B48" s="621"/>
      <c r="C48" s="28" t="e">
        <f>AVERAGE(C38:C42)</f>
        <v>#DIV/0!</v>
      </c>
      <c r="D48" s="28" t="e">
        <f>AVERAGE(D38:D42)</f>
        <v>#DIV/0!</v>
      </c>
      <c r="E48" s="28">
        <f>AVERAGE(E38:E42)</f>
        <v>0</v>
      </c>
    </row>
    <row r="49" spans="1:6" s="44" customFormat="1" ht="15" customHeight="1" thickBot="1" x14ac:dyDescent="0.3">
      <c r="A49" s="22" t="s">
        <v>3</v>
      </c>
      <c r="B49" s="167">
        <f>B44+1</f>
        <v>42975</v>
      </c>
      <c r="C49" s="48"/>
      <c r="D49" s="51"/>
      <c r="E49" s="14">
        <f t="shared" ref="E49:E55" si="7">SUM(C49:D49)</f>
        <v>0</v>
      </c>
      <c r="F49" s="145"/>
    </row>
    <row r="50" spans="1:6" s="44" customFormat="1" ht="15" customHeight="1" thickBot="1" x14ac:dyDescent="0.3">
      <c r="A50" s="141" t="s">
        <v>4</v>
      </c>
      <c r="B50" s="168">
        <f t="shared" ref="B50:B55" si="8">B49+1</f>
        <v>42976</v>
      </c>
      <c r="C50" s="9"/>
      <c r="D50" s="12"/>
      <c r="E50" s="14">
        <f t="shared" si="7"/>
        <v>0</v>
      </c>
      <c r="F50" s="145"/>
    </row>
    <row r="51" spans="1:6" s="44" customFormat="1" ht="13.5" customHeight="1" thickBot="1" x14ac:dyDescent="0.3">
      <c r="A51" s="141" t="s">
        <v>5</v>
      </c>
      <c r="B51" s="168">
        <f t="shared" si="8"/>
        <v>42977</v>
      </c>
      <c r="C51" s="9"/>
      <c r="D51" s="12"/>
      <c r="E51" s="14">
        <f t="shared" si="7"/>
        <v>0</v>
      </c>
      <c r="F51" s="145"/>
    </row>
    <row r="52" spans="1:6" s="44" customFormat="1" ht="15" customHeight="1" thickBot="1" x14ac:dyDescent="0.3">
      <c r="A52" s="141" t="s">
        <v>6</v>
      </c>
      <c r="B52" s="168">
        <f t="shared" si="8"/>
        <v>42978</v>
      </c>
      <c r="C52" s="9"/>
      <c r="D52" s="12"/>
      <c r="E52" s="14">
        <f t="shared" si="7"/>
        <v>0</v>
      </c>
      <c r="F52" s="145"/>
    </row>
    <row r="53" spans="1:6" s="44" customFormat="1" ht="14.25" thickBot="1" x14ac:dyDescent="0.3">
      <c r="A53" s="22" t="s">
        <v>0</v>
      </c>
      <c r="B53" s="170">
        <f t="shared" si="8"/>
        <v>42979</v>
      </c>
      <c r="C53" s="9"/>
      <c r="D53" s="12"/>
      <c r="E53" s="14">
        <f t="shared" si="7"/>
        <v>0</v>
      </c>
      <c r="F53" s="145"/>
    </row>
    <row r="54" spans="1:6" s="44" customFormat="1" ht="14.25" outlineLevel="1" thickBot="1" x14ac:dyDescent="0.3">
      <c r="A54" s="22" t="s">
        <v>1</v>
      </c>
      <c r="B54" s="170">
        <f t="shared" si="8"/>
        <v>42980</v>
      </c>
      <c r="C54" s="15"/>
      <c r="D54" s="15"/>
      <c r="E54" s="14">
        <f t="shared" si="7"/>
        <v>0</v>
      </c>
      <c r="F54" s="145"/>
    </row>
    <row r="55" spans="1:6" s="44" customFormat="1" ht="14.25" outlineLevel="1" thickBot="1" x14ac:dyDescent="0.3">
      <c r="A55" s="141" t="s">
        <v>2</v>
      </c>
      <c r="B55" s="170">
        <f t="shared" si="8"/>
        <v>42981</v>
      </c>
      <c r="C55" s="18"/>
      <c r="D55" s="18"/>
      <c r="E55" s="14">
        <f t="shared" si="7"/>
        <v>0</v>
      </c>
    </row>
    <row r="56" spans="1:6" s="44" customFormat="1" ht="15" customHeight="1" outlineLevel="1" thickBot="1" x14ac:dyDescent="0.3">
      <c r="A56" s="150" t="s">
        <v>21</v>
      </c>
      <c r="B56" s="619" t="s">
        <v>28</v>
      </c>
      <c r="C56" s="106">
        <f>SUM(C49:C55)</f>
        <v>0</v>
      </c>
      <c r="D56" s="106">
        <f>SUM(D49:D55)</f>
        <v>0</v>
      </c>
      <c r="E56" s="109">
        <f>SUM(E49:E55)</f>
        <v>0</v>
      </c>
    </row>
    <row r="57" spans="1:6" s="44" customFormat="1" ht="15" customHeight="1" outlineLevel="1" thickBot="1" x14ac:dyDescent="0.3">
      <c r="A57" s="101" t="s">
        <v>23</v>
      </c>
      <c r="B57" s="620"/>
      <c r="C57" s="102" t="e">
        <f>AVERAGE(C49:C55)</f>
        <v>#DIV/0!</v>
      </c>
      <c r="D57" s="102" t="e">
        <f>AVERAGE(D49:D55)</f>
        <v>#DIV/0!</v>
      </c>
      <c r="E57" s="105">
        <f>AVERAGE(E49:E55)</f>
        <v>0</v>
      </c>
    </row>
    <row r="58" spans="1:6" s="44" customFormat="1" ht="15" customHeight="1" thickBot="1" x14ac:dyDescent="0.3">
      <c r="A58" s="23" t="s">
        <v>20</v>
      </c>
      <c r="B58" s="620"/>
      <c r="C58" s="24">
        <f>SUM(C49:C53)</f>
        <v>0</v>
      </c>
      <c r="D58" s="24">
        <f>SUM(D49:D53)</f>
        <v>0</v>
      </c>
      <c r="E58" s="24">
        <f>SUM(E49:E53)</f>
        <v>0</v>
      </c>
    </row>
    <row r="59" spans="1:6" s="44" customFormat="1" ht="14.25" thickBot="1" x14ac:dyDescent="0.3">
      <c r="A59" s="23" t="s">
        <v>22</v>
      </c>
      <c r="B59" s="621"/>
      <c r="C59" s="28" t="e">
        <f>AVERAGE(C49:C53)</f>
        <v>#DIV/0!</v>
      </c>
      <c r="D59" s="28" t="e">
        <f>AVERAGE(D49:D53)</f>
        <v>#DIV/0!</v>
      </c>
      <c r="E59" s="28">
        <f>AVERAGE(E49:E53)</f>
        <v>0</v>
      </c>
    </row>
    <row r="60" spans="1:6" s="44" customFormat="1" ht="14.25" thickBot="1" x14ac:dyDescent="0.3">
      <c r="A60" s="141" t="s">
        <v>3</v>
      </c>
      <c r="B60" s="167">
        <f>B55+1</f>
        <v>42982</v>
      </c>
      <c r="C60" s="9"/>
      <c r="D60" s="9"/>
      <c r="E60" s="14">
        <f>SUM(C60:D60)</f>
        <v>0</v>
      </c>
    </row>
    <row r="61" spans="1:6" s="44" customFormat="1" ht="14.25" thickBot="1" x14ac:dyDescent="0.3">
      <c r="A61" s="141" t="s">
        <v>4</v>
      </c>
      <c r="B61" s="168">
        <f>B60+1</f>
        <v>42983</v>
      </c>
      <c r="C61" s="9"/>
      <c r="D61" s="15"/>
      <c r="E61" s="14"/>
    </row>
    <row r="62" spans="1:6" s="44" customFormat="1" ht="14.25" thickBot="1" x14ac:dyDescent="0.3">
      <c r="A62" s="141"/>
      <c r="B62" s="169"/>
      <c r="C62" s="9"/>
      <c r="D62" s="15"/>
      <c r="E62" s="14"/>
    </row>
    <row r="63" spans="1:6" s="44" customFormat="1" ht="14.25" thickBot="1" x14ac:dyDescent="0.3">
      <c r="A63" s="141"/>
      <c r="B63" s="169"/>
      <c r="C63" s="9"/>
      <c r="D63" s="15"/>
      <c r="E63" s="14"/>
    </row>
    <row r="64" spans="1:6" s="44" customFormat="1" ht="14.25" thickBot="1" x14ac:dyDescent="0.3">
      <c r="A64" s="22"/>
      <c r="B64" s="169"/>
      <c r="C64" s="9"/>
      <c r="D64" s="15"/>
      <c r="E64" s="14"/>
    </row>
    <row r="65" spans="1:6" s="44" customFormat="1" ht="14.25" thickBot="1" x14ac:dyDescent="0.3">
      <c r="A65" s="22"/>
      <c r="B65" s="169"/>
      <c r="C65" s="15"/>
      <c r="D65" s="15"/>
      <c r="E65" s="14"/>
    </row>
    <row r="66" spans="1:6" s="44" customFormat="1" ht="14.25" thickBot="1" x14ac:dyDescent="0.3">
      <c r="A66" s="22"/>
      <c r="B66" s="171"/>
      <c r="C66" s="18"/>
      <c r="D66" s="18"/>
      <c r="E66" s="63"/>
    </row>
    <row r="67" spans="1:6" s="44" customFormat="1" ht="14.25" thickBot="1" x14ac:dyDescent="0.3">
      <c r="A67" s="150" t="s">
        <v>21</v>
      </c>
      <c r="B67" s="619" t="s">
        <v>32</v>
      </c>
      <c r="C67" s="106">
        <f>SUM(C60:C66)</f>
        <v>0</v>
      </c>
      <c r="D67" s="106">
        <f>SUM(D60:D66)</f>
        <v>0</v>
      </c>
      <c r="E67" s="106">
        <f>SUM(E60:E66)</f>
        <v>0</v>
      </c>
    </row>
    <row r="68" spans="1:6" s="44" customFormat="1" ht="14.25" thickBot="1" x14ac:dyDescent="0.3">
      <c r="A68" s="101" t="s">
        <v>23</v>
      </c>
      <c r="B68" s="620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4" customFormat="1" ht="14.25" thickBot="1" x14ac:dyDescent="0.3">
      <c r="A69" s="23" t="s">
        <v>20</v>
      </c>
      <c r="B69" s="620"/>
      <c r="C69" s="24">
        <f>SUM(C60:C64)</f>
        <v>0</v>
      </c>
      <c r="D69" s="24">
        <f>SUM(D60:D64)</f>
        <v>0</v>
      </c>
      <c r="E69" s="24">
        <f>SUM(E60:E64)</f>
        <v>0</v>
      </c>
    </row>
    <row r="70" spans="1:6" s="44" customFormat="1" ht="14.25" thickBot="1" x14ac:dyDescent="0.3">
      <c r="A70" s="23" t="s">
        <v>22</v>
      </c>
      <c r="B70" s="621"/>
      <c r="C70" s="28" t="e">
        <f>AVERAGE(C60:C64)</f>
        <v>#DIV/0!</v>
      </c>
      <c r="D70" s="28" t="e">
        <f>AVERAGE(D60:D64)</f>
        <v>#DIV/0!</v>
      </c>
      <c r="E70" s="28">
        <f>AVERAGE(E60:E64)</f>
        <v>0</v>
      </c>
    </row>
    <row r="71" spans="1:6" s="44" customFormat="1" x14ac:dyDescent="0.25">
      <c r="A71" s="4"/>
      <c r="B71" s="123"/>
      <c r="C71" s="47"/>
      <c r="D71" s="47"/>
      <c r="E71" s="47"/>
    </row>
    <row r="72" spans="1:6" s="44" customFormat="1" x14ac:dyDescent="0.25">
      <c r="B72" s="179"/>
      <c r="C72" s="36" t="s">
        <v>67</v>
      </c>
      <c r="D72" s="36" t="s">
        <v>8</v>
      </c>
      <c r="E72" s="666" t="s">
        <v>73</v>
      </c>
      <c r="F72" s="668"/>
    </row>
    <row r="73" spans="1:6" ht="25.5" x14ac:dyDescent="0.25">
      <c r="A73" s="8"/>
      <c r="B73" s="39" t="s">
        <v>30</v>
      </c>
      <c r="C73" s="180">
        <f>SUM(C58:C58, C47:C47, C36:C36, C25:C25, C14:C14, C69:C69)</f>
        <v>0</v>
      </c>
      <c r="D73" s="34">
        <f>SUM(D69:D69, D58:D58, D47:D47, D36:D36, D25:D25, D14:D14)</f>
        <v>0</v>
      </c>
      <c r="E73" s="210" t="s">
        <v>30</v>
      </c>
      <c r="F73" s="98">
        <f>SUM(E14, E25, E36, E47, E58, E69)</f>
        <v>0</v>
      </c>
    </row>
    <row r="74" spans="1:6" ht="25.5" x14ac:dyDescent="0.25">
      <c r="A74" s="8"/>
      <c r="B74" s="39" t="s">
        <v>29</v>
      </c>
      <c r="C74" s="180">
        <f>SUM(C56:C56, C45:C45, C34:C34, C23:C23, C12:C12, C67:C67)</f>
        <v>0</v>
      </c>
      <c r="D74" s="34">
        <f>SUM(D67:D67, D56:D56, D45:D45, D34:D34, D23:D23, D12:D12)</f>
        <v>0</v>
      </c>
      <c r="E74" s="210" t="s">
        <v>29</v>
      </c>
      <c r="F74" s="99">
        <f>SUM(E56, E45, E34, E23, E12, E67)</f>
        <v>0</v>
      </c>
    </row>
    <row r="75" spans="1:6" x14ac:dyDescent="0.25">
      <c r="C75" s="124"/>
      <c r="E75" s="210" t="s">
        <v>22</v>
      </c>
      <c r="F75" s="99">
        <f>AVERAGE(E14, E25, E36, E47, E58, E69)</f>
        <v>0</v>
      </c>
    </row>
    <row r="76" spans="1:6" x14ac:dyDescent="0.25">
      <c r="C76" s="124"/>
      <c r="E76" s="210" t="s">
        <v>61</v>
      </c>
      <c r="F76" s="98">
        <f>AVERAGE(E56, E45, E34, E23, E12, E67)</f>
        <v>0</v>
      </c>
    </row>
    <row r="78" spans="1:6" x14ac:dyDescent="0.25">
      <c r="C78" s="143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4" bestFit="1" customWidth="1"/>
    <col min="2" max="2" width="10.140625" style="64" bestFit="1" customWidth="1"/>
    <col min="3" max="7" width="15.7109375" style="64" customWidth="1"/>
    <col min="8" max="8" width="16.28515625" style="64" bestFit="1" customWidth="1"/>
    <col min="9" max="16384" width="9.140625" style="64"/>
  </cols>
  <sheetData>
    <row r="1" spans="1:7" ht="15" customHeight="1" x14ac:dyDescent="0.25">
      <c r="B1" s="125"/>
      <c r="C1" s="654" t="s">
        <v>47</v>
      </c>
      <c r="D1" s="655"/>
      <c r="E1" s="654"/>
      <c r="F1" s="656"/>
      <c r="G1" s="652" t="s">
        <v>19</v>
      </c>
    </row>
    <row r="2" spans="1:7" ht="15" customHeight="1" thickBot="1" x14ac:dyDescent="0.3">
      <c r="B2" s="125"/>
      <c r="C2" s="685"/>
      <c r="D2" s="709"/>
      <c r="E2" s="685"/>
      <c r="F2" s="686"/>
      <c r="G2" s="653"/>
    </row>
    <row r="3" spans="1:7" x14ac:dyDescent="0.25">
      <c r="A3" s="678" t="s">
        <v>52</v>
      </c>
      <c r="B3" s="711" t="s">
        <v>53</v>
      </c>
      <c r="C3" s="707" t="s">
        <v>50</v>
      </c>
      <c r="D3" s="710" t="s">
        <v>51</v>
      </c>
      <c r="E3" s="707"/>
      <c r="F3" s="710"/>
      <c r="G3" s="653"/>
    </row>
    <row r="4" spans="1:7" ht="14.25" customHeight="1" thickBot="1" x14ac:dyDescent="0.3">
      <c r="A4" s="679"/>
      <c r="B4" s="712"/>
      <c r="C4" s="679"/>
      <c r="D4" s="677"/>
      <c r="E4" s="679"/>
      <c r="F4" s="677"/>
      <c r="G4" s="653"/>
    </row>
    <row r="5" spans="1:7" s="70" customFormat="1" ht="12.75" customHeight="1" thickBot="1" x14ac:dyDescent="0.3">
      <c r="A5" s="139"/>
      <c r="B5" s="122"/>
      <c r="C5" s="65"/>
      <c r="D5" s="66"/>
      <c r="E5" s="67"/>
      <c r="F5" s="68"/>
      <c r="G5" s="69"/>
    </row>
    <row r="6" spans="1:7" s="70" customFormat="1" ht="12.75" customHeight="1" thickBot="1" x14ac:dyDescent="0.3">
      <c r="A6" s="139"/>
      <c r="B6" s="115"/>
      <c r="C6" s="65"/>
      <c r="D6" s="66"/>
      <c r="E6" s="67"/>
      <c r="F6" s="68"/>
      <c r="G6" s="69"/>
    </row>
    <row r="7" spans="1:7" s="70" customFormat="1" ht="12.75" customHeight="1" thickBot="1" x14ac:dyDescent="0.3">
      <c r="A7" s="139"/>
      <c r="B7" s="115"/>
      <c r="C7" s="65"/>
      <c r="D7" s="66"/>
      <c r="E7" s="67"/>
      <c r="F7" s="68"/>
      <c r="G7" s="69"/>
    </row>
    <row r="8" spans="1:7" s="70" customFormat="1" ht="12.75" customHeight="1" thickBot="1" x14ac:dyDescent="0.3">
      <c r="A8" s="144"/>
      <c r="B8" s="115"/>
      <c r="C8" s="65"/>
      <c r="D8" s="66"/>
      <c r="E8" s="67"/>
      <c r="F8" s="68"/>
      <c r="G8" s="69"/>
    </row>
    <row r="9" spans="1:7" s="70" customFormat="1" ht="12.75" customHeight="1" thickBot="1" x14ac:dyDescent="0.3">
      <c r="A9" s="144"/>
      <c r="B9" s="115"/>
      <c r="C9" s="65"/>
      <c r="D9" s="66"/>
      <c r="E9" s="67"/>
      <c r="F9" s="68"/>
      <c r="G9" s="69"/>
    </row>
    <row r="10" spans="1:7" s="70" customFormat="1" ht="12.75" customHeight="1" outlineLevel="1" thickBot="1" x14ac:dyDescent="0.3">
      <c r="A10" s="144"/>
      <c r="B10" s="149"/>
      <c r="C10" s="67"/>
      <c r="D10" s="71"/>
      <c r="E10" s="67"/>
      <c r="F10" s="68"/>
      <c r="G10" s="69">
        <f>SUM(C10:F10)</f>
        <v>0</v>
      </c>
    </row>
    <row r="11" spans="1:7" s="70" customFormat="1" ht="14.25" outlineLevel="1" thickBot="1" x14ac:dyDescent="0.3">
      <c r="A11" s="144"/>
      <c r="B11" s="115"/>
      <c r="C11" s="72"/>
      <c r="D11" s="73"/>
      <c r="E11" s="72"/>
      <c r="F11" s="74"/>
      <c r="G11" s="69">
        <f>SUM(C11:F11)</f>
        <v>0</v>
      </c>
    </row>
    <row r="12" spans="1:7" s="76" customFormat="1" ht="14.25" customHeight="1" outlineLevel="1" thickBot="1" x14ac:dyDescent="0.3">
      <c r="A12" s="100" t="s">
        <v>21</v>
      </c>
      <c r="B12" s="619" t="s">
        <v>24</v>
      </c>
      <c r="C12" s="111">
        <f>SUM(C5:C11)</f>
        <v>0</v>
      </c>
      <c r="D12" s="111">
        <f>SUM(D5:D11)</f>
        <v>0</v>
      </c>
      <c r="E12" s="111">
        <f>SUM(E5:E11)</f>
        <v>0</v>
      </c>
      <c r="F12" s="111">
        <f>SUM(F5:F11)</f>
        <v>0</v>
      </c>
      <c r="G12" s="111">
        <f>SUM(G5:G11)</f>
        <v>0</v>
      </c>
    </row>
    <row r="13" spans="1:7" s="76" customFormat="1" ht="14.25" customHeight="1" outlineLevel="1" thickBot="1" x14ac:dyDescent="0.3">
      <c r="A13" s="101" t="s">
        <v>23</v>
      </c>
      <c r="B13" s="620"/>
      <c r="C13" s="112" t="e">
        <f>AVERAGE(C5:C11)</f>
        <v>#DIV/0!</v>
      </c>
      <c r="D13" s="112" t="e">
        <f>AVERAGE(D5:D11)</f>
        <v>#DIV/0!</v>
      </c>
      <c r="E13" s="112" t="e">
        <f>AVERAGE(E5:E11)</f>
        <v>#DIV/0!</v>
      </c>
      <c r="F13" s="112" t="e">
        <f>AVERAGE(F5:F11)</f>
        <v>#DIV/0!</v>
      </c>
      <c r="G13" s="112">
        <f>AVERAGE(G5:G11)</f>
        <v>0</v>
      </c>
    </row>
    <row r="14" spans="1:7" s="76" customFormat="1" ht="14.25" customHeight="1" thickBot="1" x14ac:dyDescent="0.3">
      <c r="A14" s="23" t="s">
        <v>20</v>
      </c>
      <c r="B14" s="620"/>
      <c r="C14" s="83">
        <f>SUM(C5:C9)</f>
        <v>0</v>
      </c>
      <c r="D14" s="83">
        <f>SUM(D5:D9)</f>
        <v>0</v>
      </c>
      <c r="E14" s="83">
        <f>SUM(E5:E9)</f>
        <v>0</v>
      </c>
      <c r="F14" s="83">
        <f>SUM(F5:F9)</f>
        <v>0</v>
      </c>
      <c r="G14" s="83">
        <f>SUM(G5:G9)</f>
        <v>0</v>
      </c>
    </row>
    <row r="15" spans="1:7" s="76" customFormat="1" ht="14.25" customHeight="1" thickBot="1" x14ac:dyDescent="0.3">
      <c r="A15" s="23" t="s">
        <v>22</v>
      </c>
      <c r="B15" s="621"/>
      <c r="C15" s="84" t="e">
        <f>AVERAGE(C5:C9)</f>
        <v>#DIV/0!</v>
      </c>
      <c r="D15" s="84" t="e">
        <f>AVERAGE(D5:D9)</f>
        <v>#DIV/0!</v>
      </c>
      <c r="E15" s="84" t="e">
        <f>AVERAGE(E5:E9)</f>
        <v>#DIV/0!</v>
      </c>
      <c r="F15" s="84" t="e">
        <f>AVERAGE(F5:F9)</f>
        <v>#DIV/0!</v>
      </c>
      <c r="G15" s="84" t="e">
        <f>AVERAGE(G5:G9)</f>
        <v>#DIV/0!</v>
      </c>
    </row>
    <row r="16" spans="1:7" s="76" customFormat="1" ht="13.5" customHeight="1" thickBot="1" x14ac:dyDescent="0.3">
      <c r="A16" s="22"/>
      <c r="B16" s="116"/>
      <c r="C16" s="65"/>
      <c r="D16" s="66"/>
      <c r="E16" s="65"/>
      <c r="F16" s="77"/>
      <c r="G16" s="146"/>
    </row>
    <row r="17" spans="1:7" s="76" customFormat="1" ht="13.5" customHeight="1" thickBot="1" x14ac:dyDescent="0.3">
      <c r="A17" s="22"/>
      <c r="B17" s="117"/>
      <c r="C17" s="65"/>
      <c r="D17" s="66"/>
      <c r="E17" s="67"/>
      <c r="F17" s="68"/>
      <c r="G17" s="146"/>
    </row>
    <row r="18" spans="1:7" s="76" customFormat="1" ht="15" customHeight="1" thickBot="1" x14ac:dyDescent="0.3">
      <c r="A18" s="22"/>
      <c r="B18" s="117"/>
      <c r="C18" s="65"/>
      <c r="D18" s="66"/>
      <c r="E18" s="67"/>
      <c r="F18" s="68"/>
      <c r="G18" s="146"/>
    </row>
    <row r="19" spans="1:7" s="76" customFormat="1" ht="14.25" customHeight="1" thickBot="1" x14ac:dyDescent="0.3">
      <c r="A19" s="22"/>
      <c r="B19" s="117"/>
      <c r="C19" s="65"/>
      <c r="D19" s="66"/>
      <c r="E19" s="67"/>
      <c r="F19" s="68"/>
      <c r="G19" s="146"/>
    </row>
    <row r="20" spans="1:7" s="76" customFormat="1" ht="14.25" customHeight="1" thickBot="1" x14ac:dyDescent="0.3">
      <c r="A20" s="22"/>
      <c r="B20" s="117"/>
      <c r="C20" s="65"/>
      <c r="D20" s="66"/>
      <c r="E20" s="67"/>
      <c r="F20" s="68"/>
      <c r="G20" s="146"/>
    </row>
    <row r="21" spans="1:7" s="76" customFormat="1" ht="14.25" customHeight="1" outlineLevel="1" thickBot="1" x14ac:dyDescent="0.3">
      <c r="A21" s="141"/>
      <c r="B21" s="117"/>
      <c r="C21" s="67"/>
      <c r="D21" s="71"/>
      <c r="E21" s="67"/>
      <c r="F21" s="68"/>
      <c r="G21" s="146">
        <f>SUM(C21:F21)</f>
        <v>0</v>
      </c>
    </row>
    <row r="22" spans="1:7" s="76" customFormat="1" ht="14.25" customHeight="1" outlineLevel="1" thickBot="1" x14ac:dyDescent="0.3">
      <c r="A22" s="141"/>
      <c r="B22" s="117"/>
      <c r="C22" s="72"/>
      <c r="D22" s="73"/>
      <c r="E22" s="72"/>
      <c r="F22" s="74"/>
      <c r="G22" s="146">
        <f>SUM(C22:F22)</f>
        <v>0</v>
      </c>
    </row>
    <row r="23" spans="1:7" s="76" customFormat="1" ht="14.25" customHeight="1" outlineLevel="1" thickBot="1" x14ac:dyDescent="0.3">
      <c r="A23" s="100" t="s">
        <v>21</v>
      </c>
      <c r="B23" s="619" t="s">
        <v>25</v>
      </c>
      <c r="C23" s="111">
        <f>SUM(C16:C22)</f>
        <v>0</v>
      </c>
      <c r="D23" s="111">
        <f>SUM(D16:D22)</f>
        <v>0</v>
      </c>
      <c r="E23" s="111">
        <f>SUM(E16:E22)</f>
        <v>0</v>
      </c>
      <c r="F23" s="111">
        <f>SUM(F16:F22)</f>
        <v>0</v>
      </c>
      <c r="G23" s="111">
        <f>SUM(G16:G22)</f>
        <v>0</v>
      </c>
    </row>
    <row r="24" spans="1:7" s="76" customFormat="1" ht="14.25" customHeight="1" outlineLevel="1" thickBot="1" x14ac:dyDescent="0.3">
      <c r="A24" s="101" t="s">
        <v>23</v>
      </c>
      <c r="B24" s="620"/>
      <c r="C24" s="112" t="e">
        <f>AVERAGE(C16:C22)</f>
        <v>#DIV/0!</v>
      </c>
      <c r="D24" s="112" t="e">
        <f>AVERAGE(D16:D22)</f>
        <v>#DIV/0!</v>
      </c>
      <c r="E24" s="112" t="e">
        <f>AVERAGE(E16:E22)</f>
        <v>#DIV/0!</v>
      </c>
      <c r="F24" s="112" t="e">
        <f>AVERAGE(F16:F22)</f>
        <v>#DIV/0!</v>
      </c>
      <c r="G24" s="112">
        <f>AVERAGE(G16:G22)</f>
        <v>0</v>
      </c>
    </row>
    <row r="25" spans="1:7" s="76" customFormat="1" ht="14.25" customHeight="1" thickBot="1" x14ac:dyDescent="0.3">
      <c r="A25" s="23" t="s">
        <v>20</v>
      </c>
      <c r="B25" s="620"/>
      <c r="C25" s="83">
        <f>SUM(C16:C20)</f>
        <v>0</v>
      </c>
      <c r="D25" s="83">
        <f>SUM(D16:D20)</f>
        <v>0</v>
      </c>
      <c r="E25" s="83">
        <f>SUM(E16:E20)</f>
        <v>0</v>
      </c>
      <c r="F25" s="83">
        <f>SUM(F16:F20)</f>
        <v>0</v>
      </c>
      <c r="G25" s="83">
        <f>SUM(G16:G20)</f>
        <v>0</v>
      </c>
    </row>
    <row r="26" spans="1:7" s="76" customFormat="1" ht="14.25" customHeight="1" thickBot="1" x14ac:dyDescent="0.3">
      <c r="A26" s="23" t="s">
        <v>22</v>
      </c>
      <c r="B26" s="621"/>
      <c r="C26" s="84" t="e">
        <f>AVERAGE(C16:C20)</f>
        <v>#DIV/0!</v>
      </c>
      <c r="D26" s="84" t="e">
        <f>AVERAGE(D16:D20)</f>
        <v>#DIV/0!</v>
      </c>
      <c r="E26" s="84" t="e">
        <f>AVERAGE(E16:E20)</f>
        <v>#DIV/0!</v>
      </c>
      <c r="F26" s="84" t="e">
        <f>AVERAGE(F16:F20)</f>
        <v>#DIV/0!</v>
      </c>
      <c r="G26" s="84" t="e">
        <f>AVERAGE(G16:G20)</f>
        <v>#DIV/0!</v>
      </c>
    </row>
    <row r="27" spans="1:7" s="76" customFormat="1" ht="14.25" customHeight="1" thickBot="1" x14ac:dyDescent="0.3">
      <c r="A27" s="22"/>
      <c r="B27" s="140"/>
      <c r="C27" s="65"/>
      <c r="D27" s="66"/>
      <c r="E27" s="65"/>
      <c r="F27" s="77"/>
      <c r="G27" s="146"/>
    </row>
    <row r="28" spans="1:7" s="76" customFormat="1" ht="15.75" customHeight="1" thickBot="1" x14ac:dyDescent="0.3">
      <c r="A28" s="22"/>
      <c r="B28" s="119"/>
      <c r="C28" s="65"/>
      <c r="D28" s="66"/>
      <c r="E28" s="67"/>
      <c r="F28" s="68"/>
      <c r="G28" s="146"/>
    </row>
    <row r="29" spans="1:7" s="76" customFormat="1" ht="13.5" customHeight="1" thickBot="1" x14ac:dyDescent="0.3">
      <c r="A29" s="22"/>
      <c r="B29" s="119"/>
      <c r="C29" s="65"/>
      <c r="D29" s="66"/>
      <c r="E29" s="67"/>
      <c r="F29" s="68"/>
      <c r="G29" s="146"/>
    </row>
    <row r="30" spans="1:7" s="76" customFormat="1" ht="12.75" customHeight="1" thickBot="1" x14ac:dyDescent="0.3">
      <c r="A30" s="22"/>
      <c r="B30" s="119"/>
      <c r="C30" s="65"/>
      <c r="D30" s="66"/>
      <c r="E30" s="67"/>
      <c r="F30" s="68"/>
      <c r="G30" s="146"/>
    </row>
    <row r="31" spans="1:7" s="76" customFormat="1" ht="14.25" thickBot="1" x14ac:dyDescent="0.3">
      <c r="A31" s="22"/>
      <c r="B31" s="119"/>
      <c r="C31" s="65"/>
      <c r="D31" s="66"/>
      <c r="E31" s="67"/>
      <c r="F31" s="68"/>
      <c r="G31" s="146"/>
    </row>
    <row r="32" spans="1:7" s="76" customFormat="1" ht="14.25" customHeight="1" outlineLevel="1" thickBot="1" x14ac:dyDescent="0.3">
      <c r="A32" s="141"/>
      <c r="B32" s="117"/>
      <c r="C32" s="67"/>
      <c r="D32" s="71"/>
      <c r="E32" s="67"/>
      <c r="F32" s="68"/>
      <c r="G32" s="146">
        <f>SUM(C32:F32)</f>
        <v>0</v>
      </c>
    </row>
    <row r="33" spans="1:8" s="76" customFormat="1" ht="14.25" customHeight="1" outlineLevel="1" thickBot="1" x14ac:dyDescent="0.3">
      <c r="A33" s="141"/>
      <c r="B33" s="117"/>
      <c r="C33" s="72"/>
      <c r="D33" s="73"/>
      <c r="E33" s="72"/>
      <c r="F33" s="74"/>
      <c r="G33" s="146">
        <f>SUM(C33:F33)</f>
        <v>0</v>
      </c>
    </row>
    <row r="34" spans="1:8" s="76" customFormat="1" ht="14.25" customHeight="1" outlineLevel="1" thickBot="1" x14ac:dyDescent="0.3">
      <c r="A34" s="100" t="s">
        <v>21</v>
      </c>
      <c r="B34" s="619" t="s">
        <v>26</v>
      </c>
      <c r="C34" s="111">
        <f>SUM(C27:C33)</f>
        <v>0</v>
      </c>
      <c r="D34" s="111">
        <f>SUM(D27:D33)</f>
        <v>0</v>
      </c>
      <c r="E34" s="111">
        <f>SUM(E27:E33)</f>
        <v>0</v>
      </c>
      <c r="F34" s="111">
        <f>SUM(F27:F33)</f>
        <v>0</v>
      </c>
      <c r="G34" s="111">
        <f>SUM(G27:G33)</f>
        <v>0</v>
      </c>
    </row>
    <row r="35" spans="1:8" s="76" customFormat="1" ht="14.25" customHeight="1" outlineLevel="1" thickBot="1" x14ac:dyDescent="0.3">
      <c r="A35" s="101" t="s">
        <v>23</v>
      </c>
      <c r="B35" s="620"/>
      <c r="C35" s="112" t="e">
        <f>AVERAGE(C27:C33)</f>
        <v>#DIV/0!</v>
      </c>
      <c r="D35" s="112" t="e">
        <f>AVERAGE(D27:D33)</f>
        <v>#DIV/0!</v>
      </c>
      <c r="E35" s="112" t="e">
        <f>AVERAGE(E27:E33)</f>
        <v>#DIV/0!</v>
      </c>
      <c r="F35" s="112" t="e">
        <f>AVERAGE(F27:F33)</f>
        <v>#DIV/0!</v>
      </c>
      <c r="G35" s="112">
        <f>AVERAGE(G27:G33)</f>
        <v>0</v>
      </c>
    </row>
    <row r="36" spans="1:8" s="76" customFormat="1" ht="14.25" customHeight="1" thickBot="1" x14ac:dyDescent="0.3">
      <c r="A36" s="23" t="s">
        <v>20</v>
      </c>
      <c r="B36" s="620"/>
      <c r="C36" s="83">
        <f>SUM(C27:C31)</f>
        <v>0</v>
      </c>
      <c r="D36" s="83">
        <f>SUM(D27:D31)</f>
        <v>0</v>
      </c>
      <c r="E36" s="83">
        <f>SUM(E27:E31)</f>
        <v>0</v>
      </c>
      <c r="F36" s="83">
        <f>SUM(F27:F31)</f>
        <v>0</v>
      </c>
      <c r="G36" s="83">
        <f>SUM(G27:G31)</f>
        <v>0</v>
      </c>
    </row>
    <row r="37" spans="1:8" s="76" customFormat="1" ht="15.75" customHeight="1" thickBot="1" x14ac:dyDescent="0.3">
      <c r="A37" s="23" t="s">
        <v>22</v>
      </c>
      <c r="B37" s="621"/>
      <c r="C37" s="84" t="e">
        <f>AVERAGE(C27:C31)</f>
        <v>#DIV/0!</v>
      </c>
      <c r="D37" s="84" t="e">
        <f>AVERAGE(D27:D31)</f>
        <v>#DIV/0!</v>
      </c>
      <c r="E37" s="84" t="e">
        <f>AVERAGE(E27:E31)</f>
        <v>#DIV/0!</v>
      </c>
      <c r="F37" s="84" t="e">
        <f>AVERAGE(F27:F31)</f>
        <v>#DIV/0!</v>
      </c>
      <c r="G37" s="84" t="e">
        <f>AVERAGE(G27:G31)</f>
        <v>#DIV/0!</v>
      </c>
    </row>
    <row r="38" spans="1:8" s="76" customFormat="1" ht="12.75" customHeight="1" thickBot="1" x14ac:dyDescent="0.3">
      <c r="A38" s="22"/>
      <c r="B38" s="140"/>
      <c r="C38" s="65"/>
      <c r="D38" s="66"/>
      <c r="E38" s="65"/>
      <c r="F38" s="77"/>
      <c r="G38" s="78"/>
    </row>
    <row r="39" spans="1:8" s="76" customFormat="1" ht="15.75" customHeight="1" thickBot="1" x14ac:dyDescent="0.3">
      <c r="A39" s="22"/>
      <c r="B39" s="119"/>
      <c r="C39" s="65"/>
      <c r="D39" s="66"/>
      <c r="E39" s="67"/>
      <c r="F39" s="68"/>
      <c r="G39" s="69"/>
    </row>
    <row r="40" spans="1:8" s="76" customFormat="1" ht="17.25" customHeight="1" thickBot="1" x14ac:dyDescent="0.3">
      <c r="A40" s="22"/>
      <c r="B40" s="119"/>
      <c r="C40" s="65"/>
      <c r="D40" s="66"/>
      <c r="E40" s="67"/>
      <c r="F40" s="68"/>
      <c r="G40" s="69"/>
    </row>
    <row r="41" spans="1:8" s="76" customFormat="1" ht="14.25" customHeight="1" thickBot="1" x14ac:dyDescent="0.3">
      <c r="A41" s="22"/>
      <c r="B41" s="119"/>
      <c r="C41" s="65"/>
      <c r="D41" s="66"/>
      <c r="E41" s="67"/>
      <c r="F41" s="68"/>
      <c r="G41" s="69"/>
    </row>
    <row r="42" spans="1:8" s="76" customFormat="1" ht="17.25" customHeight="1" thickBot="1" x14ac:dyDescent="0.3">
      <c r="A42" s="22"/>
      <c r="B42" s="119"/>
      <c r="C42" s="65"/>
      <c r="D42" s="66"/>
      <c r="E42" s="67"/>
      <c r="F42" s="68"/>
      <c r="G42" s="69"/>
    </row>
    <row r="43" spans="1:8" s="76" customFormat="1" ht="14.25" customHeight="1" outlineLevel="1" thickBot="1" x14ac:dyDescent="0.3">
      <c r="A43" s="141"/>
      <c r="B43" s="117"/>
      <c r="C43" s="67"/>
      <c r="D43" s="71"/>
      <c r="E43" s="67"/>
      <c r="F43" s="68"/>
      <c r="G43" s="69">
        <f>SUM(C43:F43)</f>
        <v>0</v>
      </c>
      <c r="H43" s="114"/>
    </row>
    <row r="44" spans="1:8" s="76" customFormat="1" ht="14.25" customHeight="1" outlineLevel="1" thickBot="1" x14ac:dyDescent="0.3">
      <c r="A44" s="141"/>
      <c r="B44" s="117"/>
      <c r="C44" s="72"/>
      <c r="D44" s="73"/>
      <c r="E44" s="72"/>
      <c r="F44" s="74"/>
      <c r="G44" s="75">
        <f>SUM(C44:F44)</f>
        <v>0</v>
      </c>
      <c r="H44" s="114"/>
    </row>
    <row r="45" spans="1:8" s="76" customFormat="1" ht="14.25" customHeight="1" outlineLevel="1" thickBot="1" x14ac:dyDescent="0.3">
      <c r="A45" s="100" t="s">
        <v>21</v>
      </c>
      <c r="B45" s="619" t="s">
        <v>27</v>
      </c>
      <c r="C45" s="111">
        <f>SUM(C38:C44)</f>
        <v>0</v>
      </c>
      <c r="D45" s="111">
        <f>SUM(D38:D44)</f>
        <v>0</v>
      </c>
      <c r="E45" s="111">
        <f>SUM(E38:E44)</f>
        <v>0</v>
      </c>
      <c r="F45" s="111">
        <f>SUM(F38:F44)</f>
        <v>0</v>
      </c>
      <c r="G45" s="111">
        <f>SUM(G38:G44)</f>
        <v>0</v>
      </c>
    </row>
    <row r="46" spans="1:8" s="76" customFormat="1" ht="14.25" customHeight="1" outlineLevel="1" thickBot="1" x14ac:dyDescent="0.3">
      <c r="A46" s="101" t="s">
        <v>23</v>
      </c>
      <c r="B46" s="620"/>
      <c r="C46" s="112" t="e">
        <f>AVERAGE(C38:C44)</f>
        <v>#DIV/0!</v>
      </c>
      <c r="D46" s="112" t="e">
        <f>AVERAGE(D38:D44)</f>
        <v>#DIV/0!</v>
      </c>
      <c r="E46" s="112" t="e">
        <f>AVERAGE(E38:E44)</f>
        <v>#DIV/0!</v>
      </c>
      <c r="F46" s="112" t="e">
        <f>AVERAGE(F38:F44)</f>
        <v>#DIV/0!</v>
      </c>
      <c r="G46" s="112">
        <f>AVERAGE(G38:G44)</f>
        <v>0</v>
      </c>
    </row>
    <row r="47" spans="1:8" s="76" customFormat="1" ht="14.25" customHeight="1" thickBot="1" x14ac:dyDescent="0.3">
      <c r="A47" s="23" t="s">
        <v>20</v>
      </c>
      <c r="B47" s="620"/>
      <c r="C47" s="83">
        <f>SUM(C38:C42)</f>
        <v>0</v>
      </c>
      <c r="D47" s="83">
        <f>SUM(D38:D42)</f>
        <v>0</v>
      </c>
      <c r="E47" s="83">
        <f>SUM(E38:E42)</f>
        <v>0</v>
      </c>
      <c r="F47" s="83">
        <f>SUM(F38:F42)</f>
        <v>0</v>
      </c>
      <c r="G47" s="83">
        <f>SUM(G38:G42)</f>
        <v>0</v>
      </c>
    </row>
    <row r="48" spans="1:8" s="76" customFormat="1" ht="13.5" customHeight="1" thickBot="1" x14ac:dyDescent="0.3">
      <c r="A48" s="23" t="s">
        <v>22</v>
      </c>
      <c r="B48" s="621"/>
      <c r="C48" s="84" t="e">
        <f>AVERAGE(C38:C42)</f>
        <v>#DIV/0!</v>
      </c>
      <c r="D48" s="84" t="e">
        <f>AVERAGE(D38:D42)</f>
        <v>#DIV/0!</v>
      </c>
      <c r="E48" s="84" t="e">
        <f>AVERAGE(E38:E42)</f>
        <v>#DIV/0!</v>
      </c>
      <c r="F48" s="84" t="e">
        <f>AVERAGE(F38:F42)</f>
        <v>#DIV/0!</v>
      </c>
      <c r="G48" s="84" t="e">
        <f>AVERAGE(G38:G42)</f>
        <v>#DIV/0!</v>
      </c>
    </row>
    <row r="49" spans="1:7" s="76" customFormat="1" ht="13.5" customHeight="1" thickBot="1" x14ac:dyDescent="0.3">
      <c r="A49" s="22"/>
      <c r="B49" s="118"/>
      <c r="C49" s="135"/>
      <c r="D49" s="136"/>
      <c r="E49" s="65"/>
      <c r="F49" s="77"/>
      <c r="G49" s="78"/>
    </row>
    <row r="50" spans="1:7" s="76" customFormat="1" ht="14.25" customHeight="1" thickBot="1" x14ac:dyDescent="0.3">
      <c r="A50" s="22"/>
      <c r="B50" s="134"/>
      <c r="C50" s="137"/>
      <c r="D50" s="138"/>
      <c r="E50" s="67"/>
      <c r="F50" s="68"/>
      <c r="G50" s="69"/>
    </row>
    <row r="51" spans="1:7" s="76" customFormat="1" ht="13.5" customHeight="1" thickBot="1" x14ac:dyDescent="0.3">
      <c r="A51" s="22"/>
      <c r="B51" s="134"/>
      <c r="C51" s="65"/>
      <c r="D51" s="77"/>
      <c r="E51" s="67"/>
      <c r="F51" s="68"/>
      <c r="G51" s="69"/>
    </row>
    <row r="52" spans="1:7" s="76" customFormat="1" ht="13.5" customHeight="1" thickBot="1" x14ac:dyDescent="0.3">
      <c r="A52" s="141"/>
      <c r="B52" s="134"/>
      <c r="C52" s="65"/>
      <c r="D52" s="77"/>
      <c r="E52" s="67"/>
      <c r="F52" s="68"/>
      <c r="G52" s="69"/>
    </row>
    <row r="53" spans="1:7" s="76" customFormat="1" ht="12" customHeight="1" x14ac:dyDescent="0.25">
      <c r="A53" s="141"/>
      <c r="B53" s="134"/>
      <c r="C53" s="135"/>
      <c r="D53" s="172"/>
      <c r="E53" s="72"/>
      <c r="F53" s="74"/>
      <c r="G53" s="75"/>
    </row>
    <row r="54" spans="1:7" s="76" customFormat="1" ht="14.25" customHeight="1" outlineLevel="1" thickBot="1" x14ac:dyDescent="0.3">
      <c r="A54" s="175"/>
      <c r="B54" s="183"/>
      <c r="C54" s="67"/>
      <c r="D54" s="68"/>
      <c r="E54" s="67"/>
      <c r="F54" s="68"/>
      <c r="G54" s="67">
        <f>SUM(C54:F54)</f>
        <v>0</v>
      </c>
    </row>
    <row r="55" spans="1:7" s="76" customFormat="1" ht="16.5" hidden="1" customHeight="1" outlineLevel="1" thickBot="1" x14ac:dyDescent="0.3">
      <c r="A55" s="141" t="s">
        <v>2</v>
      </c>
      <c r="B55" s="117">
        <f>B54+1</f>
        <v>1</v>
      </c>
      <c r="C55" s="173"/>
      <c r="D55" s="174"/>
      <c r="E55" s="135"/>
      <c r="F55" s="172"/>
      <c r="G55" s="67">
        <f>SUM(C55:F55)</f>
        <v>0</v>
      </c>
    </row>
    <row r="56" spans="1:7" s="76" customFormat="1" ht="16.5" customHeight="1" outlineLevel="1" thickBot="1" x14ac:dyDescent="0.3">
      <c r="A56" s="100" t="s">
        <v>21</v>
      </c>
      <c r="B56" s="619" t="s">
        <v>28</v>
      </c>
      <c r="C56" s="111">
        <f>SUM(C49:C55)</f>
        <v>0</v>
      </c>
      <c r="D56" s="111">
        <f>SUM(D49:D55)</f>
        <v>0</v>
      </c>
      <c r="E56" s="111">
        <f>SUM(E49:E55)</f>
        <v>0</v>
      </c>
      <c r="F56" s="111">
        <f>SUM(F49:F55)</f>
        <v>0</v>
      </c>
      <c r="G56" s="111">
        <f>SUM(G49:G55)</f>
        <v>0</v>
      </c>
    </row>
    <row r="57" spans="1:7" s="76" customFormat="1" ht="14.25" customHeight="1" outlineLevel="1" thickBot="1" x14ac:dyDescent="0.3">
      <c r="A57" s="101" t="s">
        <v>23</v>
      </c>
      <c r="B57" s="620"/>
      <c r="C57" s="112" t="e">
        <f>AVERAGE(C49:C55)</f>
        <v>#DIV/0!</v>
      </c>
      <c r="D57" s="112" t="e">
        <f>AVERAGE(D49:D55)</f>
        <v>#DIV/0!</v>
      </c>
      <c r="E57" s="112" t="e">
        <f>AVERAGE(E49:E55)</f>
        <v>#DIV/0!</v>
      </c>
      <c r="F57" s="112" t="e">
        <f>AVERAGE(F49:F55)</f>
        <v>#DIV/0!</v>
      </c>
      <c r="G57" s="112">
        <f>AVERAGE(G49:G55)</f>
        <v>0</v>
      </c>
    </row>
    <row r="58" spans="1:7" s="76" customFormat="1" ht="15.75" customHeight="1" thickBot="1" x14ac:dyDescent="0.3">
      <c r="A58" s="23" t="s">
        <v>20</v>
      </c>
      <c r="B58" s="620"/>
      <c r="C58" s="83">
        <f>SUM(C49:C53)</f>
        <v>0</v>
      </c>
      <c r="D58" s="83">
        <f>SUM(D49:D53)</f>
        <v>0</v>
      </c>
      <c r="E58" s="83">
        <f>SUM(E49:E53)</f>
        <v>0</v>
      </c>
      <c r="F58" s="83">
        <f>SUM(F49:F53)</f>
        <v>0</v>
      </c>
      <c r="G58" s="83">
        <f>SUM(G49:G53)</f>
        <v>0</v>
      </c>
    </row>
    <row r="59" spans="1:7" s="76" customFormat="1" ht="14.25" customHeight="1" thickBot="1" x14ac:dyDescent="0.3">
      <c r="A59" s="23" t="s">
        <v>22</v>
      </c>
      <c r="B59" s="621"/>
      <c r="C59" s="84" t="e">
        <f>AVERAGE(C49:C53)</f>
        <v>#DIV/0!</v>
      </c>
      <c r="D59" s="84" t="e">
        <f>AVERAGE(D49:D53)</f>
        <v>#DIV/0!</v>
      </c>
      <c r="E59" s="84" t="e">
        <f>AVERAGE(E49:E53)</f>
        <v>#DIV/0!</v>
      </c>
      <c r="F59" s="84" t="e">
        <f>AVERAGE(F49:F53)</f>
        <v>#DIV/0!</v>
      </c>
      <c r="G59" s="84" t="e">
        <f>AVERAGE(G49:G53)</f>
        <v>#DIV/0!</v>
      </c>
    </row>
    <row r="60" spans="1:7" s="76" customFormat="1" ht="1.5" hidden="1" customHeight="1" x14ac:dyDescent="0.25">
      <c r="A60" s="130"/>
      <c r="B60" s="121"/>
      <c r="C60" s="65"/>
      <c r="D60" s="66"/>
      <c r="E60" s="65"/>
      <c r="F60" s="77"/>
      <c r="G60" s="78"/>
    </row>
    <row r="61" spans="1:7" s="76" customFormat="1" ht="17.25" hidden="1" customHeight="1" x14ac:dyDescent="0.25">
      <c r="A61" s="131"/>
      <c r="B61" s="119"/>
      <c r="C61" s="65"/>
      <c r="D61" s="66"/>
      <c r="E61" s="67"/>
      <c r="F61" s="68"/>
      <c r="G61" s="69"/>
    </row>
    <row r="62" spans="1:7" s="76" customFormat="1" ht="18" hidden="1" customHeight="1" x14ac:dyDescent="0.25">
      <c r="A62" s="126"/>
      <c r="B62" s="119"/>
      <c r="C62" s="65"/>
      <c r="D62" s="66"/>
      <c r="E62" s="67"/>
      <c r="F62" s="68"/>
      <c r="G62" s="69"/>
    </row>
    <row r="63" spans="1:7" s="76" customFormat="1" ht="16.5" hidden="1" customHeight="1" x14ac:dyDescent="0.25">
      <c r="A63" s="126"/>
      <c r="B63" s="119"/>
      <c r="C63" s="65"/>
      <c r="D63" s="66"/>
      <c r="E63" s="67"/>
      <c r="F63" s="68"/>
      <c r="G63" s="69"/>
    </row>
    <row r="64" spans="1:7" s="76" customFormat="1" ht="15" hidden="1" customHeight="1" x14ac:dyDescent="0.25">
      <c r="A64" s="126"/>
      <c r="B64" s="119"/>
      <c r="C64" s="65"/>
      <c r="D64" s="66"/>
      <c r="E64" s="67"/>
      <c r="F64" s="68"/>
      <c r="G64" s="69"/>
    </row>
    <row r="65" spans="1:7" s="76" customFormat="1" ht="17.25" hidden="1" customHeight="1" outlineLevel="1" x14ac:dyDescent="0.25">
      <c r="A65" s="126"/>
      <c r="B65" s="119"/>
      <c r="C65" s="67"/>
      <c r="D65" s="71"/>
      <c r="E65" s="67"/>
      <c r="F65" s="68"/>
      <c r="G65" s="69"/>
    </row>
    <row r="66" spans="1:7" s="76" customFormat="1" ht="12" hidden="1" customHeight="1" outlineLevel="1" thickBot="1" x14ac:dyDescent="0.3">
      <c r="A66" s="126"/>
      <c r="B66" s="120"/>
      <c r="C66" s="72"/>
      <c r="D66" s="73"/>
      <c r="E66" s="72"/>
      <c r="F66" s="74"/>
      <c r="G66" s="75"/>
    </row>
    <row r="67" spans="1:7" s="76" customFormat="1" ht="15" hidden="1" customHeight="1" outlineLevel="1" thickBot="1" x14ac:dyDescent="0.3">
      <c r="A67" s="100" t="s">
        <v>21</v>
      </c>
      <c r="B67" s="619" t="s">
        <v>32</v>
      </c>
      <c r="C67" s="111">
        <f>SUM(C60:C66)</f>
        <v>0</v>
      </c>
      <c r="D67" s="111">
        <f>SUM(D60:D66)</f>
        <v>0</v>
      </c>
      <c r="E67" s="111">
        <f>SUM(E60:E66)</f>
        <v>0</v>
      </c>
      <c r="F67" s="111">
        <f>SUM(F60:F66)</f>
        <v>0</v>
      </c>
      <c r="G67" s="111">
        <f>SUM(G60:G66)</f>
        <v>0</v>
      </c>
    </row>
    <row r="68" spans="1:7" s="76" customFormat="1" ht="14.25" hidden="1" customHeight="1" outlineLevel="1" thickBot="1" x14ac:dyDescent="0.3">
      <c r="A68" s="101" t="s">
        <v>23</v>
      </c>
      <c r="B68" s="620"/>
      <c r="C68" s="112" t="e">
        <f>AVERAGE(C60:C66)</f>
        <v>#DIV/0!</v>
      </c>
      <c r="D68" s="112" t="e">
        <f>AVERAGE(D60:D66)</f>
        <v>#DIV/0!</v>
      </c>
      <c r="E68" s="112" t="e">
        <f>AVERAGE(E60:E66)</f>
        <v>#DIV/0!</v>
      </c>
      <c r="F68" s="112" t="e">
        <f>AVERAGE(F60:F66)</f>
        <v>#DIV/0!</v>
      </c>
      <c r="G68" s="112" t="e">
        <f>AVERAGE(G60:G66)</f>
        <v>#DIV/0!</v>
      </c>
    </row>
    <row r="69" spans="1:7" s="76" customFormat="1" ht="15.75" hidden="1" customHeight="1" thickBot="1" x14ac:dyDescent="0.3">
      <c r="A69" s="23" t="s">
        <v>20</v>
      </c>
      <c r="B69" s="620"/>
      <c r="C69" s="83">
        <f>SUM(C60:C64)</f>
        <v>0</v>
      </c>
      <c r="D69" s="83">
        <f>SUM(D60:D64)</f>
        <v>0</v>
      </c>
      <c r="E69" s="83">
        <f>SUM(E60:E64)</f>
        <v>0</v>
      </c>
      <c r="F69" s="83">
        <f>SUM(F60:F64)</f>
        <v>0</v>
      </c>
      <c r="G69" s="83">
        <f>SUM(G60:G64)</f>
        <v>0</v>
      </c>
    </row>
    <row r="70" spans="1:7" s="76" customFormat="1" ht="17.25" hidden="1" customHeight="1" thickBot="1" x14ac:dyDescent="0.3">
      <c r="A70" s="23" t="s">
        <v>22</v>
      </c>
      <c r="B70" s="621"/>
      <c r="C70" s="84" t="e">
        <f>AVERAGE(C60:C64)</f>
        <v>#DIV/0!</v>
      </c>
      <c r="D70" s="84" t="e">
        <f>AVERAGE(D60:D64)</f>
        <v>#DIV/0!</v>
      </c>
      <c r="E70" s="84" t="e">
        <f>AVERAGE(E60:E64)</f>
        <v>#DIV/0!</v>
      </c>
      <c r="F70" s="84" t="e">
        <f>AVERAGE(F60:F64)</f>
        <v>#DIV/0!</v>
      </c>
      <c r="G70" s="84" t="e">
        <f>AVERAGE(G60:G64)</f>
        <v>#DIV/0!</v>
      </c>
    </row>
    <row r="71" spans="1:7" s="76" customFormat="1" ht="14.25" customHeight="1" x14ac:dyDescent="0.25">
      <c r="A71" s="45"/>
      <c r="B71" s="46"/>
      <c r="C71" s="79"/>
      <c r="D71" s="79"/>
      <c r="E71" s="79"/>
      <c r="F71" s="79"/>
      <c r="G71" s="79"/>
    </row>
    <row r="72" spans="1:7" s="76" customFormat="1" ht="30" customHeight="1" x14ac:dyDescent="0.25">
      <c r="B72" s="80"/>
      <c r="C72" s="36" t="s">
        <v>50</v>
      </c>
      <c r="D72" s="36" t="s">
        <v>51</v>
      </c>
      <c r="E72" s="666" t="s">
        <v>60</v>
      </c>
      <c r="F72" s="667"/>
      <c r="G72" s="668"/>
    </row>
    <row r="73" spans="1:7" ht="30" customHeight="1" x14ac:dyDescent="0.25">
      <c r="B73" s="39" t="s">
        <v>29</v>
      </c>
      <c r="C73" s="81">
        <f>SUM(C56:D56, C45:D45, C34:D34, C23:D23, C12:D12, C67:D67)</f>
        <v>0</v>
      </c>
      <c r="D73" s="81">
        <f>SUM(E67:F67, E56:F56, E45:F45, E34:F34, E23:F23, E12:F12)</f>
        <v>0</v>
      </c>
      <c r="E73" s="625" t="s">
        <v>29</v>
      </c>
      <c r="F73" s="626"/>
      <c r="G73" s="98">
        <f>SUM(G12, G23, G34, G45, G56, G67)</f>
        <v>0</v>
      </c>
    </row>
    <row r="74" spans="1:7" ht="30" customHeight="1" x14ac:dyDescent="0.25">
      <c r="B74" s="39" t="s">
        <v>30</v>
      </c>
      <c r="C74" s="81">
        <f>SUM(C58:D58, C47:D47, C36:D36, C25:D25, C14:D14, C69:D69)</f>
        <v>0</v>
      </c>
      <c r="D74" s="81">
        <f>SUM(E69:F69, E58:F58, E47:F47, E36:F36, E25:F25, E14:F14)</f>
        <v>0</v>
      </c>
      <c r="E74" s="708" t="s">
        <v>30</v>
      </c>
      <c r="F74" s="708"/>
      <c r="G74" s="99">
        <f>SUM(G58, G47, G36, G25, G14, G69)</f>
        <v>0</v>
      </c>
    </row>
    <row r="75" spans="1:7" ht="30" customHeight="1" x14ac:dyDescent="0.25">
      <c r="E75" s="625" t="s">
        <v>61</v>
      </c>
      <c r="F75" s="626"/>
      <c r="G75" s="99">
        <f>AVERAGE(G12, G23, G34, G45, G56, G67)</f>
        <v>0</v>
      </c>
    </row>
    <row r="76" spans="1:7" ht="30" customHeight="1" x14ac:dyDescent="0.25">
      <c r="E76" s="708" t="s">
        <v>22</v>
      </c>
      <c r="F76" s="708"/>
      <c r="G76" s="98">
        <f>AVERAGE(G58, G47, G36, G25, G14, G69)</f>
        <v>0</v>
      </c>
    </row>
    <row r="86" spans="2:2" x14ac:dyDescent="0.25">
      <c r="B86" s="82"/>
    </row>
    <row r="87" spans="2:2" x14ac:dyDescent="0.25">
      <c r="B87" s="82"/>
    </row>
    <row r="88" spans="2:2" x14ac:dyDescent="0.25">
      <c r="B88" s="82"/>
    </row>
    <row r="89" spans="2:2" x14ac:dyDescent="0.25">
      <c r="B89" s="82"/>
    </row>
    <row r="90" spans="2:2" x14ac:dyDescent="0.25">
      <c r="B90" s="82"/>
    </row>
    <row r="91" spans="2:2" x14ac:dyDescent="0.25">
      <c r="B91" s="82"/>
    </row>
    <row r="92" spans="2:2" x14ac:dyDescent="0.25">
      <c r="B92" s="82"/>
    </row>
    <row r="97" spans="2:2" x14ac:dyDescent="0.25">
      <c r="B97" s="82"/>
    </row>
    <row r="98" spans="2:2" x14ac:dyDescent="0.25">
      <c r="B98" s="82"/>
    </row>
    <row r="99" spans="2:2" x14ac:dyDescent="0.25">
      <c r="B99" s="82"/>
    </row>
    <row r="100" spans="2:2" x14ac:dyDescent="0.25">
      <c r="B100" s="82"/>
    </row>
    <row r="101" spans="2:2" x14ac:dyDescent="0.25">
      <c r="B101" s="82"/>
    </row>
    <row r="102" spans="2:2" x14ac:dyDescent="0.25">
      <c r="B102" s="82"/>
    </row>
    <row r="103" spans="2:2" x14ac:dyDescent="0.25">
      <c r="B103" s="82"/>
    </row>
    <row r="104" spans="2:2" x14ac:dyDescent="0.25">
      <c r="B104" s="82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zoomScaleNormal="100" workbookViewId="0">
      <selection activeCell="C12" sqref="C1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84" t="s">
        <v>122</v>
      </c>
      <c r="B1" s="585"/>
    </row>
    <row r="2" spans="1:2" ht="15.75" thickBot="1" x14ac:dyDescent="0.3">
      <c r="A2" s="586"/>
      <c r="B2" s="587"/>
    </row>
    <row r="3" spans="1:2" ht="15.75" thickBot="1" x14ac:dyDescent="0.3">
      <c r="A3" s="551" t="s">
        <v>44</v>
      </c>
      <c r="B3" s="588"/>
    </row>
    <row r="4" spans="1:2" ht="12.75" customHeight="1" x14ac:dyDescent="0.25">
      <c r="A4" s="528" t="s">
        <v>45</v>
      </c>
      <c r="B4" s="515">
        <f>SUM('NY Waterway-(Port Imperial FC)'!H74)</f>
        <v>331828</v>
      </c>
    </row>
    <row r="5" spans="1:2" ht="13.5" customHeight="1" thickBot="1" x14ac:dyDescent="0.3">
      <c r="A5" s="529"/>
      <c r="B5" s="530"/>
    </row>
    <row r="6" spans="1:2" ht="12.75" customHeight="1" x14ac:dyDescent="0.25">
      <c r="A6" s="517" t="s">
        <v>46</v>
      </c>
      <c r="B6" s="532">
        <f>SUM('NY Waterway-(Billy Bey FC)'!F82)</f>
        <v>277635</v>
      </c>
    </row>
    <row r="7" spans="1:2" ht="13.5" customHeight="1" thickBot="1" x14ac:dyDescent="0.3">
      <c r="A7" s="594"/>
      <c r="B7" s="533"/>
    </row>
    <row r="8" spans="1:2" ht="12.75" customHeight="1" x14ac:dyDescent="0.25">
      <c r="A8" s="528" t="s">
        <v>47</v>
      </c>
      <c r="B8" s="515">
        <f>SUM(SeaStreak!G74)</f>
        <v>86730</v>
      </c>
    </row>
    <row r="9" spans="1:2" ht="13.5" customHeight="1" thickBot="1" x14ac:dyDescent="0.3">
      <c r="A9" s="592"/>
      <c r="B9" s="530"/>
    </row>
    <row r="10" spans="1:2" ht="12.75" customHeight="1" x14ac:dyDescent="0.25">
      <c r="A10" s="517" t="s">
        <v>48</v>
      </c>
      <c r="B10" s="532">
        <f>'New York Water Taxi'!M74</f>
        <v>24168</v>
      </c>
    </row>
    <row r="11" spans="1:2" ht="13.5" customHeight="1" thickBot="1" x14ac:dyDescent="0.3">
      <c r="A11" s="593"/>
      <c r="B11" s="533"/>
    </row>
    <row r="12" spans="1:2" ht="12.75" customHeight="1" x14ac:dyDescent="0.25">
      <c r="A12" s="549" t="s">
        <v>33</v>
      </c>
      <c r="B12" s="532">
        <f>SUM('Liberty Landing Ferry'!F74)</f>
        <v>13439</v>
      </c>
    </row>
    <row r="13" spans="1:2" ht="13.5" customHeight="1" thickBot="1" x14ac:dyDescent="0.3">
      <c r="A13" s="591"/>
      <c r="B13" s="533"/>
    </row>
    <row r="14" spans="1:2" ht="13.5" customHeight="1" x14ac:dyDescent="0.25">
      <c r="A14" s="549" t="s">
        <v>71</v>
      </c>
      <c r="B14" s="532">
        <f>'NYC Ferry'!E77</f>
        <v>297888</v>
      </c>
    </row>
    <row r="15" spans="1:2" ht="13.5" customHeight="1" thickBot="1" x14ac:dyDescent="0.3">
      <c r="A15" s="591"/>
      <c r="B15" s="533"/>
    </row>
    <row r="16" spans="1:2" ht="13.5" hidden="1" customHeight="1" x14ac:dyDescent="0.25">
      <c r="A16" s="549" t="s">
        <v>66</v>
      </c>
      <c r="B16" s="532">
        <f>'Water Tours'!F74</f>
        <v>0</v>
      </c>
    </row>
    <row r="17" spans="1:2" ht="13.5" hidden="1" customHeight="1" thickBot="1" x14ac:dyDescent="0.3">
      <c r="A17" s="591"/>
      <c r="B17" s="533"/>
    </row>
    <row r="18" spans="1:2" x14ac:dyDescent="0.25">
      <c r="A18" s="545" t="s">
        <v>19</v>
      </c>
      <c r="B18" s="547">
        <f>SUM(B4:B17)</f>
        <v>1031688</v>
      </c>
    </row>
    <row r="19" spans="1:2" ht="15.75" thickBot="1" x14ac:dyDescent="0.3">
      <c r="A19" s="589"/>
      <c r="B19" s="590"/>
    </row>
    <row r="20" spans="1:2" ht="15.75" thickBot="1" x14ac:dyDescent="0.3">
      <c r="A20" s="40"/>
      <c r="B20" s="41"/>
    </row>
    <row r="21" spans="1:2" ht="15.75" thickBot="1" x14ac:dyDescent="0.3">
      <c r="A21" s="551" t="s">
        <v>49</v>
      </c>
      <c r="B21" s="588"/>
    </row>
    <row r="22" spans="1:2" x14ac:dyDescent="0.25">
      <c r="A22" s="528" t="s">
        <v>10</v>
      </c>
      <c r="B22" s="515">
        <f>SUM('NYC Ferry'!C72,'NY Waterway-(Port Imperial FC)'!D73,'NY Waterway-(Billy Bey FC)'!G78,SeaStreak!B73,'New York Water Taxi'!J73,)</f>
        <v>241317</v>
      </c>
    </row>
    <row r="23" spans="1:2" ht="15.75" thickBot="1" x14ac:dyDescent="0.3">
      <c r="A23" s="529"/>
      <c r="B23" s="530"/>
    </row>
    <row r="24" spans="1:2" x14ac:dyDescent="0.25">
      <c r="A24" s="528" t="s">
        <v>67</v>
      </c>
      <c r="B24" s="515">
        <f>SUM('NY Waterway-(Billy Bey FC)'!E78)</f>
        <v>7099</v>
      </c>
    </row>
    <row r="25" spans="1:2" ht="15.75" thickBot="1" x14ac:dyDescent="0.3">
      <c r="A25" s="529"/>
      <c r="B25" s="530"/>
    </row>
    <row r="26" spans="1:2" x14ac:dyDescent="0.25">
      <c r="A26" s="517" t="s">
        <v>8</v>
      </c>
      <c r="B26" s="532">
        <f>SUM('NY Waterway-(Port Imperial FC)'!B73,'NY Waterway-(Billy Bey FC)'!D78)</f>
        <v>263592</v>
      </c>
    </row>
    <row r="27" spans="1:2" ht="15.75" thickBot="1" x14ac:dyDescent="0.3">
      <c r="A27" s="594"/>
      <c r="B27" s="533"/>
    </row>
    <row r="28" spans="1:2" x14ac:dyDescent="0.25">
      <c r="A28" s="528" t="s">
        <v>14</v>
      </c>
      <c r="B28" s="515">
        <f>SUM('NYC Ferry'!D72,SeaStreak!C73,'New York Water Taxi'!H73,)</f>
        <v>92277</v>
      </c>
    </row>
    <row r="29" spans="1:2" ht="15.75" thickBot="1" x14ac:dyDescent="0.3">
      <c r="A29" s="592"/>
      <c r="B29" s="530"/>
    </row>
    <row r="30" spans="1:2" ht="12.75" customHeight="1" x14ac:dyDescent="0.25">
      <c r="A30" s="528" t="s">
        <v>111</v>
      </c>
      <c r="B30" s="515">
        <f>SUM('NY Waterway-(Port Imperial FC)'!C73,'NY Waterway-(Billy Bey FC)'!F78,'Liberty Landing Ferry'!B73)</f>
        <v>232237</v>
      </c>
    </row>
    <row r="31" spans="1:2" ht="15.75" thickBot="1" x14ac:dyDescent="0.3">
      <c r="A31" s="592"/>
      <c r="B31" s="530"/>
    </row>
    <row r="32" spans="1:2" x14ac:dyDescent="0.25">
      <c r="A32" s="517" t="s">
        <v>7</v>
      </c>
      <c r="B32" s="521">
        <f>SUM('New York Water Taxi'!D73)</f>
        <v>2298</v>
      </c>
    </row>
    <row r="33" spans="1:6" ht="15.75" thickBot="1" x14ac:dyDescent="0.3">
      <c r="A33" s="593"/>
      <c r="B33" s="522"/>
    </row>
    <row r="34" spans="1:6" x14ac:dyDescent="0.25">
      <c r="A34" s="528" t="s">
        <v>96</v>
      </c>
      <c r="B34" s="521">
        <f>SUM('New York Water Taxi'!F73)</f>
        <v>3208</v>
      </c>
    </row>
    <row r="35" spans="1:6" ht="15.75" thickBot="1" x14ac:dyDescent="0.3">
      <c r="A35" s="592"/>
      <c r="B35" s="522"/>
    </row>
    <row r="36" spans="1:6" ht="13.5" customHeight="1" x14ac:dyDescent="0.25">
      <c r="A36" s="519" t="s">
        <v>62</v>
      </c>
      <c r="B36" s="521">
        <f>SUM('NYC Ferry'!E72,'New York Water Taxi'!E73)</f>
        <v>25817</v>
      </c>
    </row>
    <row r="37" spans="1:6" ht="14.25" customHeight="1" thickBot="1" x14ac:dyDescent="0.3">
      <c r="A37" s="520"/>
      <c r="B37" s="522"/>
    </row>
    <row r="38" spans="1:6" ht="14.25" customHeight="1" x14ac:dyDescent="0.25">
      <c r="A38" s="519" t="s">
        <v>93</v>
      </c>
      <c r="B38" s="521">
        <f>SUM('New York Water Taxi'!G73)</f>
        <v>2146</v>
      </c>
    </row>
    <row r="39" spans="1:6" ht="14.25" customHeight="1" thickBot="1" x14ac:dyDescent="0.3">
      <c r="A39" s="520"/>
      <c r="B39" s="522"/>
    </row>
    <row r="40" spans="1:6" ht="13.5" customHeight="1" x14ac:dyDescent="0.25">
      <c r="A40" s="519" t="s">
        <v>63</v>
      </c>
      <c r="B40" s="521">
        <f>SUM('NYC Ferry'!I72)</f>
        <v>11702</v>
      </c>
    </row>
    <row r="41" spans="1:6" ht="14.25" customHeight="1" thickBot="1" x14ac:dyDescent="0.3">
      <c r="A41" s="520"/>
      <c r="B41" s="522"/>
    </row>
    <row r="42" spans="1:6" ht="13.5" customHeight="1" x14ac:dyDescent="0.25">
      <c r="A42" s="519" t="s">
        <v>11</v>
      </c>
      <c r="B42" s="521">
        <f>SUM('NYC Ferry'!J72)</f>
        <v>26939</v>
      </c>
    </row>
    <row r="43" spans="1:6" ht="14.25" customHeight="1" thickBot="1" x14ac:dyDescent="0.3">
      <c r="A43" s="520"/>
      <c r="B43" s="522"/>
    </row>
    <row r="44" spans="1:6" ht="13.5" customHeight="1" x14ac:dyDescent="0.25">
      <c r="A44" s="519" t="s">
        <v>12</v>
      </c>
      <c r="B44" s="521">
        <f>SUM('NYC Ferry'!G72)</f>
        <v>15289</v>
      </c>
    </row>
    <row r="45" spans="1:6" ht="14.25" customHeight="1" thickBot="1" x14ac:dyDescent="0.3">
      <c r="A45" s="520"/>
      <c r="B45" s="522"/>
    </row>
    <row r="46" spans="1:6" ht="13.5" customHeight="1" x14ac:dyDescent="0.25">
      <c r="A46" s="519" t="s">
        <v>99</v>
      </c>
      <c r="B46" s="521">
        <f>SUM('NYC Ferry'!H72)</f>
        <v>7721</v>
      </c>
    </row>
    <row r="47" spans="1:6" ht="14.25" customHeight="1" thickBot="1" x14ac:dyDescent="0.3">
      <c r="A47" s="520"/>
      <c r="B47" s="522"/>
    </row>
    <row r="48" spans="1:6" ht="14.25" customHeight="1" x14ac:dyDescent="0.25">
      <c r="A48" s="519" t="s">
        <v>31</v>
      </c>
      <c r="B48" s="521">
        <f>SUM('NYC Ferry'!W72)</f>
        <v>0</v>
      </c>
      <c r="F48" s="6"/>
    </row>
    <row r="49" spans="1:2" ht="14.25" customHeight="1" thickBot="1" x14ac:dyDescent="0.3">
      <c r="A49" s="520"/>
      <c r="B49" s="522"/>
    </row>
    <row r="50" spans="1:2" ht="14.25" customHeight="1" x14ac:dyDescent="0.25">
      <c r="A50" s="519" t="s">
        <v>76</v>
      </c>
      <c r="B50" s="521">
        <f>SUM('NYC Ferry'!N72)</f>
        <v>3263</v>
      </c>
    </row>
    <row r="51" spans="1:2" ht="14.25" customHeight="1" thickBot="1" x14ac:dyDescent="0.3">
      <c r="A51" s="520"/>
      <c r="B51" s="522"/>
    </row>
    <row r="52" spans="1:2" ht="14.25" customHeight="1" x14ac:dyDescent="0.25">
      <c r="A52" s="519" t="s">
        <v>102</v>
      </c>
      <c r="B52" s="521">
        <f>SUM('New York Water Taxi'!K73)</f>
        <v>3867</v>
      </c>
    </row>
    <row r="53" spans="1:2" ht="14.25" customHeight="1" thickBot="1" x14ac:dyDescent="0.3">
      <c r="A53" s="520"/>
      <c r="B53" s="522"/>
    </row>
    <row r="54" spans="1:2" ht="14.25" customHeight="1" x14ac:dyDescent="0.25">
      <c r="A54" s="556" t="s">
        <v>112</v>
      </c>
      <c r="B54" s="521">
        <f>SUM('NYC Ferry'!K72,'New York Water Taxi'!I73)</f>
        <v>8718</v>
      </c>
    </row>
    <row r="55" spans="1:2" ht="14.25" customHeight="1" thickBot="1" x14ac:dyDescent="0.3">
      <c r="A55" s="557"/>
      <c r="B55" s="522"/>
    </row>
    <row r="56" spans="1:2" ht="14.25" customHeight="1" x14ac:dyDescent="0.25">
      <c r="A56" s="519" t="s">
        <v>83</v>
      </c>
      <c r="B56" s="521">
        <f>SUM('NYC Ferry'!V72)</f>
        <v>4627</v>
      </c>
    </row>
    <row r="57" spans="1:2" ht="14.25" customHeight="1" thickBot="1" x14ac:dyDescent="0.3">
      <c r="A57" s="520"/>
      <c r="B57" s="522"/>
    </row>
    <row r="58" spans="1:2" ht="14.25" customHeight="1" x14ac:dyDescent="0.25">
      <c r="A58" s="519" t="s">
        <v>84</v>
      </c>
      <c r="B58" s="521">
        <f>SUM('NYC Ferry'!U72)</f>
        <v>1172</v>
      </c>
    </row>
    <row r="59" spans="1:2" ht="14.25" customHeight="1" thickBot="1" x14ac:dyDescent="0.3">
      <c r="A59" s="520"/>
      <c r="B59" s="522"/>
    </row>
    <row r="60" spans="1:2" ht="14.25" customHeight="1" x14ac:dyDescent="0.25">
      <c r="A60" s="519" t="s">
        <v>86</v>
      </c>
      <c r="B60" s="521">
        <f>SUM('NYC Ferry'!T72)</f>
        <v>12858</v>
      </c>
    </row>
    <row r="61" spans="1:2" ht="14.25" customHeight="1" thickBot="1" x14ac:dyDescent="0.3">
      <c r="A61" s="520"/>
      <c r="B61" s="522"/>
    </row>
    <row r="62" spans="1:2" ht="14.25" customHeight="1" x14ac:dyDescent="0.25">
      <c r="A62" s="519" t="s">
        <v>85</v>
      </c>
      <c r="B62" s="521">
        <f>SUM('NYC Ferry'!S72)</f>
        <v>6932</v>
      </c>
    </row>
    <row r="63" spans="1:2" ht="14.25" customHeight="1" thickBot="1" x14ac:dyDescent="0.3">
      <c r="A63" s="520"/>
      <c r="B63" s="522"/>
    </row>
    <row r="64" spans="1:2" ht="14.25" customHeight="1" x14ac:dyDescent="0.25">
      <c r="A64" s="595" t="s">
        <v>100</v>
      </c>
      <c r="B64" s="521">
        <f>SUM('NYC Ferry'!M72)</f>
        <v>2716</v>
      </c>
    </row>
    <row r="65" spans="1:2" ht="14.25" customHeight="1" thickBot="1" x14ac:dyDescent="0.3">
      <c r="A65" s="596"/>
      <c r="B65" s="522"/>
    </row>
    <row r="66" spans="1:2" ht="14.25" customHeight="1" x14ac:dyDescent="0.25">
      <c r="A66" s="519" t="s">
        <v>114</v>
      </c>
      <c r="B66" s="521">
        <f>SUM('NYC Ferry'!O72)</f>
        <v>3105</v>
      </c>
    </row>
    <row r="67" spans="1:2" ht="14.25" customHeight="1" thickBot="1" x14ac:dyDescent="0.3">
      <c r="A67" s="520"/>
      <c r="B67" s="522"/>
    </row>
    <row r="68" spans="1:2" ht="14.25" customHeight="1" x14ac:dyDescent="0.25">
      <c r="A68" s="519" t="s">
        <v>70</v>
      </c>
      <c r="B68" s="521">
        <f>SUM('NYC Ferry'!L72)</f>
        <v>12787</v>
      </c>
    </row>
    <row r="69" spans="1:2" ht="14.25" customHeight="1" thickBot="1" x14ac:dyDescent="0.3">
      <c r="A69" s="520"/>
      <c r="B69" s="522"/>
    </row>
    <row r="70" spans="1:2" ht="14.25" customHeight="1" x14ac:dyDescent="0.25">
      <c r="A70" s="519" t="s">
        <v>77</v>
      </c>
      <c r="B70" s="521">
        <f>SUM('NYC Ferry'!R72)</f>
        <v>9791</v>
      </c>
    </row>
    <row r="71" spans="1:2" ht="14.25" customHeight="1" thickBot="1" x14ac:dyDescent="0.3">
      <c r="A71" s="520"/>
      <c r="B71" s="522"/>
    </row>
    <row r="72" spans="1:2" ht="14.25" customHeight="1" x14ac:dyDescent="0.25">
      <c r="A72" s="519" t="s">
        <v>78</v>
      </c>
      <c r="B72" s="521">
        <f>SUM('NYC Ferry'!Q72)</f>
        <v>7613</v>
      </c>
    </row>
    <row r="73" spans="1:2" ht="14.25" customHeight="1" thickBot="1" x14ac:dyDescent="0.3">
      <c r="A73" s="520"/>
      <c r="B73" s="522"/>
    </row>
    <row r="74" spans="1:2" ht="14.25" customHeight="1" x14ac:dyDescent="0.25">
      <c r="A74" s="519" t="s">
        <v>106</v>
      </c>
      <c r="B74" s="521">
        <f>SUM('NYC Ferry'!P72)</f>
        <v>5603</v>
      </c>
    </row>
    <row r="75" spans="1:2" ht="14.25" customHeight="1" thickBot="1" x14ac:dyDescent="0.3">
      <c r="A75" s="520"/>
      <c r="B75" s="522"/>
    </row>
    <row r="76" spans="1:2" ht="14.25" customHeight="1" x14ac:dyDescent="0.25">
      <c r="A76" s="519" t="s">
        <v>64</v>
      </c>
      <c r="B76" s="521">
        <f>SUM('NYC Ferry'!F72)</f>
        <v>16994</v>
      </c>
    </row>
    <row r="77" spans="1:2" ht="14.25" customHeight="1" thickBot="1" x14ac:dyDescent="0.3">
      <c r="A77" s="520"/>
      <c r="B77" s="522"/>
    </row>
    <row r="78" spans="1:2" x14ac:dyDescent="0.25">
      <c r="A78" s="560" t="s">
        <v>19</v>
      </c>
      <c r="B78" s="547">
        <f>SUM(B22:B77)</f>
        <v>1031688</v>
      </c>
    </row>
    <row r="79" spans="1:2" ht="15.75" thickBot="1" x14ac:dyDescent="0.3">
      <c r="A79" s="597"/>
      <c r="B79" s="590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56:A57"/>
    <mergeCell ref="A58:A59"/>
    <mergeCell ref="B56:B57"/>
    <mergeCell ref="A62:A63"/>
    <mergeCell ref="B60:B61"/>
    <mergeCell ref="B62:B6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E80" sqref="E80"/>
    </sheetView>
  </sheetViews>
  <sheetFormatPr defaultRowHeight="15" x14ac:dyDescent="0.25"/>
  <cols>
    <col min="1" max="1" width="18.7109375" style="1" bestFit="1" customWidth="1"/>
    <col min="2" max="2" width="10.7109375" style="124" bestFit="1" customWidth="1"/>
    <col min="3" max="3" width="10.7109375" style="124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58" customWidth="1"/>
    <col min="15" max="16" width="11.7109375" style="1" customWidth="1"/>
    <col min="17" max="25" width="11.7109375" style="258" customWidth="1"/>
    <col min="26" max="26" width="13.42578125" customWidth="1"/>
    <col min="27" max="27" width="11" customWidth="1"/>
    <col min="28" max="28" width="10.85546875" style="325" bestFit="1" customWidth="1"/>
    <col min="29" max="29" width="11.7109375" style="258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0"/>
    <col min="35" max="35" width="10.5703125" style="260" customWidth="1"/>
  </cols>
  <sheetData>
    <row r="1" spans="1:36" ht="15" customHeight="1" x14ac:dyDescent="0.25">
      <c r="A1" s="627" t="s">
        <v>52</v>
      </c>
      <c r="B1" s="630" t="s">
        <v>53</v>
      </c>
      <c r="C1" s="638" t="s">
        <v>69</v>
      </c>
      <c r="D1" s="639"/>
      <c r="E1" s="639"/>
      <c r="F1" s="639"/>
      <c r="G1" s="639"/>
      <c r="H1" s="639"/>
      <c r="I1" s="640"/>
      <c r="J1" s="611" t="s">
        <v>70</v>
      </c>
      <c r="K1" s="612"/>
      <c r="L1" s="636"/>
      <c r="M1" s="611" t="s">
        <v>74</v>
      </c>
      <c r="N1" s="612"/>
      <c r="O1" s="612"/>
      <c r="P1" s="612"/>
      <c r="Q1" s="612"/>
      <c r="R1" s="612"/>
      <c r="S1" s="598" t="s">
        <v>77</v>
      </c>
      <c r="T1" s="599"/>
      <c r="U1" s="599"/>
      <c r="V1" s="599"/>
      <c r="W1" s="599"/>
      <c r="X1" s="600"/>
      <c r="Y1" s="598" t="s">
        <v>86</v>
      </c>
      <c r="Z1" s="599"/>
      <c r="AA1" s="599"/>
      <c r="AB1" s="600"/>
      <c r="AC1" s="598" t="s">
        <v>82</v>
      </c>
      <c r="AD1" s="599"/>
      <c r="AE1" s="599"/>
      <c r="AF1" s="599"/>
      <c r="AG1" s="600"/>
      <c r="AH1" s="646" t="s">
        <v>105</v>
      </c>
      <c r="AI1" s="647"/>
      <c r="AJ1" s="644"/>
    </row>
    <row r="2" spans="1:36" ht="15.75" customHeight="1" x14ac:dyDescent="0.25">
      <c r="A2" s="628"/>
      <c r="B2" s="631"/>
      <c r="C2" s="641"/>
      <c r="D2" s="642"/>
      <c r="E2" s="642"/>
      <c r="F2" s="642"/>
      <c r="G2" s="642"/>
      <c r="H2" s="642"/>
      <c r="I2" s="643"/>
      <c r="J2" s="613"/>
      <c r="K2" s="614"/>
      <c r="L2" s="637"/>
      <c r="M2" s="613"/>
      <c r="N2" s="614"/>
      <c r="O2" s="614"/>
      <c r="P2" s="614"/>
      <c r="Q2" s="614"/>
      <c r="R2" s="614"/>
      <c r="S2" s="601"/>
      <c r="T2" s="602"/>
      <c r="U2" s="602"/>
      <c r="V2" s="602"/>
      <c r="W2" s="602"/>
      <c r="X2" s="603"/>
      <c r="Y2" s="601"/>
      <c r="Z2" s="602"/>
      <c r="AA2" s="602"/>
      <c r="AB2" s="603"/>
      <c r="AC2" s="601"/>
      <c r="AD2" s="602"/>
      <c r="AE2" s="602"/>
      <c r="AF2" s="602"/>
      <c r="AG2" s="603"/>
      <c r="AH2" s="648"/>
      <c r="AI2" s="649"/>
      <c r="AJ2" s="644"/>
    </row>
    <row r="3" spans="1:36" ht="15" customHeight="1" x14ac:dyDescent="0.25">
      <c r="A3" s="628"/>
      <c r="B3" s="631"/>
      <c r="C3" s="608" t="s">
        <v>10</v>
      </c>
      <c r="D3" s="606" t="s">
        <v>62</v>
      </c>
      <c r="E3" s="606" t="s">
        <v>63</v>
      </c>
      <c r="F3" s="606" t="s">
        <v>11</v>
      </c>
      <c r="G3" s="606" t="s">
        <v>12</v>
      </c>
      <c r="H3" s="606" t="s">
        <v>99</v>
      </c>
      <c r="I3" s="634" t="s">
        <v>14</v>
      </c>
      <c r="J3" s="616" t="s">
        <v>10</v>
      </c>
      <c r="K3" s="606" t="s">
        <v>108</v>
      </c>
      <c r="L3" s="604" t="s">
        <v>70</v>
      </c>
      <c r="M3" s="608" t="s">
        <v>10</v>
      </c>
      <c r="N3" s="606" t="s">
        <v>62</v>
      </c>
      <c r="O3" s="606" t="s">
        <v>115</v>
      </c>
      <c r="P3" s="606" t="s">
        <v>76</v>
      </c>
      <c r="Q3" s="606" t="s">
        <v>108</v>
      </c>
      <c r="R3" s="604" t="s">
        <v>75</v>
      </c>
      <c r="S3" s="608" t="s">
        <v>10</v>
      </c>
      <c r="T3" s="606" t="s">
        <v>106</v>
      </c>
      <c r="U3" s="606" t="s">
        <v>14</v>
      </c>
      <c r="V3" s="606" t="s">
        <v>64</v>
      </c>
      <c r="W3" s="606" t="s">
        <v>78</v>
      </c>
      <c r="X3" s="604" t="s">
        <v>77</v>
      </c>
      <c r="Y3" s="608" t="s">
        <v>10</v>
      </c>
      <c r="Z3" s="606" t="s">
        <v>14</v>
      </c>
      <c r="AA3" s="606" t="s">
        <v>85</v>
      </c>
      <c r="AB3" s="604" t="s">
        <v>86</v>
      </c>
      <c r="AC3" s="608" t="s">
        <v>10</v>
      </c>
      <c r="AD3" s="606" t="s">
        <v>84</v>
      </c>
      <c r="AE3" s="606" t="s">
        <v>83</v>
      </c>
      <c r="AF3" s="606" t="s">
        <v>14</v>
      </c>
      <c r="AG3" s="604" t="s">
        <v>64</v>
      </c>
      <c r="AH3" s="608" t="s">
        <v>10</v>
      </c>
      <c r="AI3" s="634" t="s">
        <v>31</v>
      </c>
      <c r="AJ3" s="644"/>
    </row>
    <row r="4" spans="1:36" ht="40.5" customHeight="1" thickBot="1" x14ac:dyDescent="0.3">
      <c r="A4" s="629"/>
      <c r="B4" s="631"/>
      <c r="C4" s="633"/>
      <c r="D4" s="610"/>
      <c r="E4" s="610"/>
      <c r="F4" s="610"/>
      <c r="G4" s="610"/>
      <c r="H4" s="610"/>
      <c r="I4" s="635"/>
      <c r="J4" s="617"/>
      <c r="K4" s="610"/>
      <c r="L4" s="632"/>
      <c r="M4" s="609"/>
      <c r="N4" s="607"/>
      <c r="O4" s="607"/>
      <c r="P4" s="607"/>
      <c r="Q4" s="607"/>
      <c r="R4" s="605"/>
      <c r="S4" s="609"/>
      <c r="T4" s="610"/>
      <c r="U4" s="607"/>
      <c r="V4" s="607"/>
      <c r="W4" s="607"/>
      <c r="X4" s="605"/>
      <c r="Y4" s="609"/>
      <c r="Z4" s="607"/>
      <c r="AA4" s="607"/>
      <c r="AB4" s="632"/>
      <c r="AC4" s="609"/>
      <c r="AD4" s="607"/>
      <c r="AE4" s="607"/>
      <c r="AF4" s="607"/>
      <c r="AG4" s="605"/>
      <c r="AH4" s="609"/>
      <c r="AI4" s="635"/>
      <c r="AJ4" s="645"/>
    </row>
    <row r="5" spans="1:36" ht="15.75" hidden="1" customHeight="1" thickBot="1" x14ac:dyDescent="0.3">
      <c r="A5" s="141" t="s">
        <v>3</v>
      </c>
      <c r="B5" s="469">
        <v>43857</v>
      </c>
      <c r="C5" s="253"/>
      <c r="D5" s="213"/>
      <c r="E5" s="213"/>
      <c r="F5" s="213"/>
      <c r="G5" s="213"/>
      <c r="H5" s="213"/>
      <c r="I5" s="241"/>
      <c r="J5" s="418"/>
      <c r="K5" s="213"/>
      <c r="L5" s="304"/>
      <c r="M5" s="253"/>
      <c r="N5" s="213"/>
      <c r="O5" s="213"/>
      <c r="P5" s="213"/>
      <c r="Q5" s="213"/>
      <c r="R5" s="304"/>
      <c r="S5" s="253"/>
      <c r="T5" s="213"/>
      <c r="U5" s="213"/>
      <c r="V5" s="213"/>
      <c r="W5" s="417"/>
      <c r="X5" s="304"/>
      <c r="Y5" s="253"/>
      <c r="Z5" s="473"/>
      <c r="AA5" s="213"/>
      <c r="AB5" s="304"/>
      <c r="AC5" s="253"/>
      <c r="AD5" s="473"/>
      <c r="AE5" s="213"/>
      <c r="AF5" s="213"/>
      <c r="AG5" s="304"/>
      <c r="AH5" s="253"/>
      <c r="AI5" s="241"/>
      <c r="AJ5" s="185">
        <f t="shared" ref="AJ5:AJ11" si="0">SUM(C5:AI5)</f>
        <v>0</v>
      </c>
    </row>
    <row r="6" spans="1:36" ht="17.25" hidden="1" customHeight="1" thickBot="1" x14ac:dyDescent="0.3">
      <c r="A6" s="141" t="s">
        <v>4</v>
      </c>
      <c r="B6" s="470">
        <v>43858</v>
      </c>
      <c r="C6" s="310"/>
      <c r="D6" s="311"/>
      <c r="E6" s="311"/>
      <c r="F6" s="311"/>
      <c r="G6" s="311"/>
      <c r="H6" s="311"/>
      <c r="I6" s="471"/>
      <c r="J6" s="423"/>
      <c r="K6" s="311"/>
      <c r="L6" s="236"/>
      <c r="M6" s="247"/>
      <c r="N6" s="214"/>
      <c r="O6" s="214"/>
      <c r="P6" s="214"/>
      <c r="Q6" s="214"/>
      <c r="R6" s="236"/>
      <c r="S6" s="247"/>
      <c r="T6" s="214"/>
      <c r="U6" s="214"/>
      <c r="V6" s="214"/>
      <c r="W6" s="214"/>
      <c r="X6" s="236"/>
      <c r="Y6" s="247"/>
      <c r="Z6" s="311"/>
      <c r="AA6" s="214"/>
      <c r="AB6" s="236"/>
      <c r="AC6" s="247"/>
      <c r="AD6" s="474"/>
      <c r="AE6" s="214"/>
      <c r="AF6" s="214"/>
      <c r="AG6" s="236"/>
      <c r="AH6" s="247"/>
      <c r="AI6" s="238"/>
      <c r="AJ6" s="185">
        <f t="shared" si="0"/>
        <v>0</v>
      </c>
    </row>
    <row r="7" spans="1:36" ht="15.75" hidden="1" customHeight="1" thickBot="1" x14ac:dyDescent="0.3">
      <c r="A7" s="141" t="s">
        <v>5</v>
      </c>
      <c r="B7" s="470">
        <v>43859</v>
      </c>
      <c r="C7" s="310"/>
      <c r="D7" s="311"/>
      <c r="E7" s="311"/>
      <c r="F7" s="311"/>
      <c r="G7" s="311"/>
      <c r="H7" s="311"/>
      <c r="I7" s="471"/>
      <c r="J7" s="423"/>
      <c r="K7" s="311"/>
      <c r="L7" s="236"/>
      <c r="M7" s="247"/>
      <c r="N7" s="214"/>
      <c r="O7" s="214"/>
      <c r="P7" s="214"/>
      <c r="Q7" s="214"/>
      <c r="R7" s="236"/>
      <c r="S7" s="247"/>
      <c r="T7" s="214"/>
      <c r="U7" s="214"/>
      <c r="V7" s="214"/>
      <c r="W7" s="214"/>
      <c r="X7" s="236"/>
      <c r="Y7" s="247"/>
      <c r="Z7" s="311"/>
      <c r="AA7" s="214"/>
      <c r="AB7" s="236"/>
      <c r="AC7" s="247"/>
      <c r="AD7" s="214"/>
      <c r="AE7" s="214"/>
      <c r="AF7" s="214"/>
      <c r="AG7" s="236"/>
      <c r="AH7" s="247"/>
      <c r="AI7" s="238"/>
      <c r="AJ7" s="185">
        <f t="shared" si="0"/>
        <v>0</v>
      </c>
    </row>
    <row r="8" spans="1:36" ht="15.75" hidden="1" customHeight="1" thickBot="1" x14ac:dyDescent="0.3">
      <c r="A8" s="141" t="s">
        <v>6</v>
      </c>
      <c r="B8" s="470">
        <v>43860</v>
      </c>
      <c r="C8" s="310"/>
      <c r="D8" s="311"/>
      <c r="E8" s="311"/>
      <c r="F8" s="311"/>
      <c r="G8" s="311"/>
      <c r="H8" s="311"/>
      <c r="I8" s="471"/>
      <c r="J8" s="423"/>
      <c r="K8" s="311"/>
      <c r="L8" s="236"/>
      <c r="M8" s="247"/>
      <c r="N8" s="214"/>
      <c r="O8" s="214"/>
      <c r="P8" s="214"/>
      <c r="Q8" s="214"/>
      <c r="R8" s="236"/>
      <c r="S8" s="247"/>
      <c r="T8" s="214"/>
      <c r="U8" s="214"/>
      <c r="V8" s="214"/>
      <c r="W8" s="214"/>
      <c r="X8" s="236"/>
      <c r="Y8" s="247"/>
      <c r="Z8" s="311"/>
      <c r="AA8" s="214"/>
      <c r="AB8" s="236"/>
      <c r="AC8" s="247"/>
      <c r="AD8" s="214"/>
      <c r="AE8" s="214"/>
      <c r="AF8" s="214"/>
      <c r="AG8" s="236"/>
      <c r="AH8" s="247"/>
      <c r="AI8" s="238"/>
      <c r="AJ8" s="185">
        <f t="shared" si="0"/>
        <v>0</v>
      </c>
    </row>
    <row r="9" spans="1:36" ht="15.75" hidden="1" thickBot="1" x14ac:dyDescent="0.3">
      <c r="A9" s="141" t="s">
        <v>0</v>
      </c>
      <c r="B9" s="470">
        <v>43861</v>
      </c>
      <c r="C9" s="310"/>
      <c r="D9" s="311"/>
      <c r="E9" s="311"/>
      <c r="F9" s="311"/>
      <c r="G9" s="311"/>
      <c r="H9" s="311"/>
      <c r="I9" s="471"/>
      <c r="J9" s="423"/>
      <c r="K9" s="311"/>
      <c r="L9" s="236"/>
      <c r="M9" s="247"/>
      <c r="N9" s="214"/>
      <c r="O9" s="214"/>
      <c r="P9" s="214"/>
      <c r="Q9" s="214"/>
      <c r="R9" s="236"/>
      <c r="S9" s="247"/>
      <c r="T9" s="214"/>
      <c r="U9" s="214"/>
      <c r="V9" s="214"/>
      <c r="W9" s="214"/>
      <c r="X9" s="236"/>
      <c r="Y9" s="247"/>
      <c r="Z9" s="311"/>
      <c r="AA9" s="214"/>
      <c r="AB9" s="236"/>
      <c r="AC9" s="247"/>
      <c r="AD9" s="214"/>
      <c r="AE9" s="214"/>
      <c r="AF9" s="214"/>
      <c r="AG9" s="236"/>
      <c r="AH9" s="247"/>
      <c r="AI9" s="238"/>
      <c r="AJ9" s="185">
        <f t="shared" si="0"/>
        <v>0</v>
      </c>
    </row>
    <row r="10" spans="1:36" ht="15.75" thickBot="1" x14ac:dyDescent="0.3">
      <c r="A10" s="141" t="s">
        <v>1</v>
      </c>
      <c r="B10" s="470">
        <v>43862</v>
      </c>
      <c r="C10" s="310">
        <v>307</v>
      </c>
      <c r="D10" s="311">
        <v>656</v>
      </c>
      <c r="E10" s="311">
        <v>208</v>
      </c>
      <c r="F10" s="311">
        <v>643</v>
      </c>
      <c r="G10" s="311">
        <v>235</v>
      </c>
      <c r="H10" s="311">
        <v>213</v>
      </c>
      <c r="I10" s="471">
        <v>543</v>
      </c>
      <c r="J10" s="423">
        <v>271</v>
      </c>
      <c r="K10" s="311">
        <v>50</v>
      </c>
      <c r="L10" s="236">
        <v>297</v>
      </c>
      <c r="M10" s="247">
        <v>229</v>
      </c>
      <c r="N10" s="214">
        <v>120</v>
      </c>
      <c r="O10" s="214">
        <v>54</v>
      </c>
      <c r="P10" s="214">
        <v>68</v>
      </c>
      <c r="Q10" s="214">
        <v>11</v>
      </c>
      <c r="R10" s="236">
        <v>91</v>
      </c>
      <c r="S10" s="247">
        <v>127</v>
      </c>
      <c r="T10" s="214">
        <v>58</v>
      </c>
      <c r="U10" s="214">
        <v>166</v>
      </c>
      <c r="V10" s="214">
        <v>203</v>
      </c>
      <c r="W10" s="214">
        <v>179</v>
      </c>
      <c r="X10" s="236">
        <v>186</v>
      </c>
      <c r="Y10" s="247">
        <v>106</v>
      </c>
      <c r="Z10" s="311">
        <v>123</v>
      </c>
      <c r="AA10" s="214">
        <v>114</v>
      </c>
      <c r="AB10" s="236">
        <v>197</v>
      </c>
      <c r="AC10" s="247">
        <v>79</v>
      </c>
      <c r="AD10" s="214">
        <v>30</v>
      </c>
      <c r="AE10" s="214">
        <v>59</v>
      </c>
      <c r="AF10" s="214">
        <v>94</v>
      </c>
      <c r="AG10" s="236">
        <v>146</v>
      </c>
      <c r="AH10" s="247"/>
      <c r="AI10" s="238"/>
      <c r="AJ10" s="185">
        <f t="shared" si="0"/>
        <v>5863</v>
      </c>
    </row>
    <row r="11" spans="1:36" ht="15.75" thickBot="1" x14ac:dyDescent="0.3">
      <c r="A11" s="141" t="s">
        <v>2</v>
      </c>
      <c r="B11" s="470">
        <v>43863</v>
      </c>
      <c r="C11" s="310">
        <v>348</v>
      </c>
      <c r="D11" s="311">
        <v>450</v>
      </c>
      <c r="E11" s="311">
        <v>128</v>
      </c>
      <c r="F11" s="311">
        <v>507</v>
      </c>
      <c r="G11" s="311">
        <v>174</v>
      </c>
      <c r="H11" s="311">
        <v>213</v>
      </c>
      <c r="I11" s="471">
        <v>511</v>
      </c>
      <c r="J11" s="423">
        <v>168</v>
      </c>
      <c r="K11" s="311">
        <v>38</v>
      </c>
      <c r="L11" s="236">
        <v>156</v>
      </c>
      <c r="M11" s="247">
        <v>95</v>
      </c>
      <c r="N11" s="214">
        <v>121</v>
      </c>
      <c r="O11" s="214">
        <v>31</v>
      </c>
      <c r="P11" s="214">
        <v>45</v>
      </c>
      <c r="Q11" s="214">
        <v>23</v>
      </c>
      <c r="R11" s="236">
        <v>50</v>
      </c>
      <c r="S11" s="247">
        <v>101</v>
      </c>
      <c r="T11" s="214">
        <v>56</v>
      </c>
      <c r="U11" s="214">
        <v>177</v>
      </c>
      <c r="V11" s="214">
        <v>153</v>
      </c>
      <c r="W11" s="214">
        <v>141</v>
      </c>
      <c r="X11" s="236">
        <v>148</v>
      </c>
      <c r="Y11" s="247">
        <v>85</v>
      </c>
      <c r="Z11" s="311">
        <v>73</v>
      </c>
      <c r="AA11" s="214">
        <v>96</v>
      </c>
      <c r="AB11" s="236">
        <v>131</v>
      </c>
      <c r="AC11" s="247">
        <v>47</v>
      </c>
      <c r="AD11" s="214">
        <v>18</v>
      </c>
      <c r="AE11" s="214">
        <v>70</v>
      </c>
      <c r="AF11" s="214">
        <v>81</v>
      </c>
      <c r="AG11" s="236">
        <v>172</v>
      </c>
      <c r="AH11" s="247"/>
      <c r="AI11" s="238"/>
      <c r="AJ11" s="185">
        <f t="shared" si="0"/>
        <v>4607</v>
      </c>
    </row>
    <row r="12" spans="1:36" ht="15.75" thickBot="1" x14ac:dyDescent="0.3">
      <c r="A12" s="150" t="s">
        <v>21</v>
      </c>
      <c r="B12" s="615" t="s">
        <v>24</v>
      </c>
      <c r="C12" s="248">
        <f t="shared" ref="C12:H12" si="1">SUM(C5:C11)</f>
        <v>655</v>
      </c>
      <c r="D12" s="228">
        <f t="shared" si="1"/>
        <v>1106</v>
      </c>
      <c r="E12" s="228">
        <f t="shared" si="1"/>
        <v>336</v>
      </c>
      <c r="F12" s="228">
        <f t="shared" si="1"/>
        <v>1150</v>
      </c>
      <c r="G12" s="228">
        <f t="shared" si="1"/>
        <v>409</v>
      </c>
      <c r="H12" s="228">
        <f t="shared" si="1"/>
        <v>426</v>
      </c>
      <c r="I12" s="228">
        <f t="shared" ref="I12:AI12" si="2">SUM(I5:I11)</f>
        <v>1054</v>
      </c>
      <c r="J12" s="228">
        <f t="shared" si="2"/>
        <v>439</v>
      </c>
      <c r="K12" s="228">
        <f t="shared" si="2"/>
        <v>88</v>
      </c>
      <c r="L12" s="228">
        <f t="shared" si="2"/>
        <v>453</v>
      </c>
      <c r="M12" s="228">
        <f t="shared" si="2"/>
        <v>324</v>
      </c>
      <c r="N12" s="228">
        <f t="shared" si="2"/>
        <v>241</v>
      </c>
      <c r="O12" s="228">
        <f t="shared" si="2"/>
        <v>85</v>
      </c>
      <c r="P12" s="228">
        <f t="shared" si="2"/>
        <v>113</v>
      </c>
      <c r="Q12" s="228">
        <f t="shared" si="2"/>
        <v>34</v>
      </c>
      <c r="R12" s="228">
        <f t="shared" si="2"/>
        <v>141</v>
      </c>
      <c r="S12" s="228">
        <f t="shared" si="2"/>
        <v>228</v>
      </c>
      <c r="T12" s="228">
        <f t="shared" si="2"/>
        <v>114</v>
      </c>
      <c r="U12" s="228">
        <f t="shared" si="2"/>
        <v>343</v>
      </c>
      <c r="V12" s="228">
        <f t="shared" si="2"/>
        <v>356</v>
      </c>
      <c r="W12" s="228">
        <f t="shared" si="2"/>
        <v>320</v>
      </c>
      <c r="X12" s="228">
        <f t="shared" si="2"/>
        <v>334</v>
      </c>
      <c r="Y12" s="228">
        <f t="shared" si="2"/>
        <v>191</v>
      </c>
      <c r="Z12" s="228">
        <f t="shared" si="2"/>
        <v>196</v>
      </c>
      <c r="AA12" s="228">
        <f t="shared" si="2"/>
        <v>210</v>
      </c>
      <c r="AB12" s="228">
        <f t="shared" si="2"/>
        <v>328</v>
      </c>
      <c r="AC12" s="228">
        <f t="shared" si="2"/>
        <v>126</v>
      </c>
      <c r="AD12" s="228">
        <f t="shared" si="2"/>
        <v>48</v>
      </c>
      <c r="AE12" s="228">
        <f t="shared" si="2"/>
        <v>129</v>
      </c>
      <c r="AF12" s="228">
        <f t="shared" si="2"/>
        <v>175</v>
      </c>
      <c r="AG12" s="228">
        <f t="shared" si="2"/>
        <v>318</v>
      </c>
      <c r="AH12" s="228">
        <f t="shared" si="2"/>
        <v>0</v>
      </c>
      <c r="AI12" s="228">
        <f t="shared" si="2"/>
        <v>0</v>
      </c>
      <c r="AJ12" s="151">
        <f>SUM(AJ5:AJ11)</f>
        <v>10470</v>
      </c>
    </row>
    <row r="13" spans="1:36" ht="15.75" thickBot="1" x14ac:dyDescent="0.3">
      <c r="A13" s="101" t="s">
        <v>23</v>
      </c>
      <c r="B13" s="615"/>
      <c r="C13" s="248">
        <f t="shared" ref="C13:H13" si="3">AVERAGE(C5:C11)</f>
        <v>327.5</v>
      </c>
      <c r="D13" s="228">
        <f t="shared" si="3"/>
        <v>553</v>
      </c>
      <c r="E13" s="228">
        <f t="shared" si="3"/>
        <v>168</v>
      </c>
      <c r="F13" s="228">
        <f t="shared" si="3"/>
        <v>575</v>
      </c>
      <c r="G13" s="228">
        <f t="shared" si="3"/>
        <v>204.5</v>
      </c>
      <c r="H13" s="228">
        <f t="shared" si="3"/>
        <v>213</v>
      </c>
      <c r="I13" s="228">
        <f t="shared" ref="I13:AI13" si="4">AVERAGE(I5:I11)</f>
        <v>527</v>
      </c>
      <c r="J13" s="228">
        <f t="shared" si="4"/>
        <v>219.5</v>
      </c>
      <c r="K13" s="228">
        <f t="shared" si="4"/>
        <v>44</v>
      </c>
      <c r="L13" s="228">
        <f t="shared" si="4"/>
        <v>226.5</v>
      </c>
      <c r="M13" s="228">
        <f t="shared" si="4"/>
        <v>162</v>
      </c>
      <c r="N13" s="228">
        <f t="shared" si="4"/>
        <v>120.5</v>
      </c>
      <c r="O13" s="228">
        <f t="shared" si="4"/>
        <v>42.5</v>
      </c>
      <c r="P13" s="228">
        <f t="shared" si="4"/>
        <v>56.5</v>
      </c>
      <c r="Q13" s="228">
        <f t="shared" si="4"/>
        <v>17</v>
      </c>
      <c r="R13" s="228">
        <f t="shared" si="4"/>
        <v>70.5</v>
      </c>
      <c r="S13" s="228">
        <f t="shared" si="4"/>
        <v>114</v>
      </c>
      <c r="T13" s="228">
        <f t="shared" si="4"/>
        <v>57</v>
      </c>
      <c r="U13" s="228">
        <f t="shared" si="4"/>
        <v>171.5</v>
      </c>
      <c r="V13" s="228">
        <f t="shared" si="4"/>
        <v>178</v>
      </c>
      <c r="W13" s="228">
        <f t="shared" si="4"/>
        <v>160</v>
      </c>
      <c r="X13" s="228">
        <f t="shared" si="4"/>
        <v>167</v>
      </c>
      <c r="Y13" s="228">
        <f t="shared" si="4"/>
        <v>95.5</v>
      </c>
      <c r="Z13" s="228">
        <f t="shared" si="4"/>
        <v>98</v>
      </c>
      <c r="AA13" s="228">
        <f t="shared" si="4"/>
        <v>105</v>
      </c>
      <c r="AB13" s="228">
        <f t="shared" si="4"/>
        <v>164</v>
      </c>
      <c r="AC13" s="228">
        <f t="shared" si="4"/>
        <v>63</v>
      </c>
      <c r="AD13" s="228">
        <f t="shared" si="4"/>
        <v>24</v>
      </c>
      <c r="AE13" s="228">
        <f t="shared" si="4"/>
        <v>64.5</v>
      </c>
      <c r="AF13" s="228">
        <f t="shared" si="4"/>
        <v>87.5</v>
      </c>
      <c r="AG13" s="228">
        <f t="shared" si="4"/>
        <v>159</v>
      </c>
      <c r="AH13" s="228" t="e">
        <f t="shared" si="4"/>
        <v>#DIV/0!</v>
      </c>
      <c r="AI13" s="228" t="e">
        <f t="shared" si="4"/>
        <v>#DIV/0!</v>
      </c>
      <c r="AJ13" s="152">
        <f>AVERAGE(AJ5:AJ11)</f>
        <v>1495.7142857142858</v>
      </c>
    </row>
    <row r="14" spans="1:36" ht="15.75" thickBot="1" x14ac:dyDescent="0.3">
      <c r="A14" s="23" t="s">
        <v>20</v>
      </c>
      <c r="B14" s="615"/>
      <c r="C14" s="250">
        <f t="shared" ref="C14:H14" si="5">SUM(C5:C9)</f>
        <v>0</v>
      </c>
      <c r="D14" s="229">
        <f t="shared" si="5"/>
        <v>0</v>
      </c>
      <c r="E14" s="229">
        <f t="shared" si="5"/>
        <v>0</v>
      </c>
      <c r="F14" s="229">
        <f t="shared" si="5"/>
        <v>0</v>
      </c>
      <c r="G14" s="229">
        <f t="shared" si="5"/>
        <v>0</v>
      </c>
      <c r="H14" s="229">
        <f t="shared" si="5"/>
        <v>0</v>
      </c>
      <c r="I14" s="229">
        <f t="shared" ref="I14:AG14" si="6">SUM(I5:I9)</f>
        <v>0</v>
      </c>
      <c r="J14" s="229">
        <f t="shared" si="6"/>
        <v>0</v>
      </c>
      <c r="K14" s="229">
        <f t="shared" si="6"/>
        <v>0</v>
      </c>
      <c r="L14" s="229">
        <f t="shared" si="6"/>
        <v>0</v>
      </c>
      <c r="M14" s="229">
        <f t="shared" si="6"/>
        <v>0</v>
      </c>
      <c r="N14" s="229">
        <f t="shared" si="6"/>
        <v>0</v>
      </c>
      <c r="O14" s="229">
        <f t="shared" si="6"/>
        <v>0</v>
      </c>
      <c r="P14" s="229">
        <f t="shared" si="6"/>
        <v>0</v>
      </c>
      <c r="Q14" s="229">
        <f t="shared" si="6"/>
        <v>0</v>
      </c>
      <c r="R14" s="229">
        <f t="shared" si="6"/>
        <v>0</v>
      </c>
      <c r="S14" s="229">
        <f t="shared" si="6"/>
        <v>0</v>
      </c>
      <c r="T14" s="229">
        <f t="shared" si="6"/>
        <v>0</v>
      </c>
      <c r="U14" s="229">
        <f t="shared" si="6"/>
        <v>0</v>
      </c>
      <c r="V14" s="229">
        <f t="shared" si="6"/>
        <v>0</v>
      </c>
      <c r="W14" s="229">
        <f t="shared" si="6"/>
        <v>0</v>
      </c>
      <c r="X14" s="229">
        <f t="shared" si="6"/>
        <v>0</v>
      </c>
      <c r="Y14" s="229">
        <f t="shared" si="6"/>
        <v>0</v>
      </c>
      <c r="Z14" s="229">
        <f t="shared" si="6"/>
        <v>0</v>
      </c>
      <c r="AA14" s="229">
        <f t="shared" si="6"/>
        <v>0</v>
      </c>
      <c r="AB14" s="229">
        <f t="shared" si="6"/>
        <v>0</v>
      </c>
      <c r="AC14" s="229">
        <f t="shared" si="6"/>
        <v>0</v>
      </c>
      <c r="AD14" s="229">
        <f t="shared" si="6"/>
        <v>0</v>
      </c>
      <c r="AE14" s="229">
        <f t="shared" si="6"/>
        <v>0</v>
      </c>
      <c r="AF14" s="229">
        <f t="shared" si="6"/>
        <v>0</v>
      </c>
      <c r="AG14" s="229">
        <f t="shared" si="6"/>
        <v>0</v>
      </c>
      <c r="AH14" s="229">
        <f>SUM(AH5:AH9)</f>
        <v>0</v>
      </c>
      <c r="AI14" s="229">
        <f>SUM(AI5:AI9)</f>
        <v>0</v>
      </c>
      <c r="AJ14" s="153">
        <f>SUM(AJ5:AJ9)</f>
        <v>0</v>
      </c>
    </row>
    <row r="15" spans="1:36" ht="15.75" thickBot="1" x14ac:dyDescent="0.3">
      <c r="A15" s="23" t="s">
        <v>22</v>
      </c>
      <c r="B15" s="615"/>
      <c r="C15" s="250" t="e">
        <f t="shared" ref="C15:H15" si="7">AVERAGE(C5:C9)</f>
        <v>#DIV/0!</v>
      </c>
      <c r="D15" s="229" t="e">
        <f t="shared" si="7"/>
        <v>#DIV/0!</v>
      </c>
      <c r="E15" s="229" t="e">
        <f t="shared" si="7"/>
        <v>#DIV/0!</v>
      </c>
      <c r="F15" s="229" t="e">
        <f t="shared" si="7"/>
        <v>#DIV/0!</v>
      </c>
      <c r="G15" s="229" t="e">
        <f t="shared" si="7"/>
        <v>#DIV/0!</v>
      </c>
      <c r="H15" s="229" t="e">
        <f t="shared" si="7"/>
        <v>#DIV/0!</v>
      </c>
      <c r="I15" s="229" t="e">
        <f t="shared" ref="I15:AI15" si="8">AVERAGE(I5:I9)</f>
        <v>#DIV/0!</v>
      </c>
      <c r="J15" s="229" t="e">
        <f t="shared" si="8"/>
        <v>#DIV/0!</v>
      </c>
      <c r="K15" s="229" t="e">
        <f t="shared" si="8"/>
        <v>#DIV/0!</v>
      </c>
      <c r="L15" s="229" t="e">
        <f t="shared" si="8"/>
        <v>#DIV/0!</v>
      </c>
      <c r="M15" s="229" t="e">
        <f t="shared" si="8"/>
        <v>#DIV/0!</v>
      </c>
      <c r="N15" s="229" t="e">
        <f t="shared" si="8"/>
        <v>#DIV/0!</v>
      </c>
      <c r="O15" s="229" t="e">
        <f t="shared" si="8"/>
        <v>#DIV/0!</v>
      </c>
      <c r="P15" s="229" t="e">
        <f t="shared" si="8"/>
        <v>#DIV/0!</v>
      </c>
      <c r="Q15" s="229" t="e">
        <f t="shared" si="8"/>
        <v>#DIV/0!</v>
      </c>
      <c r="R15" s="229" t="e">
        <f t="shared" si="8"/>
        <v>#DIV/0!</v>
      </c>
      <c r="S15" s="229" t="e">
        <f t="shared" si="8"/>
        <v>#DIV/0!</v>
      </c>
      <c r="T15" s="229" t="e">
        <f t="shared" si="8"/>
        <v>#DIV/0!</v>
      </c>
      <c r="U15" s="229" t="e">
        <f t="shared" si="8"/>
        <v>#DIV/0!</v>
      </c>
      <c r="V15" s="229" t="e">
        <f t="shared" si="8"/>
        <v>#DIV/0!</v>
      </c>
      <c r="W15" s="229" t="e">
        <f t="shared" si="8"/>
        <v>#DIV/0!</v>
      </c>
      <c r="X15" s="229" t="e">
        <f t="shared" si="8"/>
        <v>#DIV/0!</v>
      </c>
      <c r="Y15" s="229" t="e">
        <f t="shared" si="8"/>
        <v>#DIV/0!</v>
      </c>
      <c r="Z15" s="229" t="e">
        <f t="shared" si="8"/>
        <v>#DIV/0!</v>
      </c>
      <c r="AA15" s="229" t="e">
        <f t="shared" si="8"/>
        <v>#DIV/0!</v>
      </c>
      <c r="AB15" s="229" t="e">
        <f t="shared" si="8"/>
        <v>#DIV/0!</v>
      </c>
      <c r="AC15" s="229" t="e">
        <f t="shared" si="8"/>
        <v>#DIV/0!</v>
      </c>
      <c r="AD15" s="229" t="e">
        <f t="shared" si="8"/>
        <v>#DIV/0!</v>
      </c>
      <c r="AE15" s="229" t="e">
        <f t="shared" si="8"/>
        <v>#DIV/0!</v>
      </c>
      <c r="AF15" s="229" t="e">
        <f t="shared" si="8"/>
        <v>#DIV/0!</v>
      </c>
      <c r="AG15" s="229" t="e">
        <f t="shared" si="8"/>
        <v>#DIV/0!</v>
      </c>
      <c r="AH15" s="229" t="e">
        <f t="shared" si="8"/>
        <v>#DIV/0!</v>
      </c>
      <c r="AI15" s="229" t="e">
        <f t="shared" si="8"/>
        <v>#DIV/0!</v>
      </c>
      <c r="AJ15" s="154">
        <f>AVERAGE(AJ5:AJ9)</f>
        <v>0</v>
      </c>
    </row>
    <row r="16" spans="1:36" ht="15.75" thickBot="1" x14ac:dyDescent="0.3">
      <c r="A16" s="141" t="s">
        <v>3</v>
      </c>
      <c r="B16" s="470">
        <f>B11+1</f>
        <v>43864</v>
      </c>
      <c r="C16" s="310">
        <v>1116</v>
      </c>
      <c r="D16" s="214">
        <v>814</v>
      </c>
      <c r="E16" s="214">
        <v>544</v>
      </c>
      <c r="F16" s="214">
        <v>1170</v>
      </c>
      <c r="G16" s="214">
        <v>702</v>
      </c>
      <c r="H16" s="214">
        <v>335</v>
      </c>
      <c r="I16" s="238">
        <v>1145</v>
      </c>
      <c r="J16" s="263">
        <v>621</v>
      </c>
      <c r="K16" s="214">
        <v>184</v>
      </c>
      <c r="L16" s="236">
        <v>549</v>
      </c>
      <c r="M16" s="247">
        <v>331</v>
      </c>
      <c r="N16" s="214">
        <v>209</v>
      </c>
      <c r="O16" s="214">
        <v>149</v>
      </c>
      <c r="P16" s="214">
        <v>150</v>
      </c>
      <c r="Q16" s="214">
        <v>78</v>
      </c>
      <c r="R16" s="236">
        <v>121</v>
      </c>
      <c r="S16" s="247">
        <v>433</v>
      </c>
      <c r="T16" s="214">
        <v>228</v>
      </c>
      <c r="U16" s="214">
        <v>573</v>
      </c>
      <c r="V16" s="214">
        <v>452</v>
      </c>
      <c r="W16" s="214">
        <v>338</v>
      </c>
      <c r="X16" s="236">
        <v>412</v>
      </c>
      <c r="Y16" s="247">
        <v>485</v>
      </c>
      <c r="Z16" s="179">
        <v>416</v>
      </c>
      <c r="AA16" s="214">
        <v>365</v>
      </c>
      <c r="AB16" s="236">
        <v>576</v>
      </c>
      <c r="AC16" s="247">
        <v>236</v>
      </c>
      <c r="AD16" s="214">
        <v>66</v>
      </c>
      <c r="AE16" s="214">
        <v>195</v>
      </c>
      <c r="AF16" s="214">
        <v>234</v>
      </c>
      <c r="AG16" s="236">
        <v>338</v>
      </c>
      <c r="AH16" s="247"/>
      <c r="AI16" s="238"/>
      <c r="AJ16" s="185">
        <f t="shared" ref="AJ16:AJ22" si="9">SUM(C16:AI16)</f>
        <v>13565</v>
      </c>
    </row>
    <row r="17" spans="1:36" ht="15.75" thickBot="1" x14ac:dyDescent="0.3">
      <c r="A17" s="141" t="s">
        <v>4</v>
      </c>
      <c r="B17" s="470">
        <f t="shared" ref="B17:B22" si="10">B16+1</f>
        <v>43865</v>
      </c>
      <c r="C17" s="310">
        <v>1013</v>
      </c>
      <c r="D17" s="214">
        <v>605</v>
      </c>
      <c r="E17" s="214">
        <v>506</v>
      </c>
      <c r="F17" s="214">
        <v>1227</v>
      </c>
      <c r="G17" s="214">
        <v>672</v>
      </c>
      <c r="H17" s="214">
        <v>259</v>
      </c>
      <c r="I17" s="238">
        <v>1098</v>
      </c>
      <c r="J17" s="263">
        <v>562</v>
      </c>
      <c r="K17" s="214">
        <v>188</v>
      </c>
      <c r="L17" s="236">
        <v>480</v>
      </c>
      <c r="M17" s="247">
        <v>342</v>
      </c>
      <c r="N17" s="214">
        <v>155</v>
      </c>
      <c r="O17" s="214">
        <v>124</v>
      </c>
      <c r="P17" s="214">
        <v>146</v>
      </c>
      <c r="Q17" s="214">
        <v>49</v>
      </c>
      <c r="R17" s="236">
        <v>119</v>
      </c>
      <c r="S17" s="247">
        <v>428</v>
      </c>
      <c r="T17" s="179">
        <v>259</v>
      </c>
      <c r="U17" s="214">
        <v>600</v>
      </c>
      <c r="V17" s="214">
        <v>402</v>
      </c>
      <c r="W17" s="214">
        <v>343</v>
      </c>
      <c r="X17" s="236">
        <v>424</v>
      </c>
      <c r="Y17" s="247">
        <v>498</v>
      </c>
      <c r="Z17" s="179">
        <v>385</v>
      </c>
      <c r="AA17" s="214">
        <v>325</v>
      </c>
      <c r="AB17" s="236">
        <v>587</v>
      </c>
      <c r="AC17" s="247">
        <v>237</v>
      </c>
      <c r="AD17" s="179">
        <v>40</v>
      </c>
      <c r="AE17" s="214">
        <v>209</v>
      </c>
      <c r="AF17" s="214">
        <v>202</v>
      </c>
      <c r="AG17" s="236">
        <v>315</v>
      </c>
      <c r="AH17" s="247"/>
      <c r="AI17" s="238"/>
      <c r="AJ17" s="185">
        <f t="shared" si="9"/>
        <v>12799</v>
      </c>
    </row>
    <row r="18" spans="1:36" ht="15.75" thickBot="1" x14ac:dyDescent="0.3">
      <c r="A18" s="141" t="s">
        <v>5</v>
      </c>
      <c r="B18" s="470">
        <f t="shared" si="10"/>
        <v>43866</v>
      </c>
      <c r="C18" s="310">
        <v>845</v>
      </c>
      <c r="D18" s="214">
        <v>572</v>
      </c>
      <c r="E18" s="214">
        <v>513</v>
      </c>
      <c r="F18" s="214">
        <v>1111</v>
      </c>
      <c r="G18" s="214">
        <v>669</v>
      </c>
      <c r="H18" s="214">
        <v>256</v>
      </c>
      <c r="I18" s="238">
        <v>1018</v>
      </c>
      <c r="J18" s="263">
        <v>508</v>
      </c>
      <c r="K18" s="214">
        <v>178</v>
      </c>
      <c r="L18" s="236">
        <v>466</v>
      </c>
      <c r="M18" s="247">
        <v>305</v>
      </c>
      <c r="N18" s="214">
        <v>116</v>
      </c>
      <c r="O18" s="214">
        <v>107</v>
      </c>
      <c r="P18" s="214">
        <v>129</v>
      </c>
      <c r="Q18" s="214">
        <v>48</v>
      </c>
      <c r="R18" s="236">
        <v>82</v>
      </c>
      <c r="S18" s="247">
        <v>372</v>
      </c>
      <c r="T18" s="214">
        <v>240</v>
      </c>
      <c r="U18" s="214">
        <v>529</v>
      </c>
      <c r="V18" s="214">
        <v>352</v>
      </c>
      <c r="W18" s="214">
        <v>304</v>
      </c>
      <c r="X18" s="236">
        <v>410</v>
      </c>
      <c r="Y18" s="247">
        <v>462</v>
      </c>
      <c r="Z18" s="179">
        <v>361</v>
      </c>
      <c r="AA18" s="214">
        <v>288</v>
      </c>
      <c r="AB18" s="236">
        <v>583</v>
      </c>
      <c r="AC18" s="247">
        <v>219</v>
      </c>
      <c r="AD18" s="214">
        <v>40</v>
      </c>
      <c r="AE18" s="214">
        <v>223</v>
      </c>
      <c r="AF18" s="214">
        <v>208</v>
      </c>
      <c r="AG18" s="236">
        <v>348</v>
      </c>
      <c r="AH18" s="247"/>
      <c r="AI18" s="238"/>
      <c r="AJ18" s="185">
        <f t="shared" si="9"/>
        <v>11862</v>
      </c>
    </row>
    <row r="19" spans="1:36" ht="15.75" thickBot="1" x14ac:dyDescent="0.3">
      <c r="A19" s="141" t="s">
        <v>6</v>
      </c>
      <c r="B19" s="470">
        <f t="shared" si="10"/>
        <v>43867</v>
      </c>
      <c r="C19" s="310">
        <v>750</v>
      </c>
      <c r="D19" s="214">
        <v>448</v>
      </c>
      <c r="E19" s="214">
        <v>490</v>
      </c>
      <c r="F19" s="214">
        <v>909</v>
      </c>
      <c r="G19" s="214">
        <v>586</v>
      </c>
      <c r="H19" s="214">
        <v>198</v>
      </c>
      <c r="I19" s="238">
        <v>901</v>
      </c>
      <c r="J19" s="263">
        <v>473</v>
      </c>
      <c r="K19" s="214">
        <v>155</v>
      </c>
      <c r="L19" s="236">
        <v>434</v>
      </c>
      <c r="M19" s="247">
        <v>263</v>
      </c>
      <c r="N19" s="214">
        <v>86</v>
      </c>
      <c r="O19" s="214">
        <v>103</v>
      </c>
      <c r="P19" s="214">
        <v>128</v>
      </c>
      <c r="Q19" s="214">
        <v>48</v>
      </c>
      <c r="R19" s="236">
        <v>100</v>
      </c>
      <c r="S19" s="247">
        <v>366</v>
      </c>
      <c r="T19" s="214">
        <v>234</v>
      </c>
      <c r="U19" s="214">
        <v>493</v>
      </c>
      <c r="V19" s="214">
        <v>323</v>
      </c>
      <c r="W19" s="214">
        <v>264</v>
      </c>
      <c r="X19" s="236">
        <v>350</v>
      </c>
      <c r="Y19" s="247">
        <v>391</v>
      </c>
      <c r="Z19" s="179">
        <v>353</v>
      </c>
      <c r="AA19" s="214">
        <v>263</v>
      </c>
      <c r="AB19" s="236">
        <v>516</v>
      </c>
      <c r="AC19" s="247">
        <v>185</v>
      </c>
      <c r="AD19" s="214">
        <v>45</v>
      </c>
      <c r="AE19" s="214">
        <v>222</v>
      </c>
      <c r="AF19" s="214">
        <v>182</v>
      </c>
      <c r="AG19" s="236">
        <v>284</v>
      </c>
      <c r="AH19" s="247"/>
      <c r="AI19" s="238"/>
      <c r="AJ19" s="185">
        <f t="shared" si="9"/>
        <v>10543</v>
      </c>
    </row>
    <row r="20" spans="1:36" ht="15.75" thickBot="1" x14ac:dyDescent="0.3">
      <c r="A20" s="141" t="s">
        <v>0</v>
      </c>
      <c r="B20" s="470">
        <f t="shared" si="10"/>
        <v>43868</v>
      </c>
      <c r="C20" s="310">
        <v>749</v>
      </c>
      <c r="D20" s="214">
        <v>396</v>
      </c>
      <c r="E20" s="214">
        <v>419</v>
      </c>
      <c r="F20" s="214">
        <v>845</v>
      </c>
      <c r="G20" s="214">
        <v>581</v>
      </c>
      <c r="H20" s="214">
        <v>206</v>
      </c>
      <c r="I20" s="238">
        <v>860</v>
      </c>
      <c r="J20" s="263">
        <v>64</v>
      </c>
      <c r="K20" s="214">
        <v>88</v>
      </c>
      <c r="L20" s="236">
        <v>305</v>
      </c>
      <c r="M20" s="247">
        <v>197</v>
      </c>
      <c r="N20" s="214">
        <v>131</v>
      </c>
      <c r="O20" s="214">
        <v>60</v>
      </c>
      <c r="P20" s="214">
        <v>88</v>
      </c>
      <c r="Q20" s="214">
        <v>20</v>
      </c>
      <c r="R20" s="236">
        <v>68</v>
      </c>
      <c r="S20" s="247">
        <v>353</v>
      </c>
      <c r="T20" s="214">
        <v>244</v>
      </c>
      <c r="U20" s="214">
        <v>468</v>
      </c>
      <c r="V20" s="214">
        <v>314</v>
      </c>
      <c r="W20" s="214">
        <v>268</v>
      </c>
      <c r="X20" s="236">
        <v>325</v>
      </c>
      <c r="Y20" s="247">
        <v>368</v>
      </c>
      <c r="Z20" s="179">
        <v>324</v>
      </c>
      <c r="AA20" s="214">
        <v>233</v>
      </c>
      <c r="AB20" s="236">
        <v>549</v>
      </c>
      <c r="AC20" s="247">
        <v>160</v>
      </c>
      <c r="AD20" s="214">
        <v>54</v>
      </c>
      <c r="AE20" s="214">
        <v>184</v>
      </c>
      <c r="AF20" s="214">
        <v>172</v>
      </c>
      <c r="AG20" s="236">
        <v>314</v>
      </c>
      <c r="AH20" s="247"/>
      <c r="AI20" s="238"/>
      <c r="AJ20" s="185">
        <f t="shared" si="9"/>
        <v>9407</v>
      </c>
    </row>
    <row r="21" spans="1:36" ht="15.75" thickBot="1" x14ac:dyDescent="0.3">
      <c r="A21" s="141" t="s">
        <v>1</v>
      </c>
      <c r="B21" s="470">
        <f t="shared" si="10"/>
        <v>43869</v>
      </c>
      <c r="C21" s="310">
        <v>450</v>
      </c>
      <c r="D21" s="214">
        <v>807</v>
      </c>
      <c r="E21" s="214">
        <v>190</v>
      </c>
      <c r="F21" s="214">
        <v>658</v>
      </c>
      <c r="G21" s="214">
        <v>312</v>
      </c>
      <c r="H21" s="214">
        <v>271</v>
      </c>
      <c r="I21" s="238">
        <v>737</v>
      </c>
      <c r="J21" s="263">
        <v>309</v>
      </c>
      <c r="K21" s="214">
        <v>45</v>
      </c>
      <c r="L21" s="236">
        <v>426</v>
      </c>
      <c r="M21" s="247">
        <v>214</v>
      </c>
      <c r="N21" s="214">
        <v>109</v>
      </c>
      <c r="O21" s="214">
        <v>32</v>
      </c>
      <c r="P21" s="214">
        <v>63</v>
      </c>
      <c r="Q21" s="214">
        <v>28</v>
      </c>
      <c r="R21" s="236">
        <v>97</v>
      </c>
      <c r="S21" s="247">
        <v>127</v>
      </c>
      <c r="T21" s="214">
        <v>65</v>
      </c>
      <c r="U21" s="214">
        <v>209</v>
      </c>
      <c r="V21" s="214">
        <v>216</v>
      </c>
      <c r="W21" s="214">
        <v>176</v>
      </c>
      <c r="X21" s="236">
        <v>215</v>
      </c>
      <c r="Y21" s="247">
        <v>142</v>
      </c>
      <c r="Z21" s="179">
        <v>128</v>
      </c>
      <c r="AA21" s="214">
        <v>109</v>
      </c>
      <c r="AB21" s="236">
        <v>218</v>
      </c>
      <c r="AC21" s="247">
        <v>73</v>
      </c>
      <c r="AD21" s="214">
        <v>25</v>
      </c>
      <c r="AE21" s="214">
        <v>75</v>
      </c>
      <c r="AF21" s="214">
        <v>109</v>
      </c>
      <c r="AG21" s="236">
        <v>167</v>
      </c>
      <c r="AH21" s="247"/>
      <c r="AI21" s="238"/>
      <c r="AJ21" s="185">
        <f t="shared" si="9"/>
        <v>6802</v>
      </c>
    </row>
    <row r="22" spans="1:36" ht="15.75" thickBot="1" x14ac:dyDescent="0.3">
      <c r="A22" s="141" t="s">
        <v>2</v>
      </c>
      <c r="B22" s="470">
        <f t="shared" si="10"/>
        <v>43870</v>
      </c>
      <c r="C22" s="310">
        <v>371</v>
      </c>
      <c r="D22" s="214">
        <v>707</v>
      </c>
      <c r="E22" s="214">
        <v>217</v>
      </c>
      <c r="F22" s="214">
        <v>518</v>
      </c>
      <c r="G22" s="214">
        <v>306</v>
      </c>
      <c r="H22" s="214">
        <v>239</v>
      </c>
      <c r="I22" s="238">
        <v>491</v>
      </c>
      <c r="J22" s="263">
        <v>212</v>
      </c>
      <c r="K22" s="214">
        <v>50</v>
      </c>
      <c r="L22" s="236">
        <v>271</v>
      </c>
      <c r="M22" s="247">
        <v>143</v>
      </c>
      <c r="N22" s="214">
        <v>189</v>
      </c>
      <c r="O22" s="214">
        <v>59</v>
      </c>
      <c r="P22" s="214">
        <v>49</v>
      </c>
      <c r="Q22" s="214">
        <v>19</v>
      </c>
      <c r="R22" s="236">
        <v>106</v>
      </c>
      <c r="S22" s="247">
        <v>126</v>
      </c>
      <c r="T22" s="214">
        <v>49</v>
      </c>
      <c r="U22" s="214">
        <v>151</v>
      </c>
      <c r="V22" s="214">
        <v>160</v>
      </c>
      <c r="W22" s="214">
        <v>189</v>
      </c>
      <c r="X22" s="236">
        <v>153</v>
      </c>
      <c r="Y22" s="247">
        <v>98</v>
      </c>
      <c r="Z22" s="179">
        <v>88</v>
      </c>
      <c r="AA22" s="214">
        <v>123</v>
      </c>
      <c r="AB22" s="236">
        <v>138</v>
      </c>
      <c r="AC22" s="247">
        <v>79</v>
      </c>
      <c r="AD22" s="214">
        <v>23</v>
      </c>
      <c r="AE22" s="214">
        <v>57</v>
      </c>
      <c r="AF22" s="214">
        <v>145</v>
      </c>
      <c r="AG22" s="236">
        <v>158</v>
      </c>
      <c r="AH22" s="247"/>
      <c r="AI22" s="238"/>
      <c r="AJ22" s="185">
        <f t="shared" si="9"/>
        <v>5684</v>
      </c>
    </row>
    <row r="23" spans="1:36" ht="15.75" thickBot="1" x14ac:dyDescent="0.3">
      <c r="A23" s="150" t="s">
        <v>21</v>
      </c>
      <c r="B23" s="615" t="s">
        <v>25</v>
      </c>
      <c r="C23" s="248">
        <f>SUM(C16:C22)</f>
        <v>5294</v>
      </c>
      <c r="D23" s="228">
        <f>SUM(D16:D22)</f>
        <v>4349</v>
      </c>
      <c r="E23" s="228">
        <f>SUM(E16:E22)</f>
        <v>2879</v>
      </c>
      <c r="F23" s="228">
        <f>SUM(F16:F22)</f>
        <v>6438</v>
      </c>
      <c r="G23" s="228">
        <f>SUM(G16:G22)</f>
        <v>3828</v>
      </c>
      <c r="H23" s="228">
        <f t="shared" ref="H23:AI23" si="11">SUM(H16:H22)</f>
        <v>1764</v>
      </c>
      <c r="I23" s="228">
        <f t="shared" si="11"/>
        <v>6250</v>
      </c>
      <c r="J23" s="228">
        <f t="shared" si="11"/>
        <v>2749</v>
      </c>
      <c r="K23" s="228">
        <f t="shared" si="11"/>
        <v>888</v>
      </c>
      <c r="L23" s="228">
        <f t="shared" si="11"/>
        <v>2931</v>
      </c>
      <c r="M23" s="228">
        <f t="shared" si="11"/>
        <v>1795</v>
      </c>
      <c r="N23" s="228">
        <f t="shared" si="11"/>
        <v>995</v>
      </c>
      <c r="O23" s="228">
        <f t="shared" si="11"/>
        <v>634</v>
      </c>
      <c r="P23" s="228">
        <f t="shared" si="11"/>
        <v>753</v>
      </c>
      <c r="Q23" s="228">
        <f t="shared" si="11"/>
        <v>290</v>
      </c>
      <c r="R23" s="228">
        <f t="shared" si="11"/>
        <v>693</v>
      </c>
      <c r="S23" s="228">
        <f t="shared" si="11"/>
        <v>2205</v>
      </c>
      <c r="T23" s="228">
        <f t="shared" si="11"/>
        <v>1319</v>
      </c>
      <c r="U23" s="228">
        <f t="shared" si="11"/>
        <v>3023</v>
      </c>
      <c r="V23" s="228">
        <f t="shared" si="11"/>
        <v>2219</v>
      </c>
      <c r="W23" s="228">
        <f t="shared" si="11"/>
        <v>1882</v>
      </c>
      <c r="X23" s="228">
        <f t="shared" si="11"/>
        <v>2289</v>
      </c>
      <c r="Y23" s="228">
        <f t="shared" si="11"/>
        <v>2444</v>
      </c>
      <c r="Z23" s="228">
        <f t="shared" si="11"/>
        <v>2055</v>
      </c>
      <c r="AA23" s="228">
        <f t="shared" si="11"/>
        <v>1706</v>
      </c>
      <c r="AB23" s="228">
        <f t="shared" si="11"/>
        <v>3167</v>
      </c>
      <c r="AC23" s="228">
        <f t="shared" si="11"/>
        <v>1189</v>
      </c>
      <c r="AD23" s="228">
        <f t="shared" si="11"/>
        <v>293</v>
      </c>
      <c r="AE23" s="228">
        <f t="shared" si="11"/>
        <v>1165</v>
      </c>
      <c r="AF23" s="228">
        <f t="shared" si="11"/>
        <v>1252</v>
      </c>
      <c r="AG23" s="228">
        <f t="shared" si="11"/>
        <v>1924</v>
      </c>
      <c r="AH23" s="228">
        <f t="shared" si="11"/>
        <v>0</v>
      </c>
      <c r="AI23" s="228">
        <f t="shared" si="11"/>
        <v>0</v>
      </c>
      <c r="AJ23" s="151">
        <f>SUM(AJ16:AJ22)</f>
        <v>70662</v>
      </c>
    </row>
    <row r="24" spans="1:36" ht="15.75" thickBot="1" x14ac:dyDescent="0.3">
      <c r="A24" s="101" t="s">
        <v>23</v>
      </c>
      <c r="B24" s="615"/>
      <c r="C24" s="248">
        <f>AVERAGE(C16:C22)</f>
        <v>756.28571428571433</v>
      </c>
      <c r="D24" s="228">
        <f t="shared" ref="D24:AI24" si="12">AVERAGE(D16:D22)</f>
        <v>621.28571428571433</v>
      </c>
      <c r="E24" s="228">
        <f t="shared" si="12"/>
        <v>411.28571428571428</v>
      </c>
      <c r="F24" s="228">
        <f t="shared" si="12"/>
        <v>919.71428571428567</v>
      </c>
      <c r="G24" s="228">
        <f t="shared" si="12"/>
        <v>546.85714285714289</v>
      </c>
      <c r="H24" s="228">
        <f t="shared" si="12"/>
        <v>252</v>
      </c>
      <c r="I24" s="228">
        <f t="shared" si="12"/>
        <v>892.85714285714289</v>
      </c>
      <c r="J24" s="228">
        <f t="shared" si="12"/>
        <v>392.71428571428572</v>
      </c>
      <c r="K24" s="228">
        <f t="shared" si="12"/>
        <v>126.85714285714286</v>
      </c>
      <c r="L24" s="228">
        <f t="shared" si="12"/>
        <v>418.71428571428572</v>
      </c>
      <c r="M24" s="228">
        <f t="shared" si="12"/>
        <v>256.42857142857144</v>
      </c>
      <c r="N24" s="228">
        <f t="shared" si="12"/>
        <v>142.14285714285714</v>
      </c>
      <c r="O24" s="228">
        <f t="shared" si="12"/>
        <v>90.571428571428569</v>
      </c>
      <c r="P24" s="228">
        <f t="shared" si="12"/>
        <v>107.57142857142857</v>
      </c>
      <c r="Q24" s="228">
        <f t="shared" si="12"/>
        <v>41.428571428571431</v>
      </c>
      <c r="R24" s="228">
        <f t="shared" si="12"/>
        <v>99</v>
      </c>
      <c r="S24" s="228">
        <f t="shared" si="12"/>
        <v>315</v>
      </c>
      <c r="T24" s="228">
        <f t="shared" si="12"/>
        <v>188.42857142857142</v>
      </c>
      <c r="U24" s="228">
        <f t="shared" si="12"/>
        <v>431.85714285714283</v>
      </c>
      <c r="V24" s="228">
        <f t="shared" si="12"/>
        <v>317</v>
      </c>
      <c r="W24" s="228">
        <f t="shared" si="12"/>
        <v>268.85714285714283</v>
      </c>
      <c r="X24" s="228">
        <f t="shared" si="12"/>
        <v>327</v>
      </c>
      <c r="Y24" s="228">
        <f t="shared" si="12"/>
        <v>349.14285714285717</v>
      </c>
      <c r="Z24" s="228">
        <f t="shared" si="12"/>
        <v>293.57142857142856</v>
      </c>
      <c r="AA24" s="228">
        <f t="shared" si="12"/>
        <v>243.71428571428572</v>
      </c>
      <c r="AB24" s="228">
        <f t="shared" si="12"/>
        <v>452.42857142857144</v>
      </c>
      <c r="AC24" s="228">
        <f t="shared" si="12"/>
        <v>169.85714285714286</v>
      </c>
      <c r="AD24" s="228">
        <f t="shared" si="12"/>
        <v>41.857142857142854</v>
      </c>
      <c r="AE24" s="228">
        <f t="shared" si="12"/>
        <v>166.42857142857142</v>
      </c>
      <c r="AF24" s="228">
        <f t="shared" si="12"/>
        <v>178.85714285714286</v>
      </c>
      <c r="AG24" s="228">
        <f t="shared" si="12"/>
        <v>274.85714285714283</v>
      </c>
      <c r="AH24" s="228" t="e">
        <f t="shared" si="12"/>
        <v>#DIV/0!</v>
      </c>
      <c r="AI24" s="228" t="e">
        <f t="shared" si="12"/>
        <v>#DIV/0!</v>
      </c>
      <c r="AJ24" s="152">
        <f>AVERAGE(AJ16:AJ22)</f>
        <v>10094.571428571429</v>
      </c>
    </row>
    <row r="25" spans="1:36" ht="15.75" thickBot="1" x14ac:dyDescent="0.3">
      <c r="A25" s="23" t="s">
        <v>20</v>
      </c>
      <c r="B25" s="615"/>
      <c r="C25" s="250">
        <f t="shared" ref="C25:AI25" si="13">SUM(C16:C20)</f>
        <v>4473</v>
      </c>
      <c r="D25" s="229">
        <f t="shared" si="13"/>
        <v>2835</v>
      </c>
      <c r="E25" s="229">
        <f t="shared" si="13"/>
        <v>2472</v>
      </c>
      <c r="F25" s="229">
        <f t="shared" si="13"/>
        <v>5262</v>
      </c>
      <c r="G25" s="229">
        <f t="shared" si="13"/>
        <v>3210</v>
      </c>
      <c r="H25" s="229">
        <f t="shared" si="13"/>
        <v>1254</v>
      </c>
      <c r="I25" s="229">
        <f t="shared" si="13"/>
        <v>5022</v>
      </c>
      <c r="J25" s="229">
        <f t="shared" si="13"/>
        <v>2228</v>
      </c>
      <c r="K25" s="229">
        <f t="shared" si="13"/>
        <v>793</v>
      </c>
      <c r="L25" s="229">
        <f t="shared" si="13"/>
        <v>2234</v>
      </c>
      <c r="M25" s="229">
        <f t="shared" si="13"/>
        <v>1438</v>
      </c>
      <c r="N25" s="229">
        <f t="shared" si="13"/>
        <v>697</v>
      </c>
      <c r="O25" s="229">
        <f t="shared" si="13"/>
        <v>543</v>
      </c>
      <c r="P25" s="229">
        <f t="shared" si="13"/>
        <v>641</v>
      </c>
      <c r="Q25" s="229">
        <f t="shared" si="13"/>
        <v>243</v>
      </c>
      <c r="R25" s="229">
        <f t="shared" si="13"/>
        <v>490</v>
      </c>
      <c r="S25" s="229">
        <f t="shared" si="13"/>
        <v>1952</v>
      </c>
      <c r="T25" s="229">
        <f t="shared" si="13"/>
        <v>1205</v>
      </c>
      <c r="U25" s="229">
        <f t="shared" si="13"/>
        <v>2663</v>
      </c>
      <c r="V25" s="229">
        <f t="shared" si="13"/>
        <v>1843</v>
      </c>
      <c r="W25" s="229">
        <f t="shared" si="13"/>
        <v>1517</v>
      </c>
      <c r="X25" s="229">
        <f t="shared" si="13"/>
        <v>1921</v>
      </c>
      <c r="Y25" s="229">
        <f t="shared" si="13"/>
        <v>2204</v>
      </c>
      <c r="Z25" s="229">
        <f t="shared" si="13"/>
        <v>1839</v>
      </c>
      <c r="AA25" s="229">
        <f t="shared" si="13"/>
        <v>1474</v>
      </c>
      <c r="AB25" s="229">
        <f t="shared" si="13"/>
        <v>2811</v>
      </c>
      <c r="AC25" s="229">
        <f t="shared" si="13"/>
        <v>1037</v>
      </c>
      <c r="AD25" s="229">
        <f t="shared" si="13"/>
        <v>245</v>
      </c>
      <c r="AE25" s="229">
        <f t="shared" si="13"/>
        <v>1033</v>
      </c>
      <c r="AF25" s="229">
        <f t="shared" si="13"/>
        <v>998</v>
      </c>
      <c r="AG25" s="229">
        <f t="shared" si="13"/>
        <v>1599</v>
      </c>
      <c r="AH25" s="229">
        <f t="shared" si="13"/>
        <v>0</v>
      </c>
      <c r="AI25" s="229">
        <f t="shared" si="13"/>
        <v>0</v>
      </c>
      <c r="AJ25" s="153">
        <f>SUM(AJ16:AJ20)</f>
        <v>58176</v>
      </c>
    </row>
    <row r="26" spans="1:36" ht="15.75" thickBot="1" x14ac:dyDescent="0.3">
      <c r="A26" s="23" t="s">
        <v>22</v>
      </c>
      <c r="B26" s="615"/>
      <c r="C26" s="250">
        <f>AVERAGE(C16:C20)</f>
        <v>894.6</v>
      </c>
      <c r="D26" s="229">
        <f t="shared" ref="D26:AI26" si="14">AVERAGE(D16:D20)</f>
        <v>567</v>
      </c>
      <c r="E26" s="229">
        <f t="shared" si="14"/>
        <v>494.4</v>
      </c>
      <c r="F26" s="229">
        <f t="shared" si="14"/>
        <v>1052.4000000000001</v>
      </c>
      <c r="G26" s="229">
        <f t="shared" si="14"/>
        <v>642</v>
      </c>
      <c r="H26" s="229">
        <f t="shared" si="14"/>
        <v>250.8</v>
      </c>
      <c r="I26" s="229">
        <f t="shared" si="14"/>
        <v>1004.4</v>
      </c>
      <c r="J26" s="229">
        <f t="shared" si="14"/>
        <v>445.6</v>
      </c>
      <c r="K26" s="229">
        <f t="shared" si="14"/>
        <v>158.6</v>
      </c>
      <c r="L26" s="229">
        <f t="shared" si="14"/>
        <v>446.8</v>
      </c>
      <c r="M26" s="229">
        <f t="shared" si="14"/>
        <v>287.60000000000002</v>
      </c>
      <c r="N26" s="229">
        <f t="shared" si="14"/>
        <v>139.4</v>
      </c>
      <c r="O26" s="229">
        <f t="shared" si="14"/>
        <v>108.6</v>
      </c>
      <c r="P26" s="229">
        <f t="shared" si="14"/>
        <v>128.19999999999999</v>
      </c>
      <c r="Q26" s="229">
        <f t="shared" si="14"/>
        <v>48.6</v>
      </c>
      <c r="R26" s="229">
        <f t="shared" si="14"/>
        <v>98</v>
      </c>
      <c r="S26" s="229">
        <f t="shared" si="14"/>
        <v>390.4</v>
      </c>
      <c r="T26" s="229">
        <f t="shared" si="14"/>
        <v>241</v>
      </c>
      <c r="U26" s="229">
        <f t="shared" si="14"/>
        <v>532.6</v>
      </c>
      <c r="V26" s="229">
        <f t="shared" si="14"/>
        <v>368.6</v>
      </c>
      <c r="W26" s="229">
        <f t="shared" si="14"/>
        <v>303.39999999999998</v>
      </c>
      <c r="X26" s="229">
        <f t="shared" si="14"/>
        <v>384.2</v>
      </c>
      <c r="Y26" s="229">
        <f t="shared" si="14"/>
        <v>440.8</v>
      </c>
      <c r="Z26" s="229">
        <f t="shared" si="14"/>
        <v>367.8</v>
      </c>
      <c r="AA26" s="229">
        <f t="shared" si="14"/>
        <v>294.8</v>
      </c>
      <c r="AB26" s="229">
        <f t="shared" si="14"/>
        <v>562.20000000000005</v>
      </c>
      <c r="AC26" s="229">
        <f t="shared" si="14"/>
        <v>207.4</v>
      </c>
      <c r="AD26" s="229">
        <f t="shared" si="14"/>
        <v>49</v>
      </c>
      <c r="AE26" s="229">
        <f t="shared" si="14"/>
        <v>206.6</v>
      </c>
      <c r="AF26" s="229">
        <f t="shared" si="14"/>
        <v>199.6</v>
      </c>
      <c r="AG26" s="229">
        <f t="shared" si="14"/>
        <v>319.8</v>
      </c>
      <c r="AH26" s="229" t="e">
        <f t="shared" si="14"/>
        <v>#DIV/0!</v>
      </c>
      <c r="AI26" s="229" t="e">
        <f t="shared" si="14"/>
        <v>#DIV/0!</v>
      </c>
      <c r="AJ26" s="154">
        <f>AVERAGE(AJ16:AJ20)</f>
        <v>11635.2</v>
      </c>
    </row>
    <row r="27" spans="1:36" ht="15.75" thickBot="1" x14ac:dyDescent="0.3">
      <c r="A27" s="141" t="s">
        <v>3</v>
      </c>
      <c r="B27" s="262">
        <f>B22+1</f>
        <v>43871</v>
      </c>
      <c r="C27" s="310">
        <v>788</v>
      </c>
      <c r="D27" s="311">
        <v>438</v>
      </c>
      <c r="E27" s="179">
        <v>478</v>
      </c>
      <c r="F27" s="179">
        <v>933</v>
      </c>
      <c r="G27" s="179">
        <v>578</v>
      </c>
      <c r="H27" s="179">
        <v>190</v>
      </c>
      <c r="I27" s="242">
        <v>842</v>
      </c>
      <c r="J27" s="308">
        <v>530</v>
      </c>
      <c r="K27" s="179">
        <v>146</v>
      </c>
      <c r="L27" s="181">
        <v>433</v>
      </c>
      <c r="M27" s="252">
        <v>239</v>
      </c>
      <c r="N27" s="179">
        <v>126</v>
      </c>
      <c r="O27" s="179">
        <v>98</v>
      </c>
      <c r="P27" s="179">
        <v>116</v>
      </c>
      <c r="Q27" s="179">
        <v>41</v>
      </c>
      <c r="R27" s="181">
        <v>75</v>
      </c>
      <c r="S27" s="252">
        <v>388</v>
      </c>
      <c r="T27" s="179">
        <v>215</v>
      </c>
      <c r="U27" s="179">
        <v>479</v>
      </c>
      <c r="V27" s="179">
        <v>330</v>
      </c>
      <c r="W27" s="179">
        <v>243</v>
      </c>
      <c r="X27" s="181">
        <v>337</v>
      </c>
      <c r="Y27" s="252">
        <v>441</v>
      </c>
      <c r="Z27" s="179">
        <v>343</v>
      </c>
      <c r="AA27" s="179">
        <v>246</v>
      </c>
      <c r="AB27" s="181">
        <v>525</v>
      </c>
      <c r="AC27" s="252">
        <v>216</v>
      </c>
      <c r="AD27" s="179">
        <v>49</v>
      </c>
      <c r="AE27" s="179">
        <v>177</v>
      </c>
      <c r="AF27" s="179">
        <v>215</v>
      </c>
      <c r="AG27" s="181">
        <v>305</v>
      </c>
      <c r="AH27" s="247"/>
      <c r="AI27" s="238"/>
      <c r="AJ27" s="185">
        <f t="shared" ref="AJ27:AJ33" si="15">SUM(C27:AI27)</f>
        <v>10560</v>
      </c>
    </row>
    <row r="28" spans="1:36" ht="15.75" thickBot="1" x14ac:dyDescent="0.3">
      <c r="A28" s="141" t="s">
        <v>4</v>
      </c>
      <c r="B28" s="262">
        <f t="shared" ref="B28:B33" si="16">B27+1</f>
        <v>43872</v>
      </c>
      <c r="C28" s="310">
        <v>903</v>
      </c>
      <c r="D28" s="311">
        <v>436</v>
      </c>
      <c r="E28" s="179">
        <v>552</v>
      </c>
      <c r="F28" s="179">
        <v>975</v>
      </c>
      <c r="G28" s="179">
        <v>609</v>
      </c>
      <c r="H28" s="179">
        <v>208</v>
      </c>
      <c r="I28" s="242">
        <v>1032</v>
      </c>
      <c r="J28" s="308">
        <v>499</v>
      </c>
      <c r="K28" s="179">
        <v>158</v>
      </c>
      <c r="L28" s="181">
        <v>456</v>
      </c>
      <c r="M28" s="252">
        <v>261</v>
      </c>
      <c r="N28" s="179">
        <v>150</v>
      </c>
      <c r="O28" s="179">
        <v>105</v>
      </c>
      <c r="P28" s="179">
        <v>136</v>
      </c>
      <c r="Q28" s="179">
        <v>29</v>
      </c>
      <c r="R28" s="181">
        <v>77</v>
      </c>
      <c r="S28" s="252">
        <v>396</v>
      </c>
      <c r="T28" s="179">
        <v>239</v>
      </c>
      <c r="U28" s="179">
        <v>487</v>
      </c>
      <c r="V28" s="179">
        <v>366</v>
      </c>
      <c r="W28" s="179">
        <v>272</v>
      </c>
      <c r="X28" s="181">
        <v>353</v>
      </c>
      <c r="Y28" s="252">
        <v>453</v>
      </c>
      <c r="Z28" s="179">
        <v>409</v>
      </c>
      <c r="AA28" s="179">
        <v>264</v>
      </c>
      <c r="AB28" s="181">
        <v>546</v>
      </c>
      <c r="AC28" s="252">
        <v>225</v>
      </c>
      <c r="AD28" s="179">
        <v>34</v>
      </c>
      <c r="AE28" s="179">
        <v>207</v>
      </c>
      <c r="AF28" s="179">
        <v>176</v>
      </c>
      <c r="AG28" s="181">
        <v>295</v>
      </c>
      <c r="AH28" s="247"/>
      <c r="AI28" s="238"/>
      <c r="AJ28" s="185">
        <f t="shared" si="15"/>
        <v>11308</v>
      </c>
    </row>
    <row r="29" spans="1:36" ht="15.75" thickBot="1" x14ac:dyDescent="0.3">
      <c r="A29" s="141" t="s">
        <v>5</v>
      </c>
      <c r="B29" s="262">
        <f t="shared" si="16"/>
        <v>43873</v>
      </c>
      <c r="C29" s="310">
        <v>904</v>
      </c>
      <c r="D29" s="311">
        <v>627</v>
      </c>
      <c r="E29" s="179">
        <v>550</v>
      </c>
      <c r="F29" s="179">
        <v>1038</v>
      </c>
      <c r="G29" s="179">
        <v>698</v>
      </c>
      <c r="H29" s="179">
        <v>272</v>
      </c>
      <c r="I29" s="242">
        <v>992</v>
      </c>
      <c r="J29" s="308">
        <v>583</v>
      </c>
      <c r="K29" s="179">
        <v>204</v>
      </c>
      <c r="L29" s="181">
        <v>519</v>
      </c>
      <c r="M29" s="252">
        <v>300</v>
      </c>
      <c r="N29" s="179">
        <v>190</v>
      </c>
      <c r="O29" s="179">
        <v>108</v>
      </c>
      <c r="P29" s="179">
        <v>133</v>
      </c>
      <c r="Q29" s="179">
        <v>52</v>
      </c>
      <c r="R29" s="181">
        <v>108</v>
      </c>
      <c r="S29" s="252">
        <v>449</v>
      </c>
      <c r="T29" s="179">
        <v>247</v>
      </c>
      <c r="U29" s="179">
        <v>562</v>
      </c>
      <c r="V29" s="179">
        <v>447</v>
      </c>
      <c r="W29" s="179">
        <v>309</v>
      </c>
      <c r="X29" s="181">
        <v>418</v>
      </c>
      <c r="Y29" s="252">
        <v>475</v>
      </c>
      <c r="Z29" s="179">
        <v>440</v>
      </c>
      <c r="AA29" s="179">
        <v>270</v>
      </c>
      <c r="AB29" s="181">
        <v>623</v>
      </c>
      <c r="AC29" s="252">
        <v>217</v>
      </c>
      <c r="AD29" s="179">
        <v>43</v>
      </c>
      <c r="AE29" s="179">
        <v>205</v>
      </c>
      <c r="AF29" s="179">
        <v>219</v>
      </c>
      <c r="AG29" s="181">
        <v>328</v>
      </c>
      <c r="AH29" s="247"/>
      <c r="AI29" s="238"/>
      <c r="AJ29" s="185">
        <f t="shared" si="15"/>
        <v>12530</v>
      </c>
    </row>
    <row r="30" spans="1:36" ht="15.75" thickBot="1" x14ac:dyDescent="0.3">
      <c r="A30" s="141" t="s">
        <v>6</v>
      </c>
      <c r="B30" s="262">
        <f t="shared" si="16"/>
        <v>43874</v>
      </c>
      <c r="C30" s="310">
        <v>815</v>
      </c>
      <c r="D30" s="311">
        <v>435</v>
      </c>
      <c r="E30" s="179">
        <v>465</v>
      </c>
      <c r="F30" s="179">
        <v>921</v>
      </c>
      <c r="G30" s="179">
        <v>634</v>
      </c>
      <c r="H30" s="179">
        <v>226</v>
      </c>
      <c r="I30" s="242">
        <v>966</v>
      </c>
      <c r="J30" s="308">
        <v>546</v>
      </c>
      <c r="K30" s="179">
        <v>170</v>
      </c>
      <c r="L30" s="181">
        <v>456</v>
      </c>
      <c r="M30" s="252">
        <v>259</v>
      </c>
      <c r="N30" s="179">
        <v>116</v>
      </c>
      <c r="O30" s="179">
        <v>96</v>
      </c>
      <c r="P30" s="179">
        <v>126</v>
      </c>
      <c r="Q30" s="179">
        <v>37</v>
      </c>
      <c r="R30" s="181">
        <v>85</v>
      </c>
      <c r="S30" s="252">
        <v>365</v>
      </c>
      <c r="T30" s="179">
        <v>280</v>
      </c>
      <c r="U30" s="179">
        <v>512</v>
      </c>
      <c r="V30" s="179">
        <v>352</v>
      </c>
      <c r="W30" s="179">
        <v>254</v>
      </c>
      <c r="X30" s="181">
        <v>349</v>
      </c>
      <c r="Y30" s="252">
        <v>407</v>
      </c>
      <c r="Z30" s="179">
        <v>379</v>
      </c>
      <c r="AA30" s="179">
        <v>284</v>
      </c>
      <c r="AB30" s="181">
        <v>557</v>
      </c>
      <c r="AC30" s="252">
        <v>260</v>
      </c>
      <c r="AD30" s="179">
        <v>51</v>
      </c>
      <c r="AE30" s="179">
        <v>209</v>
      </c>
      <c r="AF30" s="179">
        <v>192</v>
      </c>
      <c r="AG30" s="181">
        <v>309</v>
      </c>
      <c r="AH30" s="247"/>
      <c r="AI30" s="238"/>
      <c r="AJ30" s="185">
        <f t="shared" si="15"/>
        <v>11113</v>
      </c>
    </row>
    <row r="31" spans="1:36" ht="15.75" thickBot="1" x14ac:dyDescent="0.3">
      <c r="A31" s="141" t="s">
        <v>0</v>
      </c>
      <c r="B31" s="262">
        <f t="shared" si="16"/>
        <v>43875</v>
      </c>
      <c r="C31" s="310">
        <v>787</v>
      </c>
      <c r="D31" s="311">
        <v>651</v>
      </c>
      <c r="E31" s="179">
        <v>427</v>
      </c>
      <c r="F31" s="179">
        <v>985</v>
      </c>
      <c r="G31" s="179">
        <v>609</v>
      </c>
      <c r="H31" s="179">
        <v>241</v>
      </c>
      <c r="I31" s="242">
        <v>987</v>
      </c>
      <c r="J31" s="308">
        <v>473</v>
      </c>
      <c r="K31" s="179">
        <v>157</v>
      </c>
      <c r="L31" s="181">
        <v>452</v>
      </c>
      <c r="M31" s="252">
        <v>349</v>
      </c>
      <c r="N31" s="179">
        <v>157</v>
      </c>
      <c r="O31" s="179">
        <v>99</v>
      </c>
      <c r="P31" s="179">
        <v>147</v>
      </c>
      <c r="Q31" s="179">
        <v>46</v>
      </c>
      <c r="R31" s="181">
        <v>91</v>
      </c>
      <c r="S31" s="252">
        <v>367</v>
      </c>
      <c r="T31" s="214">
        <v>268</v>
      </c>
      <c r="U31" s="214">
        <v>487</v>
      </c>
      <c r="V31" s="214">
        <v>327</v>
      </c>
      <c r="W31" s="214">
        <v>259</v>
      </c>
      <c r="X31" s="236">
        <v>372</v>
      </c>
      <c r="Y31" s="247">
        <v>371</v>
      </c>
      <c r="Z31" s="179">
        <v>343</v>
      </c>
      <c r="AA31" s="179">
        <v>260</v>
      </c>
      <c r="AB31" s="181">
        <v>525</v>
      </c>
      <c r="AC31" s="247">
        <v>170</v>
      </c>
      <c r="AD31" s="214">
        <v>36</v>
      </c>
      <c r="AE31" s="214">
        <v>189</v>
      </c>
      <c r="AF31" s="214">
        <v>190</v>
      </c>
      <c r="AG31" s="236">
        <v>332</v>
      </c>
      <c r="AH31" s="247"/>
      <c r="AI31" s="238"/>
      <c r="AJ31" s="185">
        <f t="shared" si="15"/>
        <v>11154</v>
      </c>
    </row>
    <row r="32" spans="1:36" ht="15.75" thickBot="1" x14ac:dyDescent="0.3">
      <c r="A32" s="141" t="s">
        <v>1</v>
      </c>
      <c r="B32" s="262">
        <f t="shared" si="16"/>
        <v>43876</v>
      </c>
      <c r="C32" s="310">
        <v>345</v>
      </c>
      <c r="D32" s="311">
        <v>719</v>
      </c>
      <c r="E32" s="179">
        <v>159</v>
      </c>
      <c r="F32" s="179">
        <v>550</v>
      </c>
      <c r="G32" s="179">
        <v>213</v>
      </c>
      <c r="H32" s="179">
        <v>203</v>
      </c>
      <c r="I32" s="242">
        <v>472</v>
      </c>
      <c r="J32" s="308">
        <v>190</v>
      </c>
      <c r="K32" s="179">
        <v>29</v>
      </c>
      <c r="L32" s="181">
        <v>287</v>
      </c>
      <c r="M32" s="252">
        <v>222</v>
      </c>
      <c r="N32" s="179">
        <v>194</v>
      </c>
      <c r="O32" s="179">
        <v>25</v>
      </c>
      <c r="P32" s="179">
        <v>57</v>
      </c>
      <c r="Q32" s="179">
        <v>27</v>
      </c>
      <c r="R32" s="181">
        <v>86</v>
      </c>
      <c r="S32" s="252">
        <v>107</v>
      </c>
      <c r="T32" s="214">
        <v>44</v>
      </c>
      <c r="U32" s="214">
        <v>169</v>
      </c>
      <c r="V32" s="214">
        <v>119</v>
      </c>
      <c r="W32" s="214">
        <v>158</v>
      </c>
      <c r="X32" s="236">
        <v>180</v>
      </c>
      <c r="Y32" s="247">
        <v>83</v>
      </c>
      <c r="Z32" s="179">
        <v>85</v>
      </c>
      <c r="AA32" s="214">
        <v>74</v>
      </c>
      <c r="AB32" s="236">
        <v>154</v>
      </c>
      <c r="AC32" s="247">
        <v>40</v>
      </c>
      <c r="AD32" s="214">
        <v>13</v>
      </c>
      <c r="AE32" s="214">
        <v>45</v>
      </c>
      <c r="AF32" s="214">
        <v>81</v>
      </c>
      <c r="AG32" s="236">
        <v>134</v>
      </c>
      <c r="AH32" s="247"/>
      <c r="AI32" s="238"/>
      <c r="AJ32" s="185">
        <f t="shared" si="15"/>
        <v>5264</v>
      </c>
    </row>
    <row r="33" spans="1:36" ht="15.75" thickBot="1" x14ac:dyDescent="0.3">
      <c r="A33" s="141" t="s">
        <v>2</v>
      </c>
      <c r="B33" s="262">
        <f t="shared" si="16"/>
        <v>43877</v>
      </c>
      <c r="C33" s="310">
        <v>439</v>
      </c>
      <c r="D33" s="311">
        <v>1009</v>
      </c>
      <c r="E33" s="179">
        <v>197</v>
      </c>
      <c r="F33" s="179">
        <v>741</v>
      </c>
      <c r="G33" s="179">
        <v>336</v>
      </c>
      <c r="H33" s="179">
        <v>247</v>
      </c>
      <c r="I33" s="242">
        <v>587</v>
      </c>
      <c r="J33" s="308">
        <v>228</v>
      </c>
      <c r="K33" s="179">
        <v>50</v>
      </c>
      <c r="L33" s="181">
        <v>297</v>
      </c>
      <c r="M33" s="252">
        <v>217</v>
      </c>
      <c r="N33" s="179">
        <v>170</v>
      </c>
      <c r="O33" s="179">
        <v>55</v>
      </c>
      <c r="P33" s="179">
        <v>61</v>
      </c>
      <c r="Q33" s="179">
        <v>80</v>
      </c>
      <c r="R33" s="181">
        <v>94</v>
      </c>
      <c r="S33" s="252">
        <v>144</v>
      </c>
      <c r="T33" s="179">
        <v>44</v>
      </c>
      <c r="U33" s="179">
        <v>162</v>
      </c>
      <c r="V33" s="179">
        <v>195</v>
      </c>
      <c r="W33" s="179">
        <v>182</v>
      </c>
      <c r="X33" s="181">
        <v>211</v>
      </c>
      <c r="Y33" s="252">
        <v>103</v>
      </c>
      <c r="Z33" s="179">
        <v>83</v>
      </c>
      <c r="AA33" s="179">
        <v>150</v>
      </c>
      <c r="AB33" s="181">
        <v>148</v>
      </c>
      <c r="AC33" s="252">
        <v>79</v>
      </c>
      <c r="AD33" s="179">
        <v>26</v>
      </c>
      <c r="AE33" s="179">
        <v>46</v>
      </c>
      <c r="AF33" s="179">
        <v>101</v>
      </c>
      <c r="AG33" s="181">
        <v>180</v>
      </c>
      <c r="AH33" s="252"/>
      <c r="AI33" s="242"/>
      <c r="AJ33" s="185">
        <f t="shared" si="15"/>
        <v>6662</v>
      </c>
    </row>
    <row r="34" spans="1:36" ht="15.75" thickBot="1" x14ac:dyDescent="0.3">
      <c r="A34" s="150" t="s">
        <v>21</v>
      </c>
      <c r="B34" s="615" t="s">
        <v>26</v>
      </c>
      <c r="C34" s="248">
        <f>SUM(C27:C33)</f>
        <v>4981</v>
      </c>
      <c r="D34" s="228">
        <f>SUM(D27:D33)</f>
        <v>4315</v>
      </c>
      <c r="E34" s="228">
        <f>SUM(E27:E33)</f>
        <v>2828</v>
      </c>
      <c r="F34" s="228">
        <f>SUM(F27:F33)</f>
        <v>6143</v>
      </c>
      <c r="G34" s="228">
        <f>SUM(G27:G33)</f>
        <v>3677</v>
      </c>
      <c r="H34" s="228">
        <f t="shared" ref="H34:AI34" si="17">SUM(H27:H33)</f>
        <v>1587</v>
      </c>
      <c r="I34" s="228">
        <f t="shared" si="17"/>
        <v>5878</v>
      </c>
      <c r="J34" s="228">
        <f t="shared" si="17"/>
        <v>3049</v>
      </c>
      <c r="K34" s="228">
        <f t="shared" si="17"/>
        <v>914</v>
      </c>
      <c r="L34" s="228">
        <f t="shared" si="17"/>
        <v>2900</v>
      </c>
      <c r="M34" s="228">
        <f t="shared" si="17"/>
        <v>1847</v>
      </c>
      <c r="N34" s="228">
        <f t="shared" si="17"/>
        <v>1103</v>
      </c>
      <c r="O34" s="228">
        <f t="shared" si="17"/>
        <v>586</v>
      </c>
      <c r="P34" s="228">
        <f t="shared" si="17"/>
        <v>776</v>
      </c>
      <c r="Q34" s="228">
        <f t="shared" si="17"/>
        <v>312</v>
      </c>
      <c r="R34" s="228">
        <f t="shared" si="17"/>
        <v>616</v>
      </c>
      <c r="S34" s="228">
        <f t="shared" si="17"/>
        <v>2216</v>
      </c>
      <c r="T34" s="228">
        <f t="shared" si="17"/>
        <v>1337</v>
      </c>
      <c r="U34" s="228">
        <f t="shared" si="17"/>
        <v>2858</v>
      </c>
      <c r="V34" s="228">
        <f t="shared" si="17"/>
        <v>2136</v>
      </c>
      <c r="W34" s="228">
        <f t="shared" si="17"/>
        <v>1677</v>
      </c>
      <c r="X34" s="228">
        <f t="shared" si="17"/>
        <v>2220</v>
      </c>
      <c r="Y34" s="228">
        <f t="shared" si="17"/>
        <v>2333</v>
      </c>
      <c r="Z34" s="228">
        <f t="shared" si="17"/>
        <v>2082</v>
      </c>
      <c r="AA34" s="228">
        <f t="shared" si="17"/>
        <v>1548</v>
      </c>
      <c r="AB34" s="228">
        <f t="shared" si="17"/>
        <v>3078</v>
      </c>
      <c r="AC34" s="228">
        <f t="shared" si="17"/>
        <v>1207</v>
      </c>
      <c r="AD34" s="228">
        <f t="shared" si="17"/>
        <v>252</v>
      </c>
      <c r="AE34" s="228">
        <f t="shared" si="17"/>
        <v>1078</v>
      </c>
      <c r="AF34" s="228">
        <f t="shared" si="17"/>
        <v>1174</v>
      </c>
      <c r="AG34" s="228">
        <f t="shared" si="17"/>
        <v>1883</v>
      </c>
      <c r="AH34" s="228">
        <f t="shared" si="17"/>
        <v>0</v>
      </c>
      <c r="AI34" s="228">
        <f t="shared" si="17"/>
        <v>0</v>
      </c>
      <c r="AJ34" s="230">
        <f>SUM(AJ27:AJ33)</f>
        <v>68591</v>
      </c>
    </row>
    <row r="35" spans="1:36" ht="15.75" thickBot="1" x14ac:dyDescent="0.3">
      <c r="A35" s="101" t="s">
        <v>23</v>
      </c>
      <c r="B35" s="615"/>
      <c r="C35" s="248">
        <f>AVERAGE(C27:C33)</f>
        <v>711.57142857142856</v>
      </c>
      <c r="D35" s="228">
        <f t="shared" ref="D35:AI35" si="18">AVERAGE(D27:D33)</f>
        <v>616.42857142857144</v>
      </c>
      <c r="E35" s="228">
        <f t="shared" si="18"/>
        <v>404</v>
      </c>
      <c r="F35" s="228">
        <f t="shared" si="18"/>
        <v>877.57142857142856</v>
      </c>
      <c r="G35" s="228">
        <f t="shared" si="18"/>
        <v>525.28571428571433</v>
      </c>
      <c r="H35" s="228">
        <f t="shared" si="18"/>
        <v>226.71428571428572</v>
      </c>
      <c r="I35" s="228">
        <f t="shared" si="18"/>
        <v>839.71428571428567</v>
      </c>
      <c r="J35" s="228">
        <f t="shared" si="18"/>
        <v>435.57142857142856</v>
      </c>
      <c r="K35" s="228">
        <f t="shared" si="18"/>
        <v>130.57142857142858</v>
      </c>
      <c r="L35" s="228">
        <f t="shared" si="18"/>
        <v>414.28571428571428</v>
      </c>
      <c r="M35" s="228">
        <f t="shared" si="18"/>
        <v>263.85714285714283</v>
      </c>
      <c r="N35" s="228">
        <f t="shared" si="18"/>
        <v>157.57142857142858</v>
      </c>
      <c r="O35" s="228">
        <f t="shared" si="18"/>
        <v>83.714285714285708</v>
      </c>
      <c r="P35" s="228">
        <f t="shared" si="18"/>
        <v>110.85714285714286</v>
      </c>
      <c r="Q35" s="228">
        <f t="shared" si="18"/>
        <v>44.571428571428569</v>
      </c>
      <c r="R35" s="228">
        <f t="shared" si="18"/>
        <v>88</v>
      </c>
      <c r="S35" s="228">
        <f t="shared" si="18"/>
        <v>316.57142857142856</v>
      </c>
      <c r="T35" s="228">
        <f t="shared" si="18"/>
        <v>191</v>
      </c>
      <c r="U35" s="228">
        <f t="shared" si="18"/>
        <v>408.28571428571428</v>
      </c>
      <c r="V35" s="228">
        <f t="shared" si="18"/>
        <v>305.14285714285717</v>
      </c>
      <c r="W35" s="228">
        <f t="shared" si="18"/>
        <v>239.57142857142858</v>
      </c>
      <c r="X35" s="228">
        <f t="shared" si="18"/>
        <v>317.14285714285717</v>
      </c>
      <c r="Y35" s="228">
        <f t="shared" si="18"/>
        <v>333.28571428571428</v>
      </c>
      <c r="Z35" s="228">
        <f t="shared" si="18"/>
        <v>297.42857142857144</v>
      </c>
      <c r="AA35" s="228">
        <f t="shared" si="18"/>
        <v>221.14285714285714</v>
      </c>
      <c r="AB35" s="228">
        <f t="shared" si="18"/>
        <v>439.71428571428572</v>
      </c>
      <c r="AC35" s="228">
        <f t="shared" si="18"/>
        <v>172.42857142857142</v>
      </c>
      <c r="AD35" s="228">
        <f t="shared" si="18"/>
        <v>36</v>
      </c>
      <c r="AE35" s="228">
        <f t="shared" si="18"/>
        <v>154</v>
      </c>
      <c r="AF35" s="228">
        <f t="shared" si="18"/>
        <v>167.71428571428572</v>
      </c>
      <c r="AG35" s="228">
        <f t="shared" si="18"/>
        <v>269</v>
      </c>
      <c r="AH35" s="228" t="e">
        <f t="shared" si="18"/>
        <v>#DIV/0!</v>
      </c>
      <c r="AI35" s="228" t="e">
        <f t="shared" si="18"/>
        <v>#DIV/0!</v>
      </c>
      <c r="AJ35" s="231">
        <f>AVERAGE(AJ27:AJ33)</f>
        <v>9798.7142857142862</v>
      </c>
    </row>
    <row r="36" spans="1:36" ht="15.75" thickBot="1" x14ac:dyDescent="0.3">
      <c r="A36" s="23" t="s">
        <v>20</v>
      </c>
      <c r="B36" s="615"/>
      <c r="C36" s="250">
        <f t="shared" ref="C36:AI36" si="19">SUM(C27:C31)</f>
        <v>4197</v>
      </c>
      <c r="D36" s="229">
        <f t="shared" si="19"/>
        <v>2587</v>
      </c>
      <c r="E36" s="229">
        <f t="shared" si="19"/>
        <v>2472</v>
      </c>
      <c r="F36" s="229">
        <f t="shared" si="19"/>
        <v>4852</v>
      </c>
      <c r="G36" s="229">
        <f t="shared" si="19"/>
        <v>3128</v>
      </c>
      <c r="H36" s="229">
        <f t="shared" si="19"/>
        <v>1137</v>
      </c>
      <c r="I36" s="229">
        <f t="shared" si="19"/>
        <v>4819</v>
      </c>
      <c r="J36" s="229">
        <f t="shared" si="19"/>
        <v>2631</v>
      </c>
      <c r="K36" s="229">
        <f t="shared" si="19"/>
        <v>835</v>
      </c>
      <c r="L36" s="229">
        <f t="shared" si="19"/>
        <v>2316</v>
      </c>
      <c r="M36" s="229">
        <f t="shared" si="19"/>
        <v>1408</v>
      </c>
      <c r="N36" s="229">
        <f t="shared" si="19"/>
        <v>739</v>
      </c>
      <c r="O36" s="229">
        <f t="shared" si="19"/>
        <v>506</v>
      </c>
      <c r="P36" s="229">
        <f t="shared" si="19"/>
        <v>658</v>
      </c>
      <c r="Q36" s="229">
        <f t="shared" si="19"/>
        <v>205</v>
      </c>
      <c r="R36" s="229">
        <f t="shared" si="19"/>
        <v>436</v>
      </c>
      <c r="S36" s="229">
        <f t="shared" si="19"/>
        <v>1965</v>
      </c>
      <c r="T36" s="229">
        <f t="shared" si="19"/>
        <v>1249</v>
      </c>
      <c r="U36" s="229">
        <f t="shared" si="19"/>
        <v>2527</v>
      </c>
      <c r="V36" s="229">
        <f t="shared" si="19"/>
        <v>1822</v>
      </c>
      <c r="W36" s="229">
        <f t="shared" si="19"/>
        <v>1337</v>
      </c>
      <c r="X36" s="229">
        <f t="shared" si="19"/>
        <v>1829</v>
      </c>
      <c r="Y36" s="229">
        <f t="shared" si="19"/>
        <v>2147</v>
      </c>
      <c r="Z36" s="229">
        <f t="shared" si="19"/>
        <v>1914</v>
      </c>
      <c r="AA36" s="229">
        <f t="shared" si="19"/>
        <v>1324</v>
      </c>
      <c r="AB36" s="229">
        <f t="shared" si="19"/>
        <v>2776</v>
      </c>
      <c r="AC36" s="229">
        <f t="shared" si="19"/>
        <v>1088</v>
      </c>
      <c r="AD36" s="229">
        <f t="shared" si="19"/>
        <v>213</v>
      </c>
      <c r="AE36" s="229">
        <f t="shared" si="19"/>
        <v>987</v>
      </c>
      <c r="AF36" s="229">
        <f t="shared" si="19"/>
        <v>992</v>
      </c>
      <c r="AG36" s="229">
        <f t="shared" si="19"/>
        <v>1569</v>
      </c>
      <c r="AH36" s="229">
        <f t="shared" si="19"/>
        <v>0</v>
      </c>
      <c r="AI36" s="229">
        <f t="shared" si="19"/>
        <v>0</v>
      </c>
      <c r="AJ36" s="232">
        <f>SUM(AJ27:AJ31)</f>
        <v>56665</v>
      </c>
    </row>
    <row r="37" spans="1:36" ht="15.75" thickBot="1" x14ac:dyDescent="0.3">
      <c r="A37" s="23" t="s">
        <v>22</v>
      </c>
      <c r="B37" s="615"/>
      <c r="C37" s="250">
        <f>AVERAGE(C27:C31)</f>
        <v>839.4</v>
      </c>
      <c r="D37" s="229">
        <f t="shared" ref="D37:AI37" si="20">AVERAGE(D27:D31)</f>
        <v>517.4</v>
      </c>
      <c r="E37" s="229">
        <f t="shared" si="20"/>
        <v>494.4</v>
      </c>
      <c r="F37" s="229">
        <f t="shared" si="20"/>
        <v>970.4</v>
      </c>
      <c r="G37" s="229">
        <f t="shared" si="20"/>
        <v>625.6</v>
      </c>
      <c r="H37" s="229">
        <f t="shared" si="20"/>
        <v>227.4</v>
      </c>
      <c r="I37" s="229">
        <f t="shared" si="20"/>
        <v>963.8</v>
      </c>
      <c r="J37" s="229">
        <f t="shared" si="20"/>
        <v>526.20000000000005</v>
      </c>
      <c r="K37" s="229">
        <f t="shared" si="20"/>
        <v>167</v>
      </c>
      <c r="L37" s="229">
        <f t="shared" si="20"/>
        <v>463.2</v>
      </c>
      <c r="M37" s="229">
        <f t="shared" si="20"/>
        <v>281.60000000000002</v>
      </c>
      <c r="N37" s="229">
        <f t="shared" si="20"/>
        <v>147.80000000000001</v>
      </c>
      <c r="O37" s="229">
        <f t="shared" si="20"/>
        <v>101.2</v>
      </c>
      <c r="P37" s="229">
        <f t="shared" si="20"/>
        <v>131.6</v>
      </c>
      <c r="Q37" s="229">
        <f t="shared" si="20"/>
        <v>41</v>
      </c>
      <c r="R37" s="229">
        <f t="shared" si="20"/>
        <v>87.2</v>
      </c>
      <c r="S37" s="229">
        <f t="shared" si="20"/>
        <v>393</v>
      </c>
      <c r="T37" s="229">
        <f t="shared" si="20"/>
        <v>249.8</v>
      </c>
      <c r="U37" s="229">
        <f t="shared" si="20"/>
        <v>505.4</v>
      </c>
      <c r="V37" s="229">
        <f t="shared" si="20"/>
        <v>364.4</v>
      </c>
      <c r="W37" s="229">
        <f t="shared" si="20"/>
        <v>267.39999999999998</v>
      </c>
      <c r="X37" s="229">
        <f t="shared" si="20"/>
        <v>365.8</v>
      </c>
      <c r="Y37" s="229">
        <f t="shared" si="20"/>
        <v>429.4</v>
      </c>
      <c r="Z37" s="229">
        <f t="shared" si="20"/>
        <v>382.8</v>
      </c>
      <c r="AA37" s="229">
        <f t="shared" si="20"/>
        <v>264.8</v>
      </c>
      <c r="AB37" s="229">
        <f t="shared" si="20"/>
        <v>555.20000000000005</v>
      </c>
      <c r="AC37" s="229">
        <f t="shared" si="20"/>
        <v>217.6</v>
      </c>
      <c r="AD37" s="229">
        <f t="shared" si="20"/>
        <v>42.6</v>
      </c>
      <c r="AE37" s="229">
        <f t="shared" si="20"/>
        <v>197.4</v>
      </c>
      <c r="AF37" s="229">
        <f t="shared" si="20"/>
        <v>198.4</v>
      </c>
      <c r="AG37" s="229">
        <f t="shared" si="20"/>
        <v>313.8</v>
      </c>
      <c r="AH37" s="229" t="e">
        <f t="shared" si="20"/>
        <v>#DIV/0!</v>
      </c>
      <c r="AI37" s="229" t="e">
        <f t="shared" si="20"/>
        <v>#DIV/0!</v>
      </c>
      <c r="AJ37" s="233">
        <f>AVERAGE(AJ27:AJ31)</f>
        <v>11333</v>
      </c>
    </row>
    <row r="38" spans="1:36" ht="15.75" thickBot="1" x14ac:dyDescent="0.3">
      <c r="A38" s="141" t="s">
        <v>3</v>
      </c>
      <c r="B38" s="262">
        <f>B33+1</f>
        <v>43878</v>
      </c>
      <c r="C38" s="310">
        <v>927</v>
      </c>
      <c r="D38" s="214">
        <v>1480</v>
      </c>
      <c r="E38" s="214">
        <v>378</v>
      </c>
      <c r="F38" s="214">
        <v>1051</v>
      </c>
      <c r="G38" s="311">
        <v>579</v>
      </c>
      <c r="H38" s="214">
        <v>469</v>
      </c>
      <c r="I38" s="238">
        <v>1111</v>
      </c>
      <c r="J38" s="263">
        <v>510</v>
      </c>
      <c r="K38" s="214">
        <v>123</v>
      </c>
      <c r="L38" s="236">
        <v>566</v>
      </c>
      <c r="M38" s="247">
        <v>332</v>
      </c>
      <c r="N38" s="214">
        <v>457</v>
      </c>
      <c r="O38" s="214">
        <v>131</v>
      </c>
      <c r="P38" s="214">
        <v>145</v>
      </c>
      <c r="Q38" s="214">
        <v>71</v>
      </c>
      <c r="R38" s="236">
        <v>209</v>
      </c>
      <c r="S38" s="247">
        <v>295</v>
      </c>
      <c r="T38" s="214">
        <v>153</v>
      </c>
      <c r="U38" s="214">
        <v>394</v>
      </c>
      <c r="V38" s="214">
        <v>423</v>
      </c>
      <c r="W38" s="214">
        <v>383</v>
      </c>
      <c r="X38" s="236">
        <v>385</v>
      </c>
      <c r="Y38" s="247">
        <v>318</v>
      </c>
      <c r="Z38" s="179">
        <v>259</v>
      </c>
      <c r="AA38" s="214">
        <v>315</v>
      </c>
      <c r="AB38" s="236">
        <v>346</v>
      </c>
      <c r="AC38" s="247">
        <v>186</v>
      </c>
      <c r="AD38" s="214">
        <v>45</v>
      </c>
      <c r="AE38" s="214">
        <v>131</v>
      </c>
      <c r="AF38" s="214">
        <v>214</v>
      </c>
      <c r="AG38" s="236">
        <v>272</v>
      </c>
      <c r="AH38" s="247"/>
      <c r="AI38" s="238"/>
      <c r="AJ38" s="185">
        <f t="shared" ref="AJ38:AJ44" si="21">SUM(C38:AI38)</f>
        <v>12658</v>
      </c>
    </row>
    <row r="39" spans="1:36" ht="15.75" thickBot="1" x14ac:dyDescent="0.3">
      <c r="A39" s="141" t="s">
        <v>4</v>
      </c>
      <c r="B39" s="262">
        <f t="shared" ref="B39:B44" si="22">B38+1</f>
        <v>43879</v>
      </c>
      <c r="C39" s="310">
        <v>932</v>
      </c>
      <c r="D39" s="214">
        <v>584</v>
      </c>
      <c r="E39" s="214">
        <v>487</v>
      </c>
      <c r="F39" s="214">
        <v>1030</v>
      </c>
      <c r="G39" s="311">
        <v>637</v>
      </c>
      <c r="H39" s="214">
        <v>212</v>
      </c>
      <c r="I39" s="238">
        <v>961</v>
      </c>
      <c r="J39" s="263">
        <v>554</v>
      </c>
      <c r="K39" s="214">
        <v>159</v>
      </c>
      <c r="L39" s="236">
        <v>528</v>
      </c>
      <c r="M39" s="247">
        <v>262</v>
      </c>
      <c r="N39" s="214">
        <v>181</v>
      </c>
      <c r="O39" s="214">
        <v>105</v>
      </c>
      <c r="P39" s="214">
        <v>130</v>
      </c>
      <c r="Q39" s="214">
        <v>38</v>
      </c>
      <c r="R39" s="236">
        <v>99</v>
      </c>
      <c r="S39" s="247">
        <v>401</v>
      </c>
      <c r="T39" s="214">
        <v>278</v>
      </c>
      <c r="U39" s="214">
        <v>541</v>
      </c>
      <c r="V39" s="214">
        <v>355</v>
      </c>
      <c r="W39" s="214">
        <v>245</v>
      </c>
      <c r="X39" s="236">
        <v>401</v>
      </c>
      <c r="Y39" s="247">
        <v>482</v>
      </c>
      <c r="Z39" s="179">
        <v>406</v>
      </c>
      <c r="AA39" s="214">
        <v>260</v>
      </c>
      <c r="AB39" s="236">
        <v>582</v>
      </c>
      <c r="AC39" s="247">
        <v>222</v>
      </c>
      <c r="AD39" s="214">
        <v>32</v>
      </c>
      <c r="AE39" s="214">
        <v>180</v>
      </c>
      <c r="AF39" s="214">
        <v>169</v>
      </c>
      <c r="AG39" s="236">
        <v>301</v>
      </c>
      <c r="AH39" s="247"/>
      <c r="AI39" s="238"/>
      <c r="AJ39" s="185">
        <f t="shared" si="21"/>
        <v>11754</v>
      </c>
    </row>
    <row r="40" spans="1:36" ht="15.75" thickBot="1" x14ac:dyDescent="0.3">
      <c r="A40" s="141" t="s">
        <v>5</v>
      </c>
      <c r="B40" s="262">
        <f t="shared" si="22"/>
        <v>43880</v>
      </c>
      <c r="C40" s="310">
        <v>897</v>
      </c>
      <c r="D40" s="214">
        <v>960</v>
      </c>
      <c r="E40" s="214">
        <v>526</v>
      </c>
      <c r="F40" s="214">
        <v>1121</v>
      </c>
      <c r="G40" s="311">
        <v>723</v>
      </c>
      <c r="H40" s="214">
        <v>305</v>
      </c>
      <c r="I40" s="238">
        <v>1104</v>
      </c>
      <c r="J40" s="263">
        <v>706</v>
      </c>
      <c r="K40" s="214">
        <v>179</v>
      </c>
      <c r="L40" s="236">
        <v>632</v>
      </c>
      <c r="M40" s="247">
        <v>339</v>
      </c>
      <c r="N40" s="214">
        <v>222</v>
      </c>
      <c r="O40" s="214">
        <v>144</v>
      </c>
      <c r="P40" s="214">
        <v>165</v>
      </c>
      <c r="Q40" s="214">
        <v>46</v>
      </c>
      <c r="R40" s="236">
        <v>164</v>
      </c>
      <c r="S40" s="247">
        <v>475</v>
      </c>
      <c r="T40" s="214">
        <v>270</v>
      </c>
      <c r="U40" s="214">
        <v>520</v>
      </c>
      <c r="V40" s="214">
        <v>404</v>
      </c>
      <c r="W40" s="214">
        <v>351</v>
      </c>
      <c r="X40" s="236">
        <v>443</v>
      </c>
      <c r="Y40" s="247">
        <v>502</v>
      </c>
      <c r="Z40" s="179">
        <v>451</v>
      </c>
      <c r="AA40" s="214">
        <v>320</v>
      </c>
      <c r="AB40" s="236">
        <v>595</v>
      </c>
      <c r="AC40" s="247">
        <v>242</v>
      </c>
      <c r="AD40" s="214">
        <v>46</v>
      </c>
      <c r="AE40" s="214">
        <v>216</v>
      </c>
      <c r="AF40" s="214">
        <v>206</v>
      </c>
      <c r="AG40" s="236">
        <v>315</v>
      </c>
      <c r="AH40" s="247"/>
      <c r="AI40" s="238"/>
      <c r="AJ40" s="185">
        <f t="shared" si="21"/>
        <v>13589</v>
      </c>
    </row>
    <row r="41" spans="1:36" ht="15.75" thickBot="1" x14ac:dyDescent="0.3">
      <c r="A41" s="141" t="s">
        <v>6</v>
      </c>
      <c r="B41" s="262">
        <f t="shared" si="22"/>
        <v>43881</v>
      </c>
      <c r="C41" s="310">
        <v>888</v>
      </c>
      <c r="D41" s="214">
        <v>639</v>
      </c>
      <c r="E41" s="214">
        <v>494</v>
      </c>
      <c r="F41" s="214">
        <v>1021</v>
      </c>
      <c r="G41" s="311">
        <v>613</v>
      </c>
      <c r="H41" s="214">
        <v>271</v>
      </c>
      <c r="I41" s="238">
        <v>881</v>
      </c>
      <c r="J41" s="263">
        <v>601</v>
      </c>
      <c r="K41" s="214">
        <v>174</v>
      </c>
      <c r="L41" s="236">
        <v>665</v>
      </c>
      <c r="M41" s="247">
        <v>306</v>
      </c>
      <c r="N41" s="214">
        <v>209</v>
      </c>
      <c r="O41" s="214">
        <v>126</v>
      </c>
      <c r="P41" s="214">
        <v>111</v>
      </c>
      <c r="Q41" s="214">
        <v>33</v>
      </c>
      <c r="R41" s="236">
        <v>102</v>
      </c>
      <c r="S41" s="247">
        <v>432</v>
      </c>
      <c r="T41" s="214">
        <v>263</v>
      </c>
      <c r="U41" s="214">
        <v>466</v>
      </c>
      <c r="V41" s="214">
        <v>363</v>
      </c>
      <c r="W41" s="214">
        <v>254</v>
      </c>
      <c r="X41" s="236">
        <v>389</v>
      </c>
      <c r="Y41" s="247">
        <v>452</v>
      </c>
      <c r="Z41" s="179">
        <v>407</v>
      </c>
      <c r="AA41" s="214">
        <v>259</v>
      </c>
      <c r="AB41" s="236">
        <v>598</v>
      </c>
      <c r="AC41" s="247">
        <v>212</v>
      </c>
      <c r="AD41" s="214">
        <v>46</v>
      </c>
      <c r="AE41" s="214">
        <v>189</v>
      </c>
      <c r="AF41" s="214">
        <v>176</v>
      </c>
      <c r="AG41" s="236">
        <v>254</v>
      </c>
      <c r="AH41" s="247"/>
      <c r="AI41" s="238"/>
      <c r="AJ41" s="185">
        <f t="shared" si="21"/>
        <v>11894</v>
      </c>
    </row>
    <row r="42" spans="1:36" ht="15.75" thickBot="1" x14ac:dyDescent="0.3">
      <c r="A42" s="141" t="s">
        <v>0</v>
      </c>
      <c r="B42" s="262">
        <f t="shared" si="22"/>
        <v>43882</v>
      </c>
      <c r="C42" s="310">
        <v>895</v>
      </c>
      <c r="D42" s="214">
        <v>647</v>
      </c>
      <c r="E42" s="214">
        <v>484</v>
      </c>
      <c r="F42" s="214">
        <v>985</v>
      </c>
      <c r="G42" s="311">
        <v>589</v>
      </c>
      <c r="H42" s="214">
        <v>295</v>
      </c>
      <c r="I42" s="238">
        <v>870</v>
      </c>
      <c r="J42" s="263">
        <v>521</v>
      </c>
      <c r="K42" s="214">
        <v>157</v>
      </c>
      <c r="L42" s="236">
        <v>488</v>
      </c>
      <c r="M42" s="247">
        <v>306</v>
      </c>
      <c r="N42" s="214">
        <v>207</v>
      </c>
      <c r="O42" s="214">
        <v>107</v>
      </c>
      <c r="P42" s="214">
        <v>116</v>
      </c>
      <c r="Q42" s="214">
        <v>42</v>
      </c>
      <c r="R42" s="236">
        <v>110</v>
      </c>
      <c r="S42" s="247">
        <v>387</v>
      </c>
      <c r="T42" s="214">
        <v>280</v>
      </c>
      <c r="U42" s="214">
        <v>424</v>
      </c>
      <c r="V42" s="214">
        <v>360</v>
      </c>
      <c r="W42" s="214">
        <v>259</v>
      </c>
      <c r="X42" s="236">
        <v>394</v>
      </c>
      <c r="Y42" s="247">
        <v>410</v>
      </c>
      <c r="Z42" s="179">
        <v>328</v>
      </c>
      <c r="AA42" s="214">
        <v>235</v>
      </c>
      <c r="AB42" s="236">
        <v>545</v>
      </c>
      <c r="AC42" s="247">
        <v>160</v>
      </c>
      <c r="AD42" s="214">
        <v>42</v>
      </c>
      <c r="AE42" s="214">
        <v>148</v>
      </c>
      <c r="AF42" s="214">
        <v>231</v>
      </c>
      <c r="AG42" s="236">
        <v>283</v>
      </c>
      <c r="AH42" s="247"/>
      <c r="AI42" s="238"/>
      <c r="AJ42" s="185">
        <f t="shared" si="21"/>
        <v>11305</v>
      </c>
    </row>
    <row r="43" spans="1:36" ht="15.75" thickBot="1" x14ac:dyDescent="0.3">
      <c r="A43" s="141" t="s">
        <v>1</v>
      </c>
      <c r="B43" s="262">
        <f t="shared" si="22"/>
        <v>43883</v>
      </c>
      <c r="C43" s="310">
        <v>839</v>
      </c>
      <c r="D43" s="214">
        <v>1081</v>
      </c>
      <c r="E43" s="214">
        <v>210</v>
      </c>
      <c r="F43" s="214">
        <v>880</v>
      </c>
      <c r="G43" s="311">
        <v>346</v>
      </c>
      <c r="H43" s="214">
        <v>400</v>
      </c>
      <c r="I43" s="238">
        <v>916</v>
      </c>
      <c r="J43" s="263">
        <v>433</v>
      </c>
      <c r="K43" s="214">
        <v>113</v>
      </c>
      <c r="L43" s="236">
        <v>511</v>
      </c>
      <c r="M43" s="247">
        <v>373</v>
      </c>
      <c r="N43" s="214">
        <v>273</v>
      </c>
      <c r="O43" s="214">
        <v>98</v>
      </c>
      <c r="P43" s="214">
        <v>72</v>
      </c>
      <c r="Q43" s="214">
        <v>83</v>
      </c>
      <c r="R43" s="236">
        <v>176</v>
      </c>
      <c r="S43" s="247">
        <v>231</v>
      </c>
      <c r="T43" s="214">
        <v>91</v>
      </c>
      <c r="U43" s="214">
        <v>236</v>
      </c>
      <c r="V43" s="214">
        <v>227</v>
      </c>
      <c r="W43" s="214">
        <v>226</v>
      </c>
      <c r="X43" s="236">
        <v>297</v>
      </c>
      <c r="Y43" s="247">
        <v>159</v>
      </c>
      <c r="Z43" s="179">
        <v>137</v>
      </c>
      <c r="AA43" s="214">
        <v>221</v>
      </c>
      <c r="AB43" s="236">
        <v>223</v>
      </c>
      <c r="AC43" s="247">
        <v>133</v>
      </c>
      <c r="AD43" s="214">
        <v>39</v>
      </c>
      <c r="AE43" s="214">
        <v>121</v>
      </c>
      <c r="AF43" s="214">
        <v>138</v>
      </c>
      <c r="AG43" s="236">
        <v>201</v>
      </c>
      <c r="AH43" s="247"/>
      <c r="AI43" s="238"/>
      <c r="AJ43" s="185">
        <f t="shared" si="21"/>
        <v>9484</v>
      </c>
    </row>
    <row r="44" spans="1:36" ht="15.75" thickBot="1" x14ac:dyDescent="0.3">
      <c r="A44" s="141" t="s">
        <v>2</v>
      </c>
      <c r="B44" s="262">
        <f t="shared" si="22"/>
        <v>43884</v>
      </c>
      <c r="C44" s="310">
        <v>801</v>
      </c>
      <c r="D44" s="214">
        <v>1090</v>
      </c>
      <c r="E44" s="214">
        <v>250</v>
      </c>
      <c r="F44" s="214">
        <v>1137</v>
      </c>
      <c r="G44" s="311">
        <v>347</v>
      </c>
      <c r="H44" s="214">
        <v>476</v>
      </c>
      <c r="I44" s="238">
        <v>997</v>
      </c>
      <c r="J44" s="263">
        <v>405</v>
      </c>
      <c r="K44" s="214">
        <v>79</v>
      </c>
      <c r="L44" s="236">
        <v>448</v>
      </c>
      <c r="M44" s="247">
        <v>362</v>
      </c>
      <c r="N44" s="214">
        <v>321</v>
      </c>
      <c r="O44" s="214">
        <v>115</v>
      </c>
      <c r="P44" s="214">
        <v>118</v>
      </c>
      <c r="Q44" s="214">
        <v>103</v>
      </c>
      <c r="R44" s="236">
        <v>291</v>
      </c>
      <c r="S44" s="247">
        <v>246</v>
      </c>
      <c r="T44" s="214">
        <v>95</v>
      </c>
      <c r="U44" s="214">
        <v>290</v>
      </c>
      <c r="V44" s="214">
        <v>281</v>
      </c>
      <c r="W44" s="214">
        <v>311</v>
      </c>
      <c r="X44" s="236">
        <v>401</v>
      </c>
      <c r="Y44" s="247">
        <v>251</v>
      </c>
      <c r="Z44" s="179">
        <v>146</v>
      </c>
      <c r="AA44" s="214">
        <v>255</v>
      </c>
      <c r="AB44" s="236">
        <v>325</v>
      </c>
      <c r="AC44" s="247">
        <v>142</v>
      </c>
      <c r="AD44" s="214">
        <v>48</v>
      </c>
      <c r="AE44" s="214">
        <v>158</v>
      </c>
      <c r="AF44" s="214">
        <v>129</v>
      </c>
      <c r="AG44" s="236">
        <v>186</v>
      </c>
      <c r="AH44" s="247"/>
      <c r="AI44" s="238"/>
      <c r="AJ44" s="185">
        <f t="shared" si="21"/>
        <v>10604</v>
      </c>
    </row>
    <row r="45" spans="1:36" ht="15.75" thickBot="1" x14ac:dyDescent="0.3">
      <c r="A45" s="150" t="s">
        <v>21</v>
      </c>
      <c r="B45" s="615" t="s">
        <v>27</v>
      </c>
      <c r="C45" s="248">
        <f>SUM(C38:C44)</f>
        <v>6179</v>
      </c>
      <c r="D45" s="228">
        <f>SUM(D38:D44)</f>
        <v>6481</v>
      </c>
      <c r="E45" s="228">
        <f>SUM(E38:E44)</f>
        <v>2829</v>
      </c>
      <c r="F45" s="228">
        <f>SUM(F38:F44)</f>
        <v>7225</v>
      </c>
      <c r="G45" s="228">
        <f>SUM(G38:G44)</f>
        <v>3834</v>
      </c>
      <c r="H45" s="228">
        <f t="shared" ref="H45:AI45" si="23">SUM(H38:H44)</f>
        <v>2428</v>
      </c>
      <c r="I45" s="228">
        <f t="shared" si="23"/>
        <v>6840</v>
      </c>
      <c r="J45" s="228">
        <f t="shared" si="23"/>
        <v>3730</v>
      </c>
      <c r="K45" s="228">
        <f t="shared" si="23"/>
        <v>984</v>
      </c>
      <c r="L45" s="228">
        <f t="shared" si="23"/>
        <v>3838</v>
      </c>
      <c r="M45" s="228">
        <f t="shared" si="23"/>
        <v>2280</v>
      </c>
      <c r="N45" s="228">
        <f t="shared" si="23"/>
        <v>1870</v>
      </c>
      <c r="O45" s="228">
        <f t="shared" si="23"/>
        <v>826</v>
      </c>
      <c r="P45" s="228">
        <f t="shared" si="23"/>
        <v>857</v>
      </c>
      <c r="Q45" s="228">
        <f t="shared" si="23"/>
        <v>416</v>
      </c>
      <c r="R45" s="228">
        <f t="shared" si="23"/>
        <v>1151</v>
      </c>
      <c r="S45" s="228">
        <f t="shared" si="23"/>
        <v>2467</v>
      </c>
      <c r="T45" s="228">
        <f t="shared" si="23"/>
        <v>1430</v>
      </c>
      <c r="U45" s="228">
        <f t="shared" si="23"/>
        <v>2871</v>
      </c>
      <c r="V45" s="228">
        <f t="shared" si="23"/>
        <v>2413</v>
      </c>
      <c r="W45" s="228">
        <f t="shared" si="23"/>
        <v>2029</v>
      </c>
      <c r="X45" s="228">
        <f t="shared" si="23"/>
        <v>2710</v>
      </c>
      <c r="Y45" s="228">
        <f t="shared" si="23"/>
        <v>2574</v>
      </c>
      <c r="Z45" s="228">
        <f t="shared" si="23"/>
        <v>2134</v>
      </c>
      <c r="AA45" s="228">
        <f t="shared" si="23"/>
        <v>1865</v>
      </c>
      <c r="AB45" s="228">
        <f t="shared" si="23"/>
        <v>3214</v>
      </c>
      <c r="AC45" s="228">
        <f t="shared" si="23"/>
        <v>1297</v>
      </c>
      <c r="AD45" s="228">
        <f t="shared" si="23"/>
        <v>298</v>
      </c>
      <c r="AE45" s="228">
        <f t="shared" si="23"/>
        <v>1143</v>
      </c>
      <c r="AF45" s="228">
        <f t="shared" si="23"/>
        <v>1263</v>
      </c>
      <c r="AG45" s="228">
        <f t="shared" si="23"/>
        <v>1812</v>
      </c>
      <c r="AH45" s="228">
        <f t="shared" si="23"/>
        <v>0</v>
      </c>
      <c r="AI45" s="228">
        <f t="shared" si="23"/>
        <v>0</v>
      </c>
      <c r="AJ45" s="230">
        <f>SUM(AJ38:AJ44)</f>
        <v>81288</v>
      </c>
    </row>
    <row r="46" spans="1:36" ht="15.75" thickBot="1" x14ac:dyDescent="0.3">
      <c r="A46" s="101" t="s">
        <v>23</v>
      </c>
      <c r="B46" s="615"/>
      <c r="C46" s="248">
        <f>AVERAGE(C38:C44)</f>
        <v>882.71428571428567</v>
      </c>
      <c r="D46" s="228">
        <f t="shared" ref="D46:AI46" si="24">AVERAGE(D38:D44)</f>
        <v>925.85714285714289</v>
      </c>
      <c r="E46" s="228">
        <f t="shared" si="24"/>
        <v>404.14285714285717</v>
      </c>
      <c r="F46" s="228">
        <f t="shared" si="24"/>
        <v>1032.1428571428571</v>
      </c>
      <c r="G46" s="228">
        <f t="shared" si="24"/>
        <v>547.71428571428567</v>
      </c>
      <c r="H46" s="228">
        <f t="shared" si="24"/>
        <v>346.85714285714283</v>
      </c>
      <c r="I46" s="228">
        <f t="shared" si="24"/>
        <v>977.14285714285711</v>
      </c>
      <c r="J46" s="228">
        <f t="shared" si="24"/>
        <v>532.85714285714289</v>
      </c>
      <c r="K46" s="228">
        <f t="shared" si="24"/>
        <v>140.57142857142858</v>
      </c>
      <c r="L46" s="228">
        <f t="shared" si="24"/>
        <v>548.28571428571433</v>
      </c>
      <c r="M46" s="228">
        <f t="shared" si="24"/>
        <v>325.71428571428572</v>
      </c>
      <c r="N46" s="228">
        <f t="shared" si="24"/>
        <v>267.14285714285717</v>
      </c>
      <c r="O46" s="228">
        <f t="shared" si="24"/>
        <v>118</v>
      </c>
      <c r="P46" s="228">
        <f t="shared" si="24"/>
        <v>122.42857142857143</v>
      </c>
      <c r="Q46" s="228">
        <f t="shared" si="24"/>
        <v>59.428571428571431</v>
      </c>
      <c r="R46" s="228">
        <f t="shared" si="24"/>
        <v>164.42857142857142</v>
      </c>
      <c r="S46" s="228">
        <f t="shared" si="24"/>
        <v>352.42857142857144</v>
      </c>
      <c r="T46" s="228">
        <f t="shared" si="24"/>
        <v>204.28571428571428</v>
      </c>
      <c r="U46" s="228">
        <f t="shared" si="24"/>
        <v>410.14285714285717</v>
      </c>
      <c r="V46" s="228">
        <f t="shared" si="24"/>
        <v>344.71428571428572</v>
      </c>
      <c r="W46" s="228">
        <f t="shared" si="24"/>
        <v>289.85714285714283</v>
      </c>
      <c r="X46" s="228">
        <f t="shared" si="24"/>
        <v>387.14285714285717</v>
      </c>
      <c r="Y46" s="228">
        <f t="shared" si="24"/>
        <v>367.71428571428572</v>
      </c>
      <c r="Z46" s="228">
        <f t="shared" si="24"/>
        <v>304.85714285714283</v>
      </c>
      <c r="AA46" s="228">
        <f t="shared" si="24"/>
        <v>266.42857142857144</v>
      </c>
      <c r="AB46" s="228">
        <f t="shared" si="24"/>
        <v>459.14285714285717</v>
      </c>
      <c r="AC46" s="228">
        <f t="shared" si="24"/>
        <v>185.28571428571428</v>
      </c>
      <c r="AD46" s="228">
        <f t="shared" si="24"/>
        <v>42.571428571428569</v>
      </c>
      <c r="AE46" s="228">
        <f t="shared" si="24"/>
        <v>163.28571428571428</v>
      </c>
      <c r="AF46" s="228">
        <f t="shared" si="24"/>
        <v>180.42857142857142</v>
      </c>
      <c r="AG46" s="228">
        <f t="shared" si="24"/>
        <v>258.85714285714283</v>
      </c>
      <c r="AH46" s="228" t="e">
        <f t="shared" si="24"/>
        <v>#DIV/0!</v>
      </c>
      <c r="AI46" s="228" t="e">
        <f t="shared" si="24"/>
        <v>#DIV/0!</v>
      </c>
      <c r="AJ46" s="231">
        <f>AVERAGE(AJ38:AJ44)</f>
        <v>11612.571428571429</v>
      </c>
    </row>
    <row r="47" spans="1:36" ht="15.75" thickBot="1" x14ac:dyDescent="0.3">
      <c r="A47" s="23" t="s">
        <v>20</v>
      </c>
      <c r="B47" s="615"/>
      <c r="C47" s="250">
        <f t="shared" ref="C47:AI47" si="25">SUM(C38:C42)</f>
        <v>4539</v>
      </c>
      <c r="D47" s="229">
        <f t="shared" si="25"/>
        <v>4310</v>
      </c>
      <c r="E47" s="229">
        <f t="shared" si="25"/>
        <v>2369</v>
      </c>
      <c r="F47" s="229">
        <f t="shared" si="25"/>
        <v>5208</v>
      </c>
      <c r="G47" s="229">
        <f t="shared" si="25"/>
        <v>3141</v>
      </c>
      <c r="H47" s="229">
        <f t="shared" si="25"/>
        <v>1552</v>
      </c>
      <c r="I47" s="229">
        <f t="shared" si="25"/>
        <v>4927</v>
      </c>
      <c r="J47" s="229">
        <f t="shared" si="25"/>
        <v>2892</v>
      </c>
      <c r="K47" s="229">
        <f t="shared" si="25"/>
        <v>792</v>
      </c>
      <c r="L47" s="229">
        <f t="shared" si="25"/>
        <v>2879</v>
      </c>
      <c r="M47" s="229">
        <f t="shared" si="25"/>
        <v>1545</v>
      </c>
      <c r="N47" s="229">
        <f t="shared" si="25"/>
        <v>1276</v>
      </c>
      <c r="O47" s="229">
        <f t="shared" si="25"/>
        <v>613</v>
      </c>
      <c r="P47" s="229">
        <f t="shared" si="25"/>
        <v>667</v>
      </c>
      <c r="Q47" s="229">
        <f t="shared" si="25"/>
        <v>230</v>
      </c>
      <c r="R47" s="229">
        <f t="shared" si="25"/>
        <v>684</v>
      </c>
      <c r="S47" s="229">
        <f t="shared" si="25"/>
        <v>1990</v>
      </c>
      <c r="T47" s="229">
        <f t="shared" si="25"/>
        <v>1244</v>
      </c>
      <c r="U47" s="229">
        <f t="shared" si="25"/>
        <v>2345</v>
      </c>
      <c r="V47" s="229">
        <f t="shared" si="25"/>
        <v>1905</v>
      </c>
      <c r="W47" s="229">
        <f t="shared" si="25"/>
        <v>1492</v>
      </c>
      <c r="X47" s="229">
        <f t="shared" si="25"/>
        <v>2012</v>
      </c>
      <c r="Y47" s="229">
        <f t="shared" si="25"/>
        <v>2164</v>
      </c>
      <c r="Z47" s="229">
        <f t="shared" si="25"/>
        <v>1851</v>
      </c>
      <c r="AA47" s="229">
        <f t="shared" si="25"/>
        <v>1389</v>
      </c>
      <c r="AB47" s="229">
        <f t="shared" si="25"/>
        <v>2666</v>
      </c>
      <c r="AC47" s="229">
        <f t="shared" si="25"/>
        <v>1022</v>
      </c>
      <c r="AD47" s="229">
        <f t="shared" si="25"/>
        <v>211</v>
      </c>
      <c r="AE47" s="229">
        <f t="shared" si="25"/>
        <v>864</v>
      </c>
      <c r="AF47" s="229">
        <f t="shared" si="25"/>
        <v>996</v>
      </c>
      <c r="AG47" s="229">
        <f t="shared" si="25"/>
        <v>1425</v>
      </c>
      <c r="AH47" s="229">
        <f t="shared" si="25"/>
        <v>0</v>
      </c>
      <c r="AI47" s="229">
        <f t="shared" si="25"/>
        <v>0</v>
      </c>
      <c r="AJ47" s="232">
        <f>SUM(AJ38:AJ42)</f>
        <v>61200</v>
      </c>
    </row>
    <row r="48" spans="1:36" ht="15.75" thickBot="1" x14ac:dyDescent="0.3">
      <c r="A48" s="23" t="s">
        <v>22</v>
      </c>
      <c r="B48" s="615"/>
      <c r="C48" s="250">
        <f>AVERAGE(C38:C42)</f>
        <v>907.8</v>
      </c>
      <c r="D48" s="229">
        <f t="shared" ref="D48:AI48" si="26">AVERAGE(D38:D42)</f>
        <v>862</v>
      </c>
      <c r="E48" s="229">
        <f t="shared" si="26"/>
        <v>473.8</v>
      </c>
      <c r="F48" s="229">
        <f t="shared" si="26"/>
        <v>1041.5999999999999</v>
      </c>
      <c r="G48" s="229">
        <f t="shared" si="26"/>
        <v>628.20000000000005</v>
      </c>
      <c r="H48" s="229">
        <f t="shared" si="26"/>
        <v>310.39999999999998</v>
      </c>
      <c r="I48" s="229">
        <f t="shared" si="26"/>
        <v>985.4</v>
      </c>
      <c r="J48" s="229">
        <f t="shared" si="26"/>
        <v>578.4</v>
      </c>
      <c r="K48" s="229">
        <f t="shared" si="26"/>
        <v>158.4</v>
      </c>
      <c r="L48" s="229">
        <f t="shared" si="26"/>
        <v>575.79999999999995</v>
      </c>
      <c r="M48" s="229">
        <f t="shared" si="26"/>
        <v>309</v>
      </c>
      <c r="N48" s="229">
        <f t="shared" si="26"/>
        <v>255.2</v>
      </c>
      <c r="O48" s="229">
        <f t="shared" si="26"/>
        <v>122.6</v>
      </c>
      <c r="P48" s="229">
        <f t="shared" si="26"/>
        <v>133.4</v>
      </c>
      <c r="Q48" s="229">
        <f t="shared" si="26"/>
        <v>46</v>
      </c>
      <c r="R48" s="229">
        <f t="shared" si="26"/>
        <v>136.80000000000001</v>
      </c>
      <c r="S48" s="229">
        <f t="shared" si="26"/>
        <v>398</v>
      </c>
      <c r="T48" s="229">
        <f t="shared" si="26"/>
        <v>248.8</v>
      </c>
      <c r="U48" s="229">
        <f t="shared" si="26"/>
        <v>469</v>
      </c>
      <c r="V48" s="229">
        <f t="shared" si="26"/>
        <v>381</v>
      </c>
      <c r="W48" s="229">
        <f t="shared" si="26"/>
        <v>298.39999999999998</v>
      </c>
      <c r="X48" s="229">
        <f t="shared" si="26"/>
        <v>402.4</v>
      </c>
      <c r="Y48" s="229">
        <f t="shared" si="26"/>
        <v>432.8</v>
      </c>
      <c r="Z48" s="229">
        <f t="shared" si="26"/>
        <v>370.2</v>
      </c>
      <c r="AA48" s="229">
        <f t="shared" si="26"/>
        <v>277.8</v>
      </c>
      <c r="AB48" s="229">
        <f t="shared" si="26"/>
        <v>533.20000000000005</v>
      </c>
      <c r="AC48" s="229">
        <f t="shared" si="26"/>
        <v>204.4</v>
      </c>
      <c r="AD48" s="229">
        <f t="shared" si="26"/>
        <v>42.2</v>
      </c>
      <c r="AE48" s="229">
        <f t="shared" si="26"/>
        <v>172.8</v>
      </c>
      <c r="AF48" s="229">
        <f t="shared" si="26"/>
        <v>199.2</v>
      </c>
      <c r="AG48" s="229">
        <f t="shared" si="26"/>
        <v>285</v>
      </c>
      <c r="AH48" s="229" t="e">
        <f t="shared" si="26"/>
        <v>#DIV/0!</v>
      </c>
      <c r="AI48" s="229" t="e">
        <f t="shared" si="26"/>
        <v>#DIV/0!</v>
      </c>
      <c r="AJ48" s="233">
        <f>AVERAGE(AJ38:AJ42)</f>
        <v>12240</v>
      </c>
    </row>
    <row r="49" spans="1:36" ht="15.75" thickBot="1" x14ac:dyDescent="0.3">
      <c r="A49" s="141" t="s">
        <v>3</v>
      </c>
      <c r="B49" s="262">
        <f>B44+1</f>
        <v>43885</v>
      </c>
      <c r="C49" s="310">
        <v>1153</v>
      </c>
      <c r="D49" s="214">
        <v>957</v>
      </c>
      <c r="E49" s="214">
        <v>643</v>
      </c>
      <c r="F49" s="214">
        <v>1336</v>
      </c>
      <c r="G49" s="311">
        <v>697</v>
      </c>
      <c r="H49" s="214">
        <v>348</v>
      </c>
      <c r="I49" s="238">
        <v>1225</v>
      </c>
      <c r="J49" s="263">
        <v>637</v>
      </c>
      <c r="K49" s="214">
        <v>200</v>
      </c>
      <c r="L49" s="236">
        <v>556</v>
      </c>
      <c r="M49" s="247">
        <v>363</v>
      </c>
      <c r="N49" s="214">
        <v>254</v>
      </c>
      <c r="O49" s="214">
        <v>143</v>
      </c>
      <c r="P49" s="214">
        <v>157</v>
      </c>
      <c r="Q49" s="214">
        <v>55</v>
      </c>
      <c r="R49" s="236">
        <v>123</v>
      </c>
      <c r="S49" s="247">
        <v>569</v>
      </c>
      <c r="T49" s="214">
        <v>265</v>
      </c>
      <c r="U49" s="214">
        <v>580</v>
      </c>
      <c r="V49" s="214">
        <v>423</v>
      </c>
      <c r="W49" s="214">
        <v>366</v>
      </c>
      <c r="X49" s="236">
        <v>497</v>
      </c>
      <c r="Y49" s="247">
        <v>514</v>
      </c>
      <c r="Z49" s="179">
        <v>456</v>
      </c>
      <c r="AA49" s="214">
        <v>334</v>
      </c>
      <c r="AB49" s="236">
        <v>603</v>
      </c>
      <c r="AC49" s="247">
        <v>247</v>
      </c>
      <c r="AD49" s="214">
        <v>67</v>
      </c>
      <c r="AE49" s="214">
        <v>217</v>
      </c>
      <c r="AF49" s="214">
        <v>244</v>
      </c>
      <c r="AG49" s="236">
        <v>347</v>
      </c>
      <c r="AH49" s="247"/>
      <c r="AI49" s="238"/>
      <c r="AJ49" s="185">
        <f t="shared" ref="AJ49:AJ54" si="27">SUM(C49:AI49)</f>
        <v>14576</v>
      </c>
    </row>
    <row r="50" spans="1:36" ht="15.75" thickBot="1" x14ac:dyDescent="0.3">
      <c r="A50" s="141" t="s">
        <v>4</v>
      </c>
      <c r="B50" s="262">
        <f>B49+1</f>
        <v>43886</v>
      </c>
      <c r="C50" s="310">
        <v>850</v>
      </c>
      <c r="D50" s="214">
        <v>506</v>
      </c>
      <c r="E50" s="214">
        <v>571</v>
      </c>
      <c r="F50" s="214">
        <v>1026</v>
      </c>
      <c r="G50" s="311">
        <v>675</v>
      </c>
      <c r="H50" s="214">
        <v>249</v>
      </c>
      <c r="I50" s="238">
        <v>952</v>
      </c>
      <c r="J50" s="263">
        <v>558</v>
      </c>
      <c r="K50" s="214">
        <v>179</v>
      </c>
      <c r="L50" s="236">
        <v>458</v>
      </c>
      <c r="M50" s="247">
        <v>252</v>
      </c>
      <c r="N50" s="214">
        <v>116</v>
      </c>
      <c r="O50" s="214">
        <v>110</v>
      </c>
      <c r="P50" s="214">
        <v>155</v>
      </c>
      <c r="Q50" s="214">
        <v>46</v>
      </c>
      <c r="R50" s="236">
        <v>80</v>
      </c>
      <c r="S50" s="247">
        <v>369</v>
      </c>
      <c r="T50" s="214">
        <v>259</v>
      </c>
      <c r="U50" s="214">
        <v>485</v>
      </c>
      <c r="V50" s="214">
        <v>444</v>
      </c>
      <c r="W50" s="214">
        <v>275</v>
      </c>
      <c r="X50" s="236">
        <v>387</v>
      </c>
      <c r="Y50" s="247">
        <v>450</v>
      </c>
      <c r="Z50" s="179">
        <v>423</v>
      </c>
      <c r="AA50" s="214">
        <v>347</v>
      </c>
      <c r="AB50" s="236">
        <v>579</v>
      </c>
      <c r="AC50" s="247">
        <v>222</v>
      </c>
      <c r="AD50" s="214">
        <v>48</v>
      </c>
      <c r="AE50" s="214">
        <v>194</v>
      </c>
      <c r="AF50" s="214">
        <v>232</v>
      </c>
      <c r="AG50" s="236">
        <v>329</v>
      </c>
      <c r="AH50" s="247"/>
      <c r="AI50" s="238"/>
      <c r="AJ50" s="185">
        <f t="shared" si="27"/>
        <v>11826</v>
      </c>
    </row>
    <row r="51" spans="1:36" ht="15.75" thickBot="1" x14ac:dyDescent="0.3">
      <c r="A51" s="141" t="s">
        <v>5</v>
      </c>
      <c r="B51" s="262">
        <f>B50+1</f>
        <v>43887</v>
      </c>
      <c r="C51" s="310">
        <v>877</v>
      </c>
      <c r="D51" s="214">
        <v>555</v>
      </c>
      <c r="E51" s="214">
        <v>450</v>
      </c>
      <c r="F51" s="214">
        <v>982</v>
      </c>
      <c r="G51" s="311">
        <v>640</v>
      </c>
      <c r="H51" s="214">
        <v>247</v>
      </c>
      <c r="I51" s="238">
        <v>938</v>
      </c>
      <c r="J51" s="263">
        <v>532</v>
      </c>
      <c r="K51" s="214">
        <v>187</v>
      </c>
      <c r="L51" s="236">
        <v>472</v>
      </c>
      <c r="M51" s="247">
        <v>274</v>
      </c>
      <c r="N51" s="214">
        <v>146</v>
      </c>
      <c r="O51" s="214">
        <v>103</v>
      </c>
      <c r="P51" s="214">
        <v>152</v>
      </c>
      <c r="Q51" s="214">
        <v>36</v>
      </c>
      <c r="R51" s="236">
        <v>92</v>
      </c>
      <c r="S51" s="247">
        <v>398</v>
      </c>
      <c r="T51" s="214">
        <v>258</v>
      </c>
      <c r="U51" s="214">
        <v>513</v>
      </c>
      <c r="V51" s="214">
        <v>380</v>
      </c>
      <c r="W51" s="214">
        <v>277</v>
      </c>
      <c r="X51" s="236">
        <v>392</v>
      </c>
      <c r="Y51" s="247">
        <v>460</v>
      </c>
      <c r="Z51" s="179">
        <v>419</v>
      </c>
      <c r="AA51" s="214">
        <v>264</v>
      </c>
      <c r="AB51" s="236">
        <v>575</v>
      </c>
      <c r="AC51" s="247">
        <v>200</v>
      </c>
      <c r="AD51" s="214">
        <v>47</v>
      </c>
      <c r="AE51" s="214">
        <v>200</v>
      </c>
      <c r="AF51" s="214">
        <v>194</v>
      </c>
      <c r="AG51" s="236">
        <v>313</v>
      </c>
      <c r="AH51" s="247"/>
      <c r="AI51" s="238"/>
      <c r="AJ51" s="185">
        <f t="shared" si="27"/>
        <v>11573</v>
      </c>
    </row>
    <row r="52" spans="1:36" ht="15.75" thickBot="1" x14ac:dyDescent="0.3">
      <c r="A52" s="141" t="s">
        <v>6</v>
      </c>
      <c r="B52" s="262">
        <f>B51+1</f>
        <v>43888</v>
      </c>
      <c r="C52" s="310">
        <v>825</v>
      </c>
      <c r="D52" s="214">
        <v>502</v>
      </c>
      <c r="E52" s="214">
        <v>517</v>
      </c>
      <c r="F52" s="214">
        <v>1028</v>
      </c>
      <c r="G52" s="311">
        <v>653</v>
      </c>
      <c r="H52" s="214">
        <v>254</v>
      </c>
      <c r="I52" s="238">
        <v>974</v>
      </c>
      <c r="J52" s="263">
        <v>498</v>
      </c>
      <c r="K52" s="214">
        <v>171</v>
      </c>
      <c r="L52" s="236">
        <v>431</v>
      </c>
      <c r="M52" s="247">
        <v>260</v>
      </c>
      <c r="N52" s="214">
        <v>134</v>
      </c>
      <c r="O52" s="214">
        <v>94</v>
      </c>
      <c r="P52" s="214">
        <v>118</v>
      </c>
      <c r="Q52" s="214">
        <v>40</v>
      </c>
      <c r="R52" s="236">
        <v>64</v>
      </c>
      <c r="S52" s="247">
        <v>395</v>
      </c>
      <c r="T52" s="214">
        <v>282</v>
      </c>
      <c r="U52" s="214">
        <v>546</v>
      </c>
      <c r="V52" s="214">
        <v>348</v>
      </c>
      <c r="W52" s="214">
        <v>338</v>
      </c>
      <c r="X52" s="236">
        <v>377</v>
      </c>
      <c r="Y52" s="247">
        <v>574</v>
      </c>
      <c r="Z52" s="179">
        <v>424</v>
      </c>
      <c r="AA52" s="214">
        <v>287</v>
      </c>
      <c r="AB52" s="236">
        <v>575</v>
      </c>
      <c r="AC52" s="247">
        <v>214</v>
      </c>
      <c r="AD52" s="214">
        <v>46</v>
      </c>
      <c r="AE52" s="214">
        <v>231</v>
      </c>
      <c r="AF52" s="214">
        <v>223</v>
      </c>
      <c r="AG52" s="236">
        <v>345</v>
      </c>
      <c r="AH52" s="247"/>
      <c r="AI52" s="238"/>
      <c r="AJ52" s="185">
        <f t="shared" si="27"/>
        <v>11768</v>
      </c>
    </row>
    <row r="53" spans="1:36" ht="15.75" thickBot="1" x14ac:dyDescent="0.3">
      <c r="A53" s="141" t="s">
        <v>0</v>
      </c>
      <c r="B53" s="262">
        <f>B52+1</f>
        <v>43889</v>
      </c>
      <c r="C53" s="472">
        <v>920</v>
      </c>
      <c r="D53" s="214">
        <v>585</v>
      </c>
      <c r="E53" s="214">
        <v>475</v>
      </c>
      <c r="F53" s="214">
        <v>1041</v>
      </c>
      <c r="G53" s="214">
        <v>609</v>
      </c>
      <c r="H53" s="214">
        <v>217</v>
      </c>
      <c r="I53" s="238">
        <v>1050</v>
      </c>
      <c r="J53" s="263">
        <v>465</v>
      </c>
      <c r="K53" s="214">
        <v>127</v>
      </c>
      <c r="L53" s="236">
        <v>431</v>
      </c>
      <c r="M53" s="247">
        <v>296</v>
      </c>
      <c r="N53" s="214">
        <v>178</v>
      </c>
      <c r="O53" s="214">
        <v>111</v>
      </c>
      <c r="P53" s="214">
        <v>129</v>
      </c>
      <c r="Q53" s="214">
        <v>71</v>
      </c>
      <c r="R53" s="236">
        <v>97</v>
      </c>
      <c r="S53" s="247">
        <v>361</v>
      </c>
      <c r="T53" s="214">
        <v>265</v>
      </c>
      <c r="U53" s="214">
        <v>486</v>
      </c>
      <c r="V53" s="214">
        <v>377</v>
      </c>
      <c r="W53" s="214">
        <v>293</v>
      </c>
      <c r="X53" s="236">
        <v>406</v>
      </c>
      <c r="Y53" s="247">
        <v>413</v>
      </c>
      <c r="Z53" s="179">
        <v>409</v>
      </c>
      <c r="AA53" s="214">
        <v>254</v>
      </c>
      <c r="AB53" s="236">
        <v>562</v>
      </c>
      <c r="AC53" s="247">
        <v>198</v>
      </c>
      <c r="AD53" s="214">
        <v>53</v>
      </c>
      <c r="AE53" s="214">
        <v>195</v>
      </c>
      <c r="AF53" s="214">
        <v>181</v>
      </c>
      <c r="AG53" s="236">
        <v>308</v>
      </c>
      <c r="AH53" s="247"/>
      <c r="AI53" s="238"/>
      <c r="AJ53" s="185">
        <f t="shared" si="27"/>
        <v>11563</v>
      </c>
    </row>
    <row r="54" spans="1:36" ht="15.75" thickBot="1" x14ac:dyDescent="0.3">
      <c r="A54" s="141" t="s">
        <v>1</v>
      </c>
      <c r="B54" s="262">
        <f>B53+1</f>
        <v>43890</v>
      </c>
      <c r="C54" s="247">
        <v>429</v>
      </c>
      <c r="D54" s="214">
        <v>617</v>
      </c>
      <c r="E54" s="214">
        <v>174</v>
      </c>
      <c r="F54" s="214">
        <v>570</v>
      </c>
      <c r="G54" s="214">
        <v>267</v>
      </c>
      <c r="H54" s="214">
        <v>201</v>
      </c>
      <c r="I54" s="238">
        <v>580</v>
      </c>
      <c r="J54" s="263">
        <v>199</v>
      </c>
      <c r="K54" s="214">
        <v>35</v>
      </c>
      <c r="L54" s="236">
        <v>317</v>
      </c>
      <c r="M54" s="247">
        <v>188</v>
      </c>
      <c r="N54" s="214">
        <v>113</v>
      </c>
      <c r="O54" s="214">
        <v>24</v>
      </c>
      <c r="P54" s="214">
        <v>53</v>
      </c>
      <c r="Q54" s="214">
        <v>21</v>
      </c>
      <c r="R54" s="236">
        <v>48</v>
      </c>
      <c r="S54" s="247">
        <v>65</v>
      </c>
      <c r="T54" s="214">
        <v>74</v>
      </c>
      <c r="U54" s="214">
        <v>159</v>
      </c>
      <c r="V54" s="214">
        <v>154</v>
      </c>
      <c r="W54" s="214">
        <v>156</v>
      </c>
      <c r="X54" s="236">
        <v>179</v>
      </c>
      <c r="Y54" s="247">
        <v>108</v>
      </c>
      <c r="Z54" s="179">
        <v>110</v>
      </c>
      <c r="AA54" s="214">
        <v>117</v>
      </c>
      <c r="AB54" s="236">
        <v>177</v>
      </c>
      <c r="AC54" s="247">
        <v>73</v>
      </c>
      <c r="AD54" s="214">
        <v>20</v>
      </c>
      <c r="AE54" s="214">
        <v>75</v>
      </c>
      <c r="AF54" s="214">
        <v>103</v>
      </c>
      <c r="AG54" s="236">
        <v>165</v>
      </c>
      <c r="AH54" s="247"/>
      <c r="AI54" s="238"/>
      <c r="AJ54" s="185">
        <f t="shared" si="27"/>
        <v>5571</v>
      </c>
    </row>
    <row r="55" spans="1:36" ht="15.75" thickBot="1" x14ac:dyDescent="0.3">
      <c r="A55" s="150" t="s">
        <v>21</v>
      </c>
      <c r="B55" s="615" t="s">
        <v>28</v>
      </c>
      <c r="C55" s="248">
        <f t="shared" ref="C55:H55" si="28">SUM(C49:C54)</f>
        <v>5054</v>
      </c>
      <c r="D55" s="228">
        <f t="shared" si="28"/>
        <v>3722</v>
      </c>
      <c r="E55" s="228">
        <f t="shared" si="28"/>
        <v>2830</v>
      </c>
      <c r="F55" s="228">
        <f t="shared" si="28"/>
        <v>5983</v>
      </c>
      <c r="G55" s="228">
        <f t="shared" si="28"/>
        <v>3541</v>
      </c>
      <c r="H55" s="228">
        <f t="shared" si="28"/>
        <v>1516</v>
      </c>
      <c r="I55" s="228">
        <f t="shared" ref="I55:AI55" si="29">SUM(I49:I54)</f>
        <v>5719</v>
      </c>
      <c r="J55" s="228">
        <f t="shared" si="29"/>
        <v>2889</v>
      </c>
      <c r="K55" s="228">
        <f t="shared" si="29"/>
        <v>899</v>
      </c>
      <c r="L55" s="228">
        <f t="shared" si="29"/>
        <v>2665</v>
      </c>
      <c r="M55" s="228">
        <f t="shared" si="29"/>
        <v>1633</v>
      </c>
      <c r="N55" s="228">
        <f t="shared" si="29"/>
        <v>941</v>
      </c>
      <c r="O55" s="228">
        <f t="shared" si="29"/>
        <v>585</v>
      </c>
      <c r="P55" s="228">
        <f t="shared" si="29"/>
        <v>764</v>
      </c>
      <c r="Q55" s="228">
        <f t="shared" si="29"/>
        <v>269</v>
      </c>
      <c r="R55" s="228">
        <f t="shared" si="29"/>
        <v>504</v>
      </c>
      <c r="S55" s="228">
        <f t="shared" si="29"/>
        <v>2157</v>
      </c>
      <c r="T55" s="228">
        <f t="shared" si="29"/>
        <v>1403</v>
      </c>
      <c r="U55" s="228">
        <f t="shared" si="29"/>
        <v>2769</v>
      </c>
      <c r="V55" s="228">
        <f t="shared" si="29"/>
        <v>2126</v>
      </c>
      <c r="W55" s="228">
        <f t="shared" si="29"/>
        <v>1705</v>
      </c>
      <c r="X55" s="228">
        <f t="shared" si="29"/>
        <v>2238</v>
      </c>
      <c r="Y55" s="228">
        <f t="shared" si="29"/>
        <v>2519</v>
      </c>
      <c r="Z55" s="228">
        <f t="shared" si="29"/>
        <v>2241</v>
      </c>
      <c r="AA55" s="228">
        <f t="shared" si="29"/>
        <v>1603</v>
      </c>
      <c r="AB55" s="228">
        <f t="shared" si="29"/>
        <v>3071</v>
      </c>
      <c r="AC55" s="228">
        <f t="shared" si="29"/>
        <v>1154</v>
      </c>
      <c r="AD55" s="228">
        <f t="shared" si="29"/>
        <v>281</v>
      </c>
      <c r="AE55" s="228">
        <f t="shared" si="29"/>
        <v>1112</v>
      </c>
      <c r="AF55" s="228">
        <f t="shared" si="29"/>
        <v>1177</v>
      </c>
      <c r="AG55" s="228">
        <f t="shared" si="29"/>
        <v>1807</v>
      </c>
      <c r="AH55" s="228">
        <f t="shared" si="29"/>
        <v>0</v>
      </c>
      <c r="AI55" s="228">
        <f t="shared" si="29"/>
        <v>0</v>
      </c>
      <c r="AJ55" s="230">
        <f>SUM(AJ49:AJ54)</f>
        <v>66877</v>
      </c>
    </row>
    <row r="56" spans="1:36" ht="15.75" thickBot="1" x14ac:dyDescent="0.3">
      <c r="A56" s="101" t="s">
        <v>23</v>
      </c>
      <c r="B56" s="615"/>
      <c r="C56" s="248">
        <f t="shared" ref="C56:H56" si="30">AVERAGE(C49:C54)</f>
        <v>842.33333333333337</v>
      </c>
      <c r="D56" s="228">
        <f t="shared" si="30"/>
        <v>620.33333333333337</v>
      </c>
      <c r="E56" s="228">
        <f t="shared" si="30"/>
        <v>471.66666666666669</v>
      </c>
      <c r="F56" s="228">
        <f t="shared" si="30"/>
        <v>997.16666666666663</v>
      </c>
      <c r="G56" s="228">
        <f t="shared" si="30"/>
        <v>590.16666666666663</v>
      </c>
      <c r="H56" s="228">
        <f t="shared" si="30"/>
        <v>252.66666666666666</v>
      </c>
      <c r="I56" s="228">
        <f t="shared" ref="I56:AI56" si="31">AVERAGE(I49:I54)</f>
        <v>953.16666666666663</v>
      </c>
      <c r="J56" s="228">
        <f t="shared" si="31"/>
        <v>481.5</v>
      </c>
      <c r="K56" s="228">
        <f t="shared" si="31"/>
        <v>149.83333333333334</v>
      </c>
      <c r="L56" s="228">
        <f t="shared" si="31"/>
        <v>444.16666666666669</v>
      </c>
      <c r="M56" s="228">
        <f t="shared" si="31"/>
        <v>272.16666666666669</v>
      </c>
      <c r="N56" s="228">
        <f t="shared" si="31"/>
        <v>156.83333333333334</v>
      </c>
      <c r="O56" s="228">
        <f t="shared" si="31"/>
        <v>97.5</v>
      </c>
      <c r="P56" s="228">
        <f t="shared" si="31"/>
        <v>127.33333333333333</v>
      </c>
      <c r="Q56" s="228">
        <f t="shared" si="31"/>
        <v>44.833333333333336</v>
      </c>
      <c r="R56" s="228">
        <f t="shared" si="31"/>
        <v>84</v>
      </c>
      <c r="S56" s="228">
        <f t="shared" si="31"/>
        <v>359.5</v>
      </c>
      <c r="T56" s="228">
        <f t="shared" si="31"/>
        <v>233.83333333333334</v>
      </c>
      <c r="U56" s="228">
        <f t="shared" si="31"/>
        <v>461.5</v>
      </c>
      <c r="V56" s="228">
        <f t="shared" si="31"/>
        <v>354.33333333333331</v>
      </c>
      <c r="W56" s="228">
        <f t="shared" si="31"/>
        <v>284.16666666666669</v>
      </c>
      <c r="X56" s="228">
        <f t="shared" si="31"/>
        <v>373</v>
      </c>
      <c r="Y56" s="228">
        <f t="shared" si="31"/>
        <v>419.83333333333331</v>
      </c>
      <c r="Z56" s="228">
        <f t="shared" si="31"/>
        <v>373.5</v>
      </c>
      <c r="AA56" s="228">
        <f t="shared" si="31"/>
        <v>267.16666666666669</v>
      </c>
      <c r="AB56" s="228">
        <f t="shared" si="31"/>
        <v>511.83333333333331</v>
      </c>
      <c r="AC56" s="228">
        <f t="shared" si="31"/>
        <v>192.33333333333334</v>
      </c>
      <c r="AD56" s="228">
        <f t="shared" si="31"/>
        <v>46.833333333333336</v>
      </c>
      <c r="AE56" s="228">
        <f t="shared" si="31"/>
        <v>185.33333333333334</v>
      </c>
      <c r="AF56" s="228">
        <f t="shared" si="31"/>
        <v>196.16666666666666</v>
      </c>
      <c r="AG56" s="228">
        <f t="shared" si="31"/>
        <v>301.16666666666669</v>
      </c>
      <c r="AH56" s="228" t="e">
        <f t="shared" si="31"/>
        <v>#DIV/0!</v>
      </c>
      <c r="AI56" s="228" t="e">
        <f t="shared" si="31"/>
        <v>#DIV/0!</v>
      </c>
      <c r="AJ56" s="231">
        <f>AVERAGE(AJ49:AJ54)</f>
        <v>11146.166666666666</v>
      </c>
    </row>
    <row r="57" spans="1:36" ht="15.75" thickBot="1" x14ac:dyDescent="0.3">
      <c r="A57" s="23" t="s">
        <v>20</v>
      </c>
      <c r="B57" s="615"/>
      <c r="C57" s="250">
        <f t="shared" ref="C57:H57" si="32">SUM(C49:C53)</f>
        <v>4625</v>
      </c>
      <c r="D57" s="229">
        <f t="shared" si="32"/>
        <v>3105</v>
      </c>
      <c r="E57" s="229">
        <f t="shared" si="32"/>
        <v>2656</v>
      </c>
      <c r="F57" s="229">
        <f t="shared" si="32"/>
        <v>5413</v>
      </c>
      <c r="G57" s="229">
        <f t="shared" si="32"/>
        <v>3274</v>
      </c>
      <c r="H57" s="229">
        <f t="shared" si="32"/>
        <v>1315</v>
      </c>
      <c r="I57" s="229">
        <f t="shared" ref="I57:AI57" si="33">SUM(I49:I53)</f>
        <v>5139</v>
      </c>
      <c r="J57" s="229">
        <f t="shared" si="33"/>
        <v>2690</v>
      </c>
      <c r="K57" s="229">
        <f t="shared" si="33"/>
        <v>864</v>
      </c>
      <c r="L57" s="229">
        <f t="shared" si="33"/>
        <v>2348</v>
      </c>
      <c r="M57" s="229">
        <f t="shared" si="33"/>
        <v>1445</v>
      </c>
      <c r="N57" s="229">
        <f t="shared" si="33"/>
        <v>828</v>
      </c>
      <c r="O57" s="229">
        <f t="shared" si="33"/>
        <v>561</v>
      </c>
      <c r="P57" s="229">
        <f t="shared" si="33"/>
        <v>711</v>
      </c>
      <c r="Q57" s="229">
        <f t="shared" si="33"/>
        <v>248</v>
      </c>
      <c r="R57" s="229">
        <f t="shared" si="33"/>
        <v>456</v>
      </c>
      <c r="S57" s="229">
        <f t="shared" si="33"/>
        <v>2092</v>
      </c>
      <c r="T57" s="229">
        <f t="shared" si="33"/>
        <v>1329</v>
      </c>
      <c r="U57" s="229">
        <f t="shared" si="33"/>
        <v>2610</v>
      </c>
      <c r="V57" s="229">
        <f t="shared" si="33"/>
        <v>1972</v>
      </c>
      <c r="W57" s="229">
        <f t="shared" si="33"/>
        <v>1549</v>
      </c>
      <c r="X57" s="229">
        <f t="shared" si="33"/>
        <v>2059</v>
      </c>
      <c r="Y57" s="229">
        <f t="shared" si="33"/>
        <v>2411</v>
      </c>
      <c r="Z57" s="229">
        <f t="shared" si="33"/>
        <v>2131</v>
      </c>
      <c r="AA57" s="229">
        <f t="shared" si="33"/>
        <v>1486</v>
      </c>
      <c r="AB57" s="229">
        <f t="shared" si="33"/>
        <v>2894</v>
      </c>
      <c r="AC57" s="229">
        <f t="shared" si="33"/>
        <v>1081</v>
      </c>
      <c r="AD57" s="229">
        <f t="shared" si="33"/>
        <v>261</v>
      </c>
      <c r="AE57" s="229">
        <f t="shared" si="33"/>
        <v>1037</v>
      </c>
      <c r="AF57" s="229">
        <f t="shared" si="33"/>
        <v>1074</v>
      </c>
      <c r="AG57" s="229">
        <f t="shared" si="33"/>
        <v>1642</v>
      </c>
      <c r="AH57" s="229">
        <f t="shared" si="33"/>
        <v>0</v>
      </c>
      <c r="AI57" s="229">
        <f t="shared" si="33"/>
        <v>0</v>
      </c>
      <c r="AJ57" s="232">
        <f>SUM(AJ49:AJ53)</f>
        <v>61306</v>
      </c>
    </row>
    <row r="58" spans="1:36" ht="15.75" thickBot="1" x14ac:dyDescent="0.3">
      <c r="A58" s="23" t="s">
        <v>22</v>
      </c>
      <c r="B58" s="618"/>
      <c r="C58" s="37">
        <f t="shared" ref="C58:H58" si="34">AVERAGE(C49:C53)</f>
        <v>925</v>
      </c>
      <c r="D58" s="216">
        <f t="shared" si="34"/>
        <v>621</v>
      </c>
      <c r="E58" s="216">
        <f t="shared" si="34"/>
        <v>531.20000000000005</v>
      </c>
      <c r="F58" s="216">
        <f t="shared" si="34"/>
        <v>1082.5999999999999</v>
      </c>
      <c r="G58" s="216">
        <f t="shared" si="34"/>
        <v>654.79999999999995</v>
      </c>
      <c r="H58" s="216">
        <f t="shared" si="34"/>
        <v>263</v>
      </c>
      <c r="I58" s="216">
        <f t="shared" ref="I58:AI58" si="35">AVERAGE(I49:I53)</f>
        <v>1027.8</v>
      </c>
      <c r="J58" s="216">
        <f t="shared" si="35"/>
        <v>538</v>
      </c>
      <c r="K58" s="216">
        <f t="shared" si="35"/>
        <v>172.8</v>
      </c>
      <c r="L58" s="216">
        <f t="shared" si="35"/>
        <v>469.6</v>
      </c>
      <c r="M58" s="216">
        <f t="shared" si="35"/>
        <v>289</v>
      </c>
      <c r="N58" s="216">
        <f t="shared" si="35"/>
        <v>165.6</v>
      </c>
      <c r="O58" s="216">
        <f t="shared" si="35"/>
        <v>112.2</v>
      </c>
      <c r="P58" s="216">
        <f t="shared" si="35"/>
        <v>142.19999999999999</v>
      </c>
      <c r="Q58" s="216">
        <f t="shared" si="35"/>
        <v>49.6</v>
      </c>
      <c r="R58" s="216">
        <f t="shared" si="35"/>
        <v>91.2</v>
      </c>
      <c r="S58" s="216">
        <f t="shared" si="35"/>
        <v>418.4</v>
      </c>
      <c r="T58" s="216">
        <f t="shared" si="35"/>
        <v>265.8</v>
      </c>
      <c r="U58" s="216">
        <f t="shared" si="35"/>
        <v>522</v>
      </c>
      <c r="V58" s="216">
        <f t="shared" si="35"/>
        <v>394.4</v>
      </c>
      <c r="W58" s="216">
        <f t="shared" si="35"/>
        <v>309.8</v>
      </c>
      <c r="X58" s="216">
        <f t="shared" si="35"/>
        <v>411.8</v>
      </c>
      <c r="Y58" s="216">
        <f t="shared" si="35"/>
        <v>482.2</v>
      </c>
      <c r="Z58" s="216">
        <f t="shared" si="35"/>
        <v>426.2</v>
      </c>
      <c r="AA58" s="216">
        <f t="shared" si="35"/>
        <v>297.2</v>
      </c>
      <c r="AB58" s="216">
        <f t="shared" si="35"/>
        <v>578.79999999999995</v>
      </c>
      <c r="AC58" s="216">
        <f t="shared" si="35"/>
        <v>216.2</v>
      </c>
      <c r="AD58" s="216">
        <f t="shared" si="35"/>
        <v>52.2</v>
      </c>
      <c r="AE58" s="216">
        <f t="shared" si="35"/>
        <v>207.4</v>
      </c>
      <c r="AF58" s="216">
        <f t="shared" si="35"/>
        <v>214.8</v>
      </c>
      <c r="AG58" s="216">
        <f t="shared" si="35"/>
        <v>328.4</v>
      </c>
      <c r="AH58" s="216" t="e">
        <f t="shared" si="35"/>
        <v>#DIV/0!</v>
      </c>
      <c r="AI58" s="216" t="e">
        <f t="shared" si="35"/>
        <v>#DIV/0!</v>
      </c>
      <c r="AJ58" s="233">
        <f>AVERAGE(AJ49:AJ53)</f>
        <v>12261.2</v>
      </c>
    </row>
    <row r="59" spans="1:36" hidden="1" x14ac:dyDescent="0.25">
      <c r="A59" s="141" t="s">
        <v>3</v>
      </c>
      <c r="B59" s="424" t="e">
        <f>#REF!+1</f>
        <v>#REF!</v>
      </c>
      <c r="C59" s="177"/>
      <c r="D59" s="213"/>
      <c r="E59" s="213"/>
      <c r="F59" s="213"/>
      <c r="G59" s="213"/>
      <c r="H59" s="213"/>
      <c r="I59" s="305"/>
      <c r="J59" s="305"/>
      <c r="K59" s="213"/>
      <c r="L59" s="241"/>
      <c r="M59" s="305"/>
      <c r="N59" s="253"/>
      <c r="O59" s="213"/>
      <c r="P59" s="213"/>
      <c r="Q59" s="213"/>
      <c r="R59" s="304"/>
      <c r="S59" s="305"/>
      <c r="T59" s="253"/>
      <c r="U59" s="213"/>
      <c r="V59" s="213"/>
      <c r="W59" s="304"/>
      <c r="X59" s="241"/>
      <c r="Y59" s="241"/>
      <c r="Z59" s="241"/>
      <c r="AA59" s="253"/>
      <c r="AB59" s="213"/>
      <c r="AC59" s="305"/>
      <c r="AD59" s="253"/>
      <c r="AE59" s="213"/>
      <c r="AF59" s="213"/>
      <c r="AG59" s="213"/>
      <c r="AH59" s="305"/>
      <c r="AI59" s="305"/>
      <c r="AJ59" s="185">
        <f t="shared" ref="AJ59:AJ65" si="36">SUM(O59:AG59)</f>
        <v>0</v>
      </c>
    </row>
    <row r="60" spans="1:36" hidden="1" x14ac:dyDescent="0.25">
      <c r="A60" s="141" t="s">
        <v>4</v>
      </c>
      <c r="B60" s="166" t="e">
        <f t="shared" ref="B60:B65" si="37">B59+1</f>
        <v>#REF!</v>
      </c>
      <c r="C60" s="184"/>
      <c r="D60" s="214"/>
      <c r="E60" s="214"/>
      <c r="F60" s="214"/>
      <c r="G60" s="214"/>
      <c r="H60" s="214"/>
      <c r="I60" s="212"/>
      <c r="J60" s="212"/>
      <c r="K60" s="214"/>
      <c r="L60" s="238"/>
      <c r="M60" s="212"/>
      <c r="N60" s="247"/>
      <c r="O60" s="214"/>
      <c r="P60" s="214"/>
      <c r="Q60" s="214"/>
      <c r="R60" s="236"/>
      <c r="S60" s="212"/>
      <c r="T60" s="247"/>
      <c r="U60" s="214"/>
      <c r="V60" s="214"/>
      <c r="W60" s="236"/>
      <c r="X60" s="238"/>
      <c r="Y60" s="238"/>
      <c r="Z60" s="238"/>
      <c r="AA60" s="247"/>
      <c r="AB60" s="214"/>
      <c r="AC60" s="212"/>
      <c r="AD60" s="247"/>
      <c r="AE60" s="214"/>
      <c r="AF60" s="214"/>
      <c r="AG60" s="214"/>
      <c r="AH60" s="305"/>
      <c r="AI60" s="305"/>
      <c r="AJ60" s="185">
        <f t="shared" si="36"/>
        <v>0</v>
      </c>
    </row>
    <row r="61" spans="1:36" hidden="1" x14ac:dyDescent="0.25">
      <c r="A61" s="141" t="s">
        <v>5</v>
      </c>
      <c r="B61" s="166" t="e">
        <f t="shared" si="37"/>
        <v>#REF!</v>
      </c>
      <c r="C61" s="212"/>
      <c r="D61" s="214"/>
      <c r="E61" s="214"/>
      <c r="F61" s="214"/>
      <c r="G61" s="214"/>
      <c r="H61" s="214"/>
      <c r="I61" s="212"/>
      <c r="J61" s="212"/>
      <c r="K61" s="214"/>
      <c r="L61" s="238"/>
      <c r="M61" s="212"/>
      <c r="N61" s="247"/>
      <c r="O61" s="214"/>
      <c r="P61" s="214"/>
      <c r="Q61" s="214"/>
      <c r="R61" s="236"/>
      <c r="S61" s="212"/>
      <c r="T61" s="247"/>
      <c r="U61" s="214"/>
      <c r="V61" s="214"/>
      <c r="W61" s="236"/>
      <c r="X61" s="238"/>
      <c r="Y61" s="238"/>
      <c r="Z61" s="238"/>
      <c r="AA61" s="247"/>
      <c r="AB61" s="214"/>
      <c r="AC61" s="212"/>
      <c r="AD61" s="247"/>
      <c r="AE61" s="214"/>
      <c r="AF61" s="214"/>
      <c r="AG61" s="214"/>
      <c r="AH61" s="305"/>
      <c r="AI61" s="305"/>
      <c r="AJ61" s="185">
        <f t="shared" si="36"/>
        <v>0</v>
      </c>
    </row>
    <row r="62" spans="1:36" hidden="1" x14ac:dyDescent="0.25">
      <c r="A62" s="141" t="s">
        <v>6</v>
      </c>
      <c r="B62" s="166" t="e">
        <f t="shared" si="37"/>
        <v>#REF!</v>
      </c>
      <c r="C62" s="184"/>
      <c r="D62" s="214"/>
      <c r="E62" s="214"/>
      <c r="F62" s="214"/>
      <c r="G62" s="214"/>
      <c r="H62" s="214"/>
      <c r="I62" s="212"/>
      <c r="J62" s="212"/>
      <c r="K62" s="214"/>
      <c r="L62" s="238"/>
      <c r="M62" s="212"/>
      <c r="N62" s="247"/>
      <c r="O62" s="214"/>
      <c r="P62" s="214"/>
      <c r="Q62" s="214"/>
      <c r="R62" s="238"/>
      <c r="S62" s="212"/>
      <c r="T62" s="247"/>
      <c r="U62" s="214"/>
      <c r="V62" s="214"/>
      <c r="W62" s="236"/>
      <c r="X62" s="238"/>
      <c r="Y62" s="238"/>
      <c r="Z62" s="238"/>
      <c r="AA62" s="247"/>
      <c r="AB62" s="214"/>
      <c r="AC62" s="212"/>
      <c r="AD62" s="247"/>
      <c r="AE62" s="214"/>
      <c r="AF62" s="214"/>
      <c r="AG62" s="214"/>
      <c r="AH62" s="305"/>
      <c r="AI62" s="305"/>
      <c r="AJ62" s="185">
        <f t="shared" si="36"/>
        <v>0</v>
      </c>
    </row>
    <row r="63" spans="1:36" hidden="1" x14ac:dyDescent="0.25">
      <c r="A63" s="141" t="s">
        <v>0</v>
      </c>
      <c r="B63" s="166" t="e">
        <f t="shared" si="37"/>
        <v>#REF!</v>
      </c>
      <c r="C63" s="184"/>
      <c r="D63" s="214"/>
      <c r="E63" s="214"/>
      <c r="F63" s="214"/>
      <c r="G63" s="214"/>
      <c r="H63" s="214"/>
      <c r="I63" s="212"/>
      <c r="J63" s="212"/>
      <c r="K63" s="214"/>
      <c r="L63" s="238"/>
      <c r="M63" s="212"/>
      <c r="N63" s="247"/>
      <c r="O63" s="214"/>
      <c r="P63" s="214"/>
      <c r="Q63" s="214"/>
      <c r="R63" s="236"/>
      <c r="S63" s="212"/>
      <c r="T63" s="247"/>
      <c r="U63" s="214"/>
      <c r="V63" s="214"/>
      <c r="W63" s="236"/>
      <c r="X63" s="238"/>
      <c r="Y63" s="238"/>
      <c r="Z63" s="238"/>
      <c r="AA63" s="247"/>
      <c r="AB63" s="214"/>
      <c r="AC63" s="212"/>
      <c r="AD63" s="247"/>
      <c r="AE63" s="214"/>
      <c r="AF63" s="214"/>
      <c r="AG63" s="214"/>
      <c r="AH63" s="305"/>
      <c r="AI63" s="305"/>
      <c r="AJ63" s="185">
        <f t="shared" si="36"/>
        <v>0</v>
      </c>
    </row>
    <row r="64" spans="1:36" hidden="1" x14ac:dyDescent="0.25">
      <c r="A64" s="141" t="s">
        <v>1</v>
      </c>
      <c r="B64" s="166" t="e">
        <f t="shared" si="37"/>
        <v>#REF!</v>
      </c>
      <c r="C64" s="184"/>
      <c r="D64" s="214"/>
      <c r="E64" s="214"/>
      <c r="F64" s="214"/>
      <c r="G64" s="214"/>
      <c r="H64" s="214"/>
      <c r="I64" s="212"/>
      <c r="J64" s="212"/>
      <c r="K64" s="214"/>
      <c r="L64" s="238"/>
      <c r="M64" s="212"/>
      <c r="N64" s="247"/>
      <c r="O64" s="214"/>
      <c r="P64" s="214"/>
      <c r="Q64" s="214"/>
      <c r="R64" s="236"/>
      <c r="S64" s="212"/>
      <c r="T64" s="247"/>
      <c r="U64" s="214"/>
      <c r="V64" s="214"/>
      <c r="W64" s="236"/>
      <c r="X64" s="238"/>
      <c r="Y64" s="238"/>
      <c r="Z64" s="238"/>
      <c r="AA64" s="247"/>
      <c r="AB64" s="214"/>
      <c r="AC64" s="212"/>
      <c r="AD64" s="247"/>
      <c r="AE64" s="214"/>
      <c r="AF64" s="214"/>
      <c r="AG64" s="214"/>
      <c r="AH64" s="305"/>
      <c r="AI64" s="305"/>
      <c r="AJ64" s="185">
        <f t="shared" si="36"/>
        <v>0</v>
      </c>
    </row>
    <row r="65" spans="1:36" ht="15.75" hidden="1" thickBot="1" x14ac:dyDescent="0.3">
      <c r="A65" s="141" t="s">
        <v>2</v>
      </c>
      <c r="B65" s="166" t="e">
        <f t="shared" si="37"/>
        <v>#REF!</v>
      </c>
      <c r="C65" s="186"/>
      <c r="D65" s="218"/>
      <c r="E65" s="218"/>
      <c r="F65" s="218"/>
      <c r="G65" s="218"/>
      <c r="H65" s="218"/>
      <c r="I65" s="460"/>
      <c r="J65" s="460"/>
      <c r="K65" s="218"/>
      <c r="L65" s="239"/>
      <c r="M65" s="465"/>
      <c r="N65" s="257"/>
      <c r="O65" s="215"/>
      <c r="P65" s="215"/>
      <c r="Q65" s="215"/>
      <c r="R65" s="237"/>
      <c r="S65" s="465"/>
      <c r="T65" s="257"/>
      <c r="U65" s="215"/>
      <c r="V65" s="215"/>
      <c r="W65" s="215"/>
      <c r="X65" s="215"/>
      <c r="Y65" s="237"/>
      <c r="Z65" s="238"/>
      <c r="AA65" s="247"/>
      <c r="AB65" s="214"/>
      <c r="AC65" s="468"/>
      <c r="AD65" s="257"/>
      <c r="AE65" s="215"/>
      <c r="AF65" s="215"/>
      <c r="AG65" s="215"/>
      <c r="AH65" s="305"/>
      <c r="AI65" s="305"/>
      <c r="AJ65" s="185">
        <f t="shared" si="36"/>
        <v>0</v>
      </c>
    </row>
    <row r="66" spans="1:36" ht="15.75" hidden="1" thickBot="1" x14ac:dyDescent="0.3">
      <c r="A66" s="150" t="s">
        <v>21</v>
      </c>
      <c r="B66" s="619" t="s">
        <v>32</v>
      </c>
      <c r="C66" s="187">
        <f t="shared" ref="C66:H66" si="38">SUM(C59:C65)</f>
        <v>0</v>
      </c>
      <c r="D66" s="219">
        <f t="shared" si="38"/>
        <v>0</v>
      </c>
      <c r="E66" s="219">
        <f t="shared" si="38"/>
        <v>0</v>
      </c>
      <c r="F66" s="219">
        <f t="shared" si="38"/>
        <v>0</v>
      </c>
      <c r="G66" s="219">
        <f t="shared" si="38"/>
        <v>0</v>
      </c>
      <c r="H66" s="219">
        <f t="shared" si="38"/>
        <v>0</v>
      </c>
      <c r="I66" s="461"/>
      <c r="J66" s="461"/>
      <c r="K66" s="219">
        <f>SUM(K59:K65)</f>
        <v>0</v>
      </c>
      <c r="L66" s="243">
        <f>SUM(L59:L65)</f>
        <v>0</v>
      </c>
      <c r="M66" s="406"/>
      <c r="N66" s="254">
        <f>SUM(N59:N65)</f>
        <v>0</v>
      </c>
      <c r="O66" s="234">
        <f>SUM(O59:O65)</f>
        <v>0</v>
      </c>
      <c r="P66" s="234">
        <f>SUM(P59:P65)</f>
        <v>0</v>
      </c>
      <c r="Q66" s="234">
        <f>SUM(Q59:Q65)</f>
        <v>0</v>
      </c>
      <c r="R66" s="234">
        <f>SUM(R59:R65)</f>
        <v>0</v>
      </c>
      <c r="S66" s="466"/>
      <c r="T66" s="254">
        <f>SUM(T59:T65)</f>
        <v>0</v>
      </c>
      <c r="U66" s="234">
        <f>SUM(U59:U65)</f>
        <v>0</v>
      </c>
      <c r="V66" s="234">
        <f>SUM(V59:V65)</f>
        <v>0</v>
      </c>
      <c r="W66" s="234"/>
      <c r="X66" s="234">
        <f>SUM(X59:X65)</f>
        <v>0</v>
      </c>
      <c r="Y66" s="234"/>
      <c r="Z66" s="234">
        <f>SUM(Z59:Z65)</f>
        <v>0</v>
      </c>
      <c r="AA66" s="254">
        <f>SUM(AA59:AA65)</f>
        <v>0</v>
      </c>
      <c r="AB66" s="234">
        <f>SUM(AB59:AB65)</f>
        <v>0</v>
      </c>
      <c r="AC66" s="466"/>
      <c r="AD66" s="254">
        <f>SUM(AD59:AD65)</f>
        <v>0</v>
      </c>
      <c r="AE66" s="234">
        <f>SUM(AE59:AE65)</f>
        <v>0</v>
      </c>
      <c r="AF66" s="234">
        <f>SUM(AF59:AF65)</f>
        <v>0</v>
      </c>
      <c r="AG66" s="234">
        <f>SUM(AG59:AG65)</f>
        <v>0</v>
      </c>
      <c r="AH66" s="406"/>
      <c r="AI66" s="406"/>
      <c r="AJ66" s="230">
        <f>SUM(AJ59:AJ65)</f>
        <v>0</v>
      </c>
    </row>
    <row r="67" spans="1:36" ht="15.75" hidden="1" thickBot="1" x14ac:dyDescent="0.3">
      <c r="A67" s="101" t="s">
        <v>23</v>
      </c>
      <c r="B67" s="620"/>
      <c r="C67" s="188" t="e">
        <f t="shared" ref="C67:H67" si="39">AVERAGE(C59:C65)</f>
        <v>#DIV/0!</v>
      </c>
      <c r="D67" s="221" t="e">
        <f t="shared" si="39"/>
        <v>#DIV/0!</v>
      </c>
      <c r="E67" s="220" t="e">
        <f t="shared" si="39"/>
        <v>#DIV/0!</v>
      </c>
      <c r="F67" s="220" t="e">
        <f t="shared" si="39"/>
        <v>#DIV/0!</v>
      </c>
      <c r="G67" s="220" t="e">
        <f t="shared" si="39"/>
        <v>#DIV/0!</v>
      </c>
      <c r="H67" s="220" t="e">
        <f t="shared" si="39"/>
        <v>#DIV/0!</v>
      </c>
      <c r="I67" s="462"/>
      <c r="J67" s="462"/>
      <c r="K67" s="220" t="e">
        <f>AVERAGE(K59:K65)</f>
        <v>#DIV/0!</v>
      </c>
      <c r="L67" s="244" t="e">
        <f>AVERAGE(L59:L65)</f>
        <v>#DIV/0!</v>
      </c>
      <c r="M67" s="407"/>
      <c r="N67" s="254" t="e">
        <f>AVERAGE(N59:N65)</f>
        <v>#DIV/0!</v>
      </c>
      <c r="O67" s="234" t="e">
        <f>AVERAGE(O59:O65)</f>
        <v>#DIV/0!</v>
      </c>
      <c r="P67" s="234" t="e">
        <f>AVERAGE(P59:P65)</f>
        <v>#DIV/0!</v>
      </c>
      <c r="Q67" s="234" t="e">
        <f>AVERAGE(Q59:Q65)</f>
        <v>#DIV/0!</v>
      </c>
      <c r="R67" s="234" t="e">
        <f>AVERAGE(R59:R65)</f>
        <v>#DIV/0!</v>
      </c>
      <c r="S67" s="466"/>
      <c r="T67" s="254" t="e">
        <f>AVERAGE(T59:T65)</f>
        <v>#DIV/0!</v>
      </c>
      <c r="U67" s="234" t="e">
        <f>AVERAGE(U59:U65)</f>
        <v>#DIV/0!</v>
      </c>
      <c r="V67" s="234" t="e">
        <f>AVERAGE(V59:V65)</f>
        <v>#DIV/0!</v>
      </c>
      <c r="W67" s="234"/>
      <c r="X67" s="234" t="e">
        <f>AVERAGE(X59:X65)</f>
        <v>#DIV/0!</v>
      </c>
      <c r="Y67" s="234"/>
      <c r="Z67" s="234" t="e">
        <f>AVERAGE(Z59:Z65)</f>
        <v>#DIV/0!</v>
      </c>
      <c r="AA67" s="254" t="e">
        <f>AVERAGE(AA59:AA65)</f>
        <v>#DIV/0!</v>
      </c>
      <c r="AB67" s="234" t="e">
        <f>AVERAGE(AB59:AB65)</f>
        <v>#DIV/0!</v>
      </c>
      <c r="AC67" s="466"/>
      <c r="AD67" s="254" t="e">
        <f>AVERAGE(AD59:AD65)</f>
        <v>#DIV/0!</v>
      </c>
      <c r="AE67" s="234" t="e">
        <f>AVERAGE(AE59:AE65)</f>
        <v>#DIV/0!</v>
      </c>
      <c r="AF67" s="234" t="e">
        <f>AVERAGE(AF59:AF65)</f>
        <v>#DIV/0!</v>
      </c>
      <c r="AG67" s="234" t="e">
        <f>AVERAGE(AG59:AG65)</f>
        <v>#DIV/0!</v>
      </c>
      <c r="AH67" s="407"/>
      <c r="AI67" s="407"/>
      <c r="AJ67" s="231">
        <f>AVERAGE(AJ59:AJ65)</f>
        <v>0</v>
      </c>
    </row>
    <row r="68" spans="1:36" ht="15.75" hidden="1" thickBot="1" x14ac:dyDescent="0.3">
      <c r="A68" s="23" t="s">
        <v>20</v>
      </c>
      <c r="B68" s="620"/>
      <c r="C68" s="189">
        <f t="shared" ref="C68:H68" si="40">SUM(C59:C63)</f>
        <v>0</v>
      </c>
      <c r="D68" s="222">
        <f t="shared" si="40"/>
        <v>0</v>
      </c>
      <c r="E68" s="222">
        <f t="shared" si="40"/>
        <v>0</v>
      </c>
      <c r="F68" s="222">
        <f t="shared" si="40"/>
        <v>0</v>
      </c>
      <c r="G68" s="222">
        <f t="shared" si="40"/>
        <v>0</v>
      </c>
      <c r="H68" s="222">
        <f t="shared" si="40"/>
        <v>0</v>
      </c>
      <c r="I68" s="463"/>
      <c r="J68" s="463"/>
      <c r="K68" s="222">
        <f>SUM(K59:K63)</f>
        <v>0</v>
      </c>
      <c r="L68" s="245">
        <f>SUM(L59:L63)</f>
        <v>0</v>
      </c>
      <c r="M68" s="408"/>
      <c r="N68" s="255">
        <f>SUM(N59:N63)</f>
        <v>0</v>
      </c>
      <c r="O68" s="235">
        <f>SUM(O59:O63)</f>
        <v>0</v>
      </c>
      <c r="P68" s="235">
        <f>SUM(P59:P63)</f>
        <v>0</v>
      </c>
      <c r="Q68" s="235">
        <f>SUM(Q59:Q63)</f>
        <v>0</v>
      </c>
      <c r="R68" s="235">
        <f>SUM(R59:R63)</f>
        <v>0</v>
      </c>
      <c r="S68" s="467"/>
      <c r="T68" s="255">
        <f>SUM(T59:T63)</f>
        <v>0</v>
      </c>
      <c r="U68" s="235">
        <f>SUM(U59:U63)</f>
        <v>0</v>
      </c>
      <c r="V68" s="235">
        <f>SUM(V59:V63)</f>
        <v>0</v>
      </c>
      <c r="W68" s="235"/>
      <c r="X68" s="235">
        <f>SUM(X59:X63)</f>
        <v>0</v>
      </c>
      <c r="Y68" s="235"/>
      <c r="Z68" s="235">
        <f>SUM(Z59:Z63)</f>
        <v>0</v>
      </c>
      <c r="AA68" s="255">
        <f>SUM(AA59:AA63)</f>
        <v>0</v>
      </c>
      <c r="AB68" s="235">
        <f>SUM(AB59:AB63)</f>
        <v>0</v>
      </c>
      <c r="AC68" s="467"/>
      <c r="AD68" s="255">
        <f>SUM(AD59:AD63)</f>
        <v>0</v>
      </c>
      <c r="AE68" s="235">
        <f>SUM(AE59:AE63)</f>
        <v>0</v>
      </c>
      <c r="AF68" s="235">
        <f>SUM(AF59:AF63)</f>
        <v>0</v>
      </c>
      <c r="AG68" s="235">
        <f>SUM(AG59:AG63)</f>
        <v>0</v>
      </c>
      <c r="AH68" s="408"/>
      <c r="AI68" s="408"/>
      <c r="AJ68" s="232">
        <f>SUM(AJ59:AJ63)</f>
        <v>0</v>
      </c>
    </row>
    <row r="69" spans="1:36" ht="15.75" hidden="1" thickBot="1" x14ac:dyDescent="0.3">
      <c r="A69" s="23" t="s">
        <v>22</v>
      </c>
      <c r="B69" s="621"/>
      <c r="C69" s="190" t="e">
        <f t="shared" ref="C69:H69" si="41">AVERAGE(C59:C63)</f>
        <v>#DIV/0!</v>
      </c>
      <c r="D69" s="223" t="e">
        <f t="shared" si="41"/>
        <v>#DIV/0!</v>
      </c>
      <c r="E69" s="223" t="e">
        <f t="shared" si="41"/>
        <v>#DIV/0!</v>
      </c>
      <c r="F69" s="223" t="e">
        <f t="shared" si="41"/>
        <v>#DIV/0!</v>
      </c>
      <c r="G69" s="223" t="e">
        <f t="shared" si="41"/>
        <v>#DIV/0!</v>
      </c>
      <c r="H69" s="223" t="e">
        <f t="shared" si="41"/>
        <v>#DIV/0!</v>
      </c>
      <c r="I69" s="464"/>
      <c r="J69" s="464"/>
      <c r="K69" s="223" t="e">
        <f>AVERAGE(K59:K63)</f>
        <v>#DIV/0!</v>
      </c>
      <c r="L69" s="246" t="e">
        <f>AVERAGE(L59:L63)</f>
        <v>#DIV/0!</v>
      </c>
      <c r="M69" s="409"/>
      <c r="N69" s="255" t="e">
        <f>AVERAGE(N59:N63)</f>
        <v>#DIV/0!</v>
      </c>
      <c r="O69" s="235" t="e">
        <f>AVERAGE(O59:O63)</f>
        <v>#DIV/0!</v>
      </c>
      <c r="P69" s="235" t="e">
        <f>AVERAGE(P59:P63)</f>
        <v>#DIV/0!</v>
      </c>
      <c r="Q69" s="235" t="e">
        <f>AVERAGE(Q59:Q63)</f>
        <v>#DIV/0!</v>
      </c>
      <c r="R69" s="235" t="e">
        <f>AVERAGE(R59:R63)</f>
        <v>#DIV/0!</v>
      </c>
      <c r="S69" s="467"/>
      <c r="T69" s="255" t="e">
        <f>AVERAGE(T59:T63)</f>
        <v>#DIV/0!</v>
      </c>
      <c r="U69" s="235" t="e">
        <f>AVERAGE(U59:U63)</f>
        <v>#DIV/0!</v>
      </c>
      <c r="V69" s="235" t="e">
        <f>AVERAGE(V59:V63)</f>
        <v>#DIV/0!</v>
      </c>
      <c r="W69" s="235"/>
      <c r="X69" s="235" t="e">
        <f>AVERAGE(X59:X63)</f>
        <v>#DIV/0!</v>
      </c>
      <c r="Y69" s="235"/>
      <c r="Z69" s="235" t="e">
        <f>AVERAGE(Z59:Z63)</f>
        <v>#DIV/0!</v>
      </c>
      <c r="AA69" s="255" t="e">
        <f>AVERAGE(AA59:AA63)</f>
        <v>#DIV/0!</v>
      </c>
      <c r="AB69" s="235" t="e">
        <f>AVERAGE(AB59:AB63)</f>
        <v>#DIV/0!</v>
      </c>
      <c r="AC69" s="467"/>
      <c r="AD69" s="255" t="e">
        <f>AVERAGE(AD59:AD63)</f>
        <v>#DIV/0!</v>
      </c>
      <c r="AE69" s="235" t="e">
        <f>AVERAGE(AE59:AE63)</f>
        <v>#DIV/0!</v>
      </c>
      <c r="AF69" s="235" t="e">
        <f>AVERAGE(AF59:AF63)</f>
        <v>#DIV/0!</v>
      </c>
      <c r="AG69" s="235" t="e">
        <f>AVERAGE(AG59:AG63)</f>
        <v>#DIV/0!</v>
      </c>
      <c r="AH69" s="409"/>
      <c r="AI69" s="409"/>
      <c r="AJ69" s="233">
        <f>AVERAGE(AJ59:AJ63)</f>
        <v>0</v>
      </c>
    </row>
    <row r="70" spans="1:36" x14ac:dyDescent="0.25">
      <c r="A70" s="4"/>
      <c r="B70" s="123"/>
      <c r="C70" s="123"/>
      <c r="D70" s="5"/>
      <c r="E70" s="5"/>
      <c r="F70" s="5"/>
      <c r="G70" s="5"/>
      <c r="H70" s="5"/>
      <c r="I70" s="5"/>
      <c r="J70" s="5"/>
      <c r="K70" s="5"/>
      <c r="L70" s="5"/>
      <c r="M70" s="5"/>
      <c r="N70" s="227"/>
      <c r="O70" s="5"/>
      <c r="P70" s="5"/>
      <c r="Q70" s="5"/>
      <c r="R70" s="5"/>
      <c r="S70" s="5"/>
      <c r="T70" s="227"/>
      <c r="U70" s="5"/>
      <c r="V70" s="5"/>
      <c r="W70" s="5"/>
      <c r="X70" s="5"/>
      <c r="Y70" s="5"/>
      <c r="AC70" s="5"/>
    </row>
    <row r="71" spans="1:36" ht="44.25" customHeight="1" x14ac:dyDescent="0.25">
      <c r="A71" s="4"/>
      <c r="B71" s="179"/>
      <c r="C71" s="36" t="s">
        <v>10</v>
      </c>
      <c r="D71" s="36" t="s">
        <v>14</v>
      </c>
      <c r="E71" s="36" t="s">
        <v>62</v>
      </c>
      <c r="F71" s="36" t="s">
        <v>64</v>
      </c>
      <c r="G71" s="36" t="s">
        <v>12</v>
      </c>
      <c r="H71" s="36" t="s">
        <v>99</v>
      </c>
      <c r="I71" s="36" t="s">
        <v>63</v>
      </c>
      <c r="J71" s="36" t="s">
        <v>11</v>
      </c>
      <c r="K71" s="36" t="s">
        <v>108</v>
      </c>
      <c r="L71" s="36" t="s">
        <v>70</v>
      </c>
      <c r="M71" s="225" t="s">
        <v>116</v>
      </c>
      <c r="N71" s="225" t="s">
        <v>76</v>
      </c>
      <c r="O71" s="225" t="s">
        <v>75</v>
      </c>
      <c r="P71" s="36" t="s">
        <v>106</v>
      </c>
      <c r="Q71" s="36" t="s">
        <v>78</v>
      </c>
      <c r="R71" s="36" t="s">
        <v>77</v>
      </c>
      <c r="S71" s="36" t="s">
        <v>85</v>
      </c>
      <c r="T71" s="36" t="s">
        <v>86</v>
      </c>
      <c r="U71" s="36" t="s">
        <v>84</v>
      </c>
      <c r="V71" s="36" t="s">
        <v>83</v>
      </c>
      <c r="W71" s="36" t="s">
        <v>31</v>
      </c>
      <c r="X71" s="147"/>
      <c r="Y71" s="147"/>
      <c r="AC71" s="147"/>
      <c r="AD71" s="147"/>
      <c r="AE71" s="1"/>
    </row>
    <row r="72" spans="1:36" ht="25.5" x14ac:dyDescent="0.25">
      <c r="B72" s="39" t="s">
        <v>117</v>
      </c>
      <c r="C72" s="180">
        <f>SUM(,C12,J12,M12,S12,Y12,AC12,AH12,C23,J23,M23,S23,Y23,AC23,AH23,C34,J34,M34,S34,Y34,AC34,AH34,C45,J45,M45,S45,Y45,AC45,AH45,,C55,J55,M55,S55,Y55,AC55,AH55,)</f>
        <v>67205</v>
      </c>
      <c r="D72" s="180">
        <f>SUM(I12,,U12,,Z12,,AF12,I23,U23,Z23,AF23,,I34,U34,Z34,AF34,I45,U45,Z45,AF45,I55,U55,Z55,AF55)</f>
        <v>51354</v>
      </c>
      <c r="E72" s="180">
        <f>SUM(,D12,D23,D34,D45,N12,N23,N34,N45,,D55,N55)</f>
        <v>25123</v>
      </c>
      <c r="F72" s="180">
        <f>SUM(,V12,V23,V34,V45,AG12,AG23,AG34,AG45,V55,AG55)</f>
        <v>16994</v>
      </c>
      <c r="G72" s="180">
        <f>SUM(,G12,G23,G34,G45,G55)</f>
        <v>15289</v>
      </c>
      <c r="H72" s="180">
        <f>SUM(,H12,H23,H34,H45,H55)</f>
        <v>7721</v>
      </c>
      <c r="I72" s="180">
        <f>SUM(,E12,E23,E34,E45,E55)</f>
        <v>11702</v>
      </c>
      <c r="J72" s="180">
        <f>SUM(,F12,F23,F34,F45,F55)</f>
        <v>26939</v>
      </c>
      <c r="K72" s="180">
        <f>SUM(,K12,K23,K34,K45,Q12,Q23,Q34,Q45,K55,Q55)</f>
        <v>5094</v>
      </c>
      <c r="L72" s="180">
        <f>SUM(,L12,L23,L34,L45,L55)</f>
        <v>12787</v>
      </c>
      <c r="M72" s="226">
        <f>SUM(,O12,O23,O34,O45,O55)</f>
        <v>2716</v>
      </c>
      <c r="N72" s="226">
        <f>SUM(,P12,P23,P34,P45,P55)</f>
        <v>3263</v>
      </c>
      <c r="O72" s="180">
        <f>SUM(,R12,R23,R34,R45,R55)</f>
        <v>3105</v>
      </c>
      <c r="P72" s="180">
        <f>SUM(,T12,T23,T34,T45,T55)</f>
        <v>5603</v>
      </c>
      <c r="Q72" s="180">
        <f>SUM(,W12,W23,W34,W45,W55)</f>
        <v>7613</v>
      </c>
      <c r="R72" s="180">
        <f>SUM(,X12,X23,X34,X45,X55)</f>
        <v>9791</v>
      </c>
      <c r="S72" s="180">
        <f>SUM(,AA12,AA23,AA34,AA45,AA55)</f>
        <v>6932</v>
      </c>
      <c r="T72" s="180">
        <f>SUM(,AB12,AB23,AB34,AB45,AB55)</f>
        <v>12858</v>
      </c>
      <c r="U72" s="180">
        <f>SUM(,AD12,AD23,AD34,AD45,AD55)</f>
        <v>1172</v>
      </c>
      <c r="V72" s="180">
        <f>SUM(,AE12,AE23,AE34,AE45,AE55)</f>
        <v>4627</v>
      </c>
      <c r="W72" s="180">
        <f>SUM(,AI12,AI23,AI34,AI45,AI55)</f>
        <v>0</v>
      </c>
      <c r="X72" s="191"/>
      <c r="Y72" s="191"/>
      <c r="AC72" s="191"/>
      <c r="AD72" s="191"/>
      <c r="AE72" s="1"/>
    </row>
    <row r="73" spans="1:36" ht="25.5" x14ac:dyDescent="0.25">
      <c r="B73" s="39" t="s">
        <v>30</v>
      </c>
      <c r="C73" s="180">
        <f>SUM(C14,J14,M14,S14,,Y14,AC14,AH14,C25,J25,M25,S25,Y25,AC25,AH25,C36,J36,M36,S36,Y36,AC36,AH36,C47,J47,M47,S47,Y47,AC47,AH47)</f>
        <v>40920</v>
      </c>
      <c r="D73" s="180">
        <f>SUM(I14,U14,Z14,AF14,I25,U25,,Z25,AF25,I36,U36,Z36,AF36,,I47,U47,Z47,AF47)</f>
        <v>30893</v>
      </c>
      <c r="E73" s="180">
        <f>SUM(D14,D25,D36,D47,N14,N25,N36,N47,)</f>
        <v>12444</v>
      </c>
      <c r="F73" s="180">
        <f>SUM(V14,V25,V36,V47,AG14,AG25,AG36,AG47)</f>
        <v>10163</v>
      </c>
      <c r="G73" s="180">
        <f>SUM(G14,G25,G36,G47)</f>
        <v>9479</v>
      </c>
      <c r="H73" s="180">
        <f>SUM(H14,H25,H36,H47,)</f>
        <v>3943</v>
      </c>
      <c r="I73" s="180">
        <f>SUM(E14,E25,E36,E47)</f>
        <v>7313</v>
      </c>
      <c r="J73" s="180">
        <f>SUM(F14,F25,F36,F47,)</f>
        <v>15322</v>
      </c>
      <c r="K73" s="180">
        <f>SUM(K14,K25,K36,K47,Q14,Q25,Q36,Q47)</f>
        <v>3098</v>
      </c>
      <c r="L73" s="180">
        <f>SUM(L14,L25,L36,L47)</f>
        <v>7429</v>
      </c>
      <c r="M73" s="180">
        <f>SUM(O14,O25,O36,O47)</f>
        <v>1662</v>
      </c>
      <c r="N73" s="180">
        <f>SUM(P14,P25,P36,P47)</f>
        <v>1966</v>
      </c>
      <c r="O73" s="180">
        <f>SUM(R14,R25,R36,R47)</f>
        <v>1610</v>
      </c>
      <c r="P73" s="180">
        <f>SUM(T14,T25,T36,T47)</f>
        <v>3698</v>
      </c>
      <c r="Q73" s="180">
        <f>SUM(W14,W25,W36,W47)</f>
        <v>4346</v>
      </c>
      <c r="R73" s="180">
        <f>SUM(X14,X25,X36,X47)</f>
        <v>5762</v>
      </c>
      <c r="S73" s="180">
        <f>SUM(AA14,AA25,AA36,AA47)</f>
        <v>4187</v>
      </c>
      <c r="T73" s="180">
        <f>SUM(AB14,AB25,AB36,AB47,)</f>
        <v>8253</v>
      </c>
      <c r="U73" s="180">
        <f>SUM(AD14,AD25,AD36,AD47)</f>
        <v>669</v>
      </c>
      <c r="V73" s="180">
        <f>SUM(AE14,AE25,AE36,AE47,)</f>
        <v>2884</v>
      </c>
      <c r="W73" s="180">
        <f>SUM(AI14,AI25,AI36,AI47)</f>
        <v>0</v>
      </c>
      <c r="X73" s="224"/>
      <c r="Y73" s="224"/>
      <c r="AC73" s="224"/>
      <c r="AD73" s="224"/>
      <c r="AE73" s="1"/>
    </row>
    <row r="74" spans="1:36" x14ac:dyDescent="0.25">
      <c r="B74" s="1"/>
      <c r="C74" s="1"/>
      <c r="E74" s="124"/>
    </row>
    <row r="75" spans="1:36" x14ac:dyDescent="0.25">
      <c r="B75" s="1"/>
      <c r="C75" s="1"/>
      <c r="E75" s="124"/>
      <c r="T75" s="259"/>
    </row>
    <row r="76" spans="1:36" x14ac:dyDescent="0.25">
      <c r="B76" s="1"/>
      <c r="C76" s="622" t="s">
        <v>72</v>
      </c>
      <c r="D76" s="623"/>
      <c r="E76" s="624"/>
      <c r="AD76" s="1"/>
      <c r="AE76" s="1"/>
    </row>
    <row r="77" spans="1:36" x14ac:dyDescent="0.25">
      <c r="C77" s="625" t="s">
        <v>19</v>
      </c>
      <c r="D77" s="626"/>
      <c r="E77" s="99">
        <f>SUM(,AJ12,AJ23,AJ34,AJ45,AJ55)</f>
        <v>297888</v>
      </c>
      <c r="Q77" s="260"/>
      <c r="R77" s="260"/>
      <c r="S77" s="260"/>
      <c r="T77" s="260"/>
      <c r="U77" s="260"/>
    </row>
    <row r="78" spans="1:36" x14ac:dyDescent="0.25">
      <c r="C78" s="625" t="s">
        <v>30</v>
      </c>
      <c r="D78" s="626"/>
      <c r="E78" s="98">
        <f>SUM(,AJ14, AJ25, AJ36, AJ47, AJ57)</f>
        <v>237347</v>
      </c>
      <c r="N78" s="259"/>
    </row>
    <row r="79" spans="1:36" x14ac:dyDescent="0.25">
      <c r="C79" s="625" t="s">
        <v>118</v>
      </c>
      <c r="D79" s="626"/>
      <c r="E79" s="99">
        <f>AVERAGE(,AJ56, AJ46, AJ35, AJ24, AJ13)</f>
        <v>7357.9563492063489</v>
      </c>
    </row>
    <row r="80" spans="1:36" x14ac:dyDescent="0.25">
      <c r="A80"/>
      <c r="B80"/>
      <c r="C80" s="625" t="s">
        <v>22</v>
      </c>
      <c r="D80" s="626"/>
      <c r="E80" s="98">
        <f>AVERAGE(AJ15, AJ26, AJ37, AJ48, AI57)</f>
        <v>7041.6399999999994</v>
      </c>
      <c r="F80"/>
      <c r="G80"/>
      <c r="H80"/>
      <c r="I80"/>
      <c r="J80"/>
      <c r="K80"/>
      <c r="L80" s="260"/>
      <c r="M80" s="260"/>
      <c r="N80" s="260"/>
      <c r="O80"/>
      <c r="P80"/>
      <c r="V80" s="260"/>
      <c r="W80" s="260"/>
      <c r="X80" s="260"/>
      <c r="Y80" s="260"/>
      <c r="AC80" s="260"/>
    </row>
  </sheetData>
  <mergeCells count="54"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C76:E76"/>
    <mergeCell ref="C77:D77"/>
    <mergeCell ref="C78:D78"/>
    <mergeCell ref="C79:D79"/>
    <mergeCell ref="C80:D80"/>
    <mergeCell ref="B23:B26"/>
    <mergeCell ref="B34:B37"/>
    <mergeCell ref="B45:B48"/>
    <mergeCell ref="B55:B58"/>
    <mergeCell ref="B66:B69"/>
    <mergeCell ref="N3:N4"/>
    <mergeCell ref="M3:M4"/>
    <mergeCell ref="M1:R2"/>
    <mergeCell ref="B12:B15"/>
    <mergeCell ref="J3:J4"/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6"/>
  <sheetViews>
    <sheetView zoomScaleNormal="100"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H77" sqref="H77"/>
    </sheetView>
  </sheetViews>
  <sheetFormatPr defaultRowHeight="15" outlineLevelRow="1" x14ac:dyDescent="0.25"/>
  <cols>
    <col min="1" max="1" width="18.7109375" style="1" bestFit="1" customWidth="1"/>
    <col min="2" max="2" width="10.7109375" style="124" bestFit="1" customWidth="1"/>
    <col min="3" max="10" width="15.7109375" style="8" customWidth="1"/>
    <col min="11" max="11" width="10.7109375" style="8" customWidth="1"/>
    <col min="12" max="12" width="16.28515625" style="8" bestFit="1" customWidth="1"/>
    <col min="13" max="16384" width="9.140625" style="8"/>
  </cols>
  <sheetData>
    <row r="1" spans="1:21" ht="15" customHeight="1" x14ac:dyDescent="0.25">
      <c r="A1" s="20"/>
      <c r="B1" s="160"/>
      <c r="C1" s="654" t="s">
        <v>8</v>
      </c>
      <c r="D1" s="655"/>
      <c r="E1" s="655"/>
      <c r="F1" s="655"/>
      <c r="G1" s="656"/>
      <c r="H1" s="660" t="s">
        <v>80</v>
      </c>
      <c r="I1" s="654" t="s">
        <v>10</v>
      </c>
      <c r="J1" s="655"/>
      <c r="K1" s="652" t="s">
        <v>19</v>
      </c>
    </row>
    <row r="2" spans="1:21" ht="15" customHeight="1" thickBot="1" x14ac:dyDescent="0.3">
      <c r="A2" s="21"/>
      <c r="B2" s="161"/>
      <c r="C2" s="657"/>
      <c r="D2" s="658"/>
      <c r="E2" s="658"/>
      <c r="F2" s="658"/>
      <c r="G2" s="659"/>
      <c r="H2" s="661"/>
      <c r="I2" s="657"/>
      <c r="J2" s="658"/>
      <c r="K2" s="653"/>
    </row>
    <row r="3" spans="1:21" ht="14.25" customHeight="1" x14ac:dyDescent="0.25">
      <c r="A3" s="611" t="s">
        <v>52</v>
      </c>
      <c r="B3" s="664" t="s">
        <v>53</v>
      </c>
      <c r="C3" s="611" t="s">
        <v>34</v>
      </c>
      <c r="D3" s="669" t="s">
        <v>35</v>
      </c>
      <c r="E3" s="612" t="s">
        <v>36</v>
      </c>
      <c r="F3" s="669" t="s">
        <v>37</v>
      </c>
      <c r="G3" s="636" t="s">
        <v>90</v>
      </c>
      <c r="H3" s="627" t="s">
        <v>38</v>
      </c>
      <c r="I3" s="611" t="s">
        <v>39</v>
      </c>
      <c r="J3" s="650" t="s">
        <v>40</v>
      </c>
      <c r="K3" s="653"/>
    </row>
    <row r="4" spans="1:21" ht="15" customHeight="1" thickBot="1" x14ac:dyDescent="0.3">
      <c r="A4" s="663"/>
      <c r="B4" s="665"/>
      <c r="C4" s="663"/>
      <c r="D4" s="670"/>
      <c r="E4" s="671"/>
      <c r="F4" s="670"/>
      <c r="G4" s="662"/>
      <c r="H4" s="629"/>
      <c r="I4" s="663"/>
      <c r="J4" s="651"/>
      <c r="K4" s="653"/>
    </row>
    <row r="5" spans="1:21" s="43" customFormat="1" ht="15.75" hidden="1" thickBot="1" x14ac:dyDescent="0.3">
      <c r="A5" s="22" t="s">
        <v>3</v>
      </c>
      <c r="B5" s="303">
        <v>43857</v>
      </c>
      <c r="C5" s="48"/>
      <c r="D5" s="50"/>
      <c r="E5" s="50"/>
      <c r="F5" s="50"/>
      <c r="G5" s="49"/>
      <c r="H5" s="14"/>
      <c r="I5" s="48"/>
      <c r="J5" s="49"/>
      <c r="K5" s="14">
        <f>SUM(C5:J5)</f>
        <v>0</v>
      </c>
      <c r="M5" s="346"/>
      <c r="N5" s="346"/>
      <c r="O5" s="346"/>
      <c r="P5" s="346"/>
      <c r="Q5" s="346"/>
      <c r="R5" s="346"/>
      <c r="S5" s="346"/>
    </row>
    <row r="6" spans="1:21" s="43" customFormat="1" ht="15.75" hidden="1" thickBot="1" x14ac:dyDescent="0.3">
      <c r="A6" s="22" t="s">
        <v>4</v>
      </c>
      <c r="B6" s="163">
        <v>43858</v>
      </c>
      <c r="C6" s="15"/>
      <c r="D6" s="276"/>
      <c r="E6" s="17"/>
      <c r="F6" s="17"/>
      <c r="G6" s="16"/>
      <c r="H6" s="326"/>
      <c r="I6" s="15"/>
      <c r="J6" s="16"/>
      <c r="K6" s="63">
        <f t="shared" ref="K6:K10" si="0">SUM(C6:J6)</f>
        <v>0</v>
      </c>
      <c r="M6" s="346"/>
      <c r="N6" s="346"/>
      <c r="O6" s="346"/>
      <c r="P6" s="346"/>
      <c r="Q6" s="346"/>
      <c r="R6" s="346"/>
      <c r="S6" s="346"/>
      <c r="T6" s="346"/>
      <c r="U6" s="346"/>
    </row>
    <row r="7" spans="1:21" s="43" customFormat="1" hidden="1" x14ac:dyDescent="0.25">
      <c r="A7" s="22" t="s">
        <v>5</v>
      </c>
      <c r="B7" s="163">
        <v>43859</v>
      </c>
      <c r="C7" s="15"/>
      <c r="D7" s="17"/>
      <c r="E7" s="17"/>
      <c r="F7" s="17"/>
      <c r="G7" s="16"/>
      <c r="H7" s="326"/>
      <c r="I7" s="15"/>
      <c r="J7" s="61"/>
      <c r="K7" s="14">
        <f t="shared" si="0"/>
        <v>0</v>
      </c>
      <c r="M7" s="346"/>
      <c r="N7" s="346"/>
      <c r="O7" s="346"/>
      <c r="P7" s="346"/>
      <c r="Q7" s="346"/>
      <c r="R7" s="346"/>
      <c r="S7" s="346"/>
      <c r="T7" s="346"/>
      <c r="U7" s="346"/>
    </row>
    <row r="8" spans="1:21" s="43" customFormat="1" hidden="1" x14ac:dyDescent="0.25">
      <c r="A8" s="22" t="s">
        <v>6</v>
      </c>
      <c r="B8" s="163">
        <v>43860</v>
      </c>
      <c r="C8" s="15"/>
      <c r="D8" s="17"/>
      <c r="E8" s="17"/>
      <c r="F8" s="17"/>
      <c r="G8" s="16"/>
      <c r="H8" s="326"/>
      <c r="I8" s="15"/>
      <c r="J8" s="61"/>
      <c r="K8" s="326">
        <f t="shared" si="0"/>
        <v>0</v>
      </c>
      <c r="M8" s="346"/>
      <c r="N8" s="346"/>
      <c r="O8" s="346"/>
      <c r="P8" s="346"/>
      <c r="Q8" s="346"/>
      <c r="R8" s="346"/>
      <c r="S8" s="346"/>
      <c r="T8" s="346"/>
      <c r="U8" s="346"/>
    </row>
    <row r="9" spans="1:21" s="43" customFormat="1" hidden="1" x14ac:dyDescent="0.25">
      <c r="A9" s="22" t="s">
        <v>0</v>
      </c>
      <c r="B9" s="163">
        <v>43861</v>
      </c>
      <c r="C9" s="15"/>
      <c r="D9" s="17"/>
      <c r="E9" s="17"/>
      <c r="F9" s="17"/>
      <c r="G9" s="16"/>
      <c r="H9" s="326"/>
      <c r="I9" s="15"/>
      <c r="J9" s="61"/>
      <c r="K9" s="326">
        <f t="shared" si="0"/>
        <v>0</v>
      </c>
      <c r="M9" s="346"/>
      <c r="N9" s="346"/>
      <c r="O9" s="346"/>
      <c r="P9" s="346"/>
      <c r="Q9" s="346"/>
      <c r="R9" s="346"/>
      <c r="S9" s="346"/>
      <c r="T9" s="346"/>
      <c r="U9" s="346"/>
    </row>
    <row r="10" spans="1:21" s="43" customFormat="1" outlineLevel="1" x14ac:dyDescent="0.25">
      <c r="A10" s="22" t="s">
        <v>1</v>
      </c>
      <c r="B10" s="163">
        <v>43862</v>
      </c>
      <c r="C10" s="15">
        <v>3116</v>
      </c>
      <c r="D10" s="17"/>
      <c r="E10" s="17"/>
      <c r="F10" s="17"/>
      <c r="G10" s="16">
        <v>1417</v>
      </c>
      <c r="H10" s="326">
        <v>250</v>
      </c>
      <c r="I10" s="15"/>
      <c r="J10" s="61"/>
      <c r="K10" s="326">
        <f t="shared" si="0"/>
        <v>4783</v>
      </c>
      <c r="M10" s="346"/>
      <c r="N10" s="346"/>
      <c r="O10" s="346"/>
      <c r="P10" s="346"/>
      <c r="Q10" s="346"/>
      <c r="R10" s="346"/>
      <c r="S10" s="346"/>
      <c r="T10" s="346"/>
      <c r="U10" s="346"/>
    </row>
    <row r="11" spans="1:21" s="43" customFormat="1" ht="15.75" outlineLevel="1" thickBot="1" x14ac:dyDescent="0.3">
      <c r="A11" s="22" t="s">
        <v>2</v>
      </c>
      <c r="B11" s="163">
        <v>43863</v>
      </c>
      <c r="C11" s="15">
        <v>2520</v>
      </c>
      <c r="D11" s="276"/>
      <c r="E11" s="17"/>
      <c r="F11" s="17"/>
      <c r="G11" s="16">
        <v>1217</v>
      </c>
      <c r="H11" s="326">
        <v>182</v>
      </c>
      <c r="I11" s="15"/>
      <c r="J11" s="61"/>
      <c r="K11" s="329">
        <f>SUM(C11:J11)</f>
        <v>3919</v>
      </c>
      <c r="M11" s="346"/>
      <c r="N11" s="346"/>
      <c r="O11" s="346"/>
      <c r="P11" s="346"/>
      <c r="Q11" s="346"/>
      <c r="R11" s="346"/>
      <c r="S11" s="346"/>
      <c r="T11" s="346"/>
    </row>
    <row r="12" spans="1:21" s="44" customFormat="1" ht="13.5" customHeight="1" outlineLevel="1" thickBot="1" x14ac:dyDescent="0.3">
      <c r="A12" s="150" t="s">
        <v>21</v>
      </c>
      <c r="B12" s="672" t="s">
        <v>24</v>
      </c>
      <c r="C12" s="281">
        <f t="shared" ref="C12:K12" si="1">SUM(C5:C11)</f>
        <v>5636</v>
      </c>
      <c r="D12" s="278">
        <f t="shared" si="1"/>
        <v>0</v>
      </c>
      <c r="E12" s="278">
        <f t="shared" si="1"/>
        <v>0</v>
      </c>
      <c r="F12" s="278">
        <f t="shared" si="1"/>
        <v>0</v>
      </c>
      <c r="G12" s="282">
        <f t="shared" si="1"/>
        <v>2634</v>
      </c>
      <c r="H12" s="358">
        <f t="shared" si="1"/>
        <v>432</v>
      </c>
      <c r="I12" s="281">
        <f t="shared" si="1"/>
        <v>0</v>
      </c>
      <c r="J12" s="282">
        <f t="shared" si="1"/>
        <v>0</v>
      </c>
      <c r="K12" s="498">
        <f t="shared" si="1"/>
        <v>8702</v>
      </c>
      <c r="M12" s="346"/>
      <c r="N12" s="346"/>
      <c r="O12" s="346"/>
      <c r="P12" s="346"/>
      <c r="Q12" s="346"/>
      <c r="R12" s="346"/>
      <c r="S12" s="346"/>
      <c r="T12" s="346"/>
    </row>
    <row r="13" spans="1:21" s="44" customFormat="1" ht="15" customHeight="1" outlineLevel="1" thickBot="1" x14ac:dyDescent="0.3">
      <c r="A13" s="101" t="s">
        <v>23</v>
      </c>
      <c r="B13" s="672"/>
      <c r="C13" s="281">
        <f>AVERAGE(C5:C11)</f>
        <v>2818</v>
      </c>
      <c r="D13" s="278" t="e">
        <f t="shared" ref="D13:K13" si="2">AVERAGE(D5:D11)</f>
        <v>#DIV/0!</v>
      </c>
      <c r="E13" s="278" t="e">
        <f t="shared" si="2"/>
        <v>#DIV/0!</v>
      </c>
      <c r="F13" s="278" t="e">
        <f t="shared" si="2"/>
        <v>#DIV/0!</v>
      </c>
      <c r="G13" s="282">
        <f>AVERAGE(G5:G11)</f>
        <v>1317</v>
      </c>
      <c r="H13" s="358">
        <f t="shared" si="2"/>
        <v>216</v>
      </c>
      <c r="I13" s="281" t="e">
        <f t="shared" si="2"/>
        <v>#DIV/0!</v>
      </c>
      <c r="J13" s="282" t="e">
        <f t="shared" si="2"/>
        <v>#DIV/0!</v>
      </c>
      <c r="K13" s="358">
        <f t="shared" si="2"/>
        <v>1243.1428571428571</v>
      </c>
      <c r="M13" s="346"/>
      <c r="N13" s="346"/>
      <c r="O13" s="346"/>
      <c r="P13" s="346"/>
      <c r="Q13" s="346"/>
      <c r="R13" s="346"/>
      <c r="S13" s="346"/>
    </row>
    <row r="14" spans="1:21" s="44" customFormat="1" ht="15" customHeight="1" thickBot="1" x14ac:dyDescent="0.3">
      <c r="A14" s="23" t="s">
        <v>20</v>
      </c>
      <c r="B14" s="672"/>
      <c r="C14" s="283">
        <f t="shared" ref="C14:K14" si="3">SUM(C5:C9)</f>
        <v>0</v>
      </c>
      <c r="D14" s="279">
        <f t="shared" si="3"/>
        <v>0</v>
      </c>
      <c r="E14" s="279">
        <f t="shared" si="3"/>
        <v>0</v>
      </c>
      <c r="F14" s="279">
        <f t="shared" si="3"/>
        <v>0</v>
      </c>
      <c r="G14" s="284">
        <f t="shared" si="3"/>
        <v>0</v>
      </c>
      <c r="H14" s="359">
        <f t="shared" si="3"/>
        <v>0</v>
      </c>
      <c r="I14" s="283">
        <f t="shared" si="3"/>
        <v>0</v>
      </c>
      <c r="J14" s="284">
        <f t="shared" si="3"/>
        <v>0</v>
      </c>
      <c r="K14" s="359">
        <f t="shared" si="3"/>
        <v>0</v>
      </c>
      <c r="M14" s="346"/>
      <c r="N14" s="346"/>
      <c r="O14" s="346"/>
      <c r="P14" s="346"/>
      <c r="Q14" s="346"/>
      <c r="R14" s="346"/>
      <c r="S14" s="346"/>
      <c r="T14" s="346"/>
    </row>
    <row r="15" spans="1:21" s="44" customFormat="1" ht="15" customHeight="1" thickBot="1" x14ac:dyDescent="0.3">
      <c r="A15" s="23" t="s">
        <v>22</v>
      </c>
      <c r="B15" s="672"/>
      <c r="C15" s="283" t="e">
        <f t="shared" ref="C15:J15" si="4">AVERAGE(C5:C9)</f>
        <v>#DIV/0!</v>
      </c>
      <c r="D15" s="279" t="e">
        <f>AVERAGE(D5:D9)</f>
        <v>#DIV/0!</v>
      </c>
      <c r="E15" s="279" t="e">
        <f t="shared" si="4"/>
        <v>#DIV/0!</v>
      </c>
      <c r="F15" s="279" t="e">
        <f t="shared" si="4"/>
        <v>#DIV/0!</v>
      </c>
      <c r="G15" s="284" t="e">
        <f t="shared" si="4"/>
        <v>#DIV/0!</v>
      </c>
      <c r="H15" s="359" t="e">
        <f t="shared" si="4"/>
        <v>#DIV/0!</v>
      </c>
      <c r="I15" s="283" t="e">
        <f t="shared" si="4"/>
        <v>#DIV/0!</v>
      </c>
      <c r="J15" s="284" t="e">
        <f t="shared" si="4"/>
        <v>#DIV/0!</v>
      </c>
      <c r="K15" s="359">
        <f>AVERAGE(K5:K9)</f>
        <v>0</v>
      </c>
      <c r="M15" s="346"/>
      <c r="N15" s="346"/>
      <c r="O15" s="346"/>
      <c r="P15" s="346"/>
      <c r="Q15" s="346"/>
      <c r="R15" s="346"/>
      <c r="S15" s="346"/>
      <c r="T15" s="346"/>
    </row>
    <row r="16" spans="1:21" s="44" customFormat="1" ht="15" customHeight="1" x14ac:dyDescent="0.25">
      <c r="A16" s="22" t="s">
        <v>3</v>
      </c>
      <c r="B16" s="163">
        <f>B11+1</f>
        <v>43864</v>
      </c>
      <c r="C16" s="15">
        <v>6000</v>
      </c>
      <c r="D16" s="17">
        <v>1670</v>
      </c>
      <c r="E16" s="17">
        <v>1092</v>
      </c>
      <c r="F16" s="17">
        <v>2448</v>
      </c>
      <c r="G16" s="16"/>
      <c r="H16" s="326">
        <v>1096</v>
      </c>
      <c r="I16" s="15">
        <v>1121</v>
      </c>
      <c r="J16" s="16">
        <v>2490</v>
      </c>
      <c r="K16" s="326">
        <f>SUM(C16:J16)</f>
        <v>15917</v>
      </c>
      <c r="M16" s="346"/>
      <c r="N16" s="346"/>
      <c r="O16" s="346"/>
      <c r="P16" s="346"/>
      <c r="Q16" s="346"/>
      <c r="R16" s="346"/>
      <c r="S16" s="346"/>
      <c r="T16" s="346"/>
    </row>
    <row r="17" spans="1:20" s="44" customFormat="1" ht="15" customHeight="1" x14ac:dyDescent="0.25">
      <c r="A17" s="22" t="s">
        <v>4</v>
      </c>
      <c r="B17" s="163">
        <f t="shared" ref="B17:B22" si="5">B16+1</f>
        <v>43865</v>
      </c>
      <c r="C17" s="15">
        <v>6297</v>
      </c>
      <c r="D17" s="17">
        <v>1872</v>
      </c>
      <c r="E17" s="17">
        <v>1154</v>
      </c>
      <c r="F17" s="17">
        <v>2440</v>
      </c>
      <c r="G17" s="16"/>
      <c r="H17" s="326">
        <v>1304</v>
      </c>
      <c r="I17" s="15">
        <v>1114</v>
      </c>
      <c r="J17" s="16">
        <v>2298</v>
      </c>
      <c r="K17" s="326">
        <f t="shared" ref="K17:K21" si="6">SUM(C17:J17)</f>
        <v>16479</v>
      </c>
      <c r="M17" s="346"/>
      <c r="N17" s="346"/>
      <c r="O17" s="346"/>
      <c r="P17" s="346"/>
      <c r="Q17" s="346"/>
      <c r="R17" s="346"/>
      <c r="S17" s="346"/>
      <c r="T17" s="346"/>
    </row>
    <row r="18" spans="1:20" s="44" customFormat="1" ht="15" customHeight="1" x14ac:dyDescent="0.25">
      <c r="A18" s="22" t="s">
        <v>5</v>
      </c>
      <c r="B18" s="163">
        <f t="shared" si="5"/>
        <v>43866</v>
      </c>
      <c r="C18" s="199">
        <v>5934</v>
      </c>
      <c r="D18" s="296">
        <v>1666</v>
      </c>
      <c r="E18" s="296">
        <v>919</v>
      </c>
      <c r="F18" s="296">
        <v>2474</v>
      </c>
      <c r="G18" s="297"/>
      <c r="H18" s="206">
        <v>1312</v>
      </c>
      <c r="I18" s="199">
        <v>1025</v>
      </c>
      <c r="J18" s="297">
        <v>2308</v>
      </c>
      <c r="K18" s="326">
        <f t="shared" si="6"/>
        <v>15638</v>
      </c>
      <c r="M18" s="346"/>
      <c r="N18" s="346"/>
      <c r="O18" s="346"/>
      <c r="P18" s="346"/>
      <c r="Q18" s="346"/>
      <c r="R18" s="346"/>
      <c r="S18" s="346"/>
      <c r="T18" s="346"/>
    </row>
    <row r="19" spans="1:20" s="44" customFormat="1" ht="15" customHeight="1" x14ac:dyDescent="0.25">
      <c r="A19" s="22" t="s">
        <v>6</v>
      </c>
      <c r="B19" s="163">
        <f t="shared" si="5"/>
        <v>43867</v>
      </c>
      <c r="C19" s="15">
        <v>6058</v>
      </c>
      <c r="D19" s="17">
        <v>1708</v>
      </c>
      <c r="E19" s="17">
        <v>954</v>
      </c>
      <c r="F19" s="17">
        <v>2171</v>
      </c>
      <c r="G19" s="16"/>
      <c r="H19" s="326">
        <v>1378</v>
      </c>
      <c r="I19" s="15">
        <v>920</v>
      </c>
      <c r="J19" s="16">
        <v>2147</v>
      </c>
      <c r="K19" s="326">
        <f t="shared" si="6"/>
        <v>15336</v>
      </c>
      <c r="M19" s="346"/>
      <c r="N19" s="346"/>
      <c r="O19" s="346"/>
      <c r="P19" s="346"/>
      <c r="Q19" s="346"/>
      <c r="R19" s="346"/>
      <c r="S19" s="346"/>
    </row>
    <row r="20" spans="1:20" s="44" customFormat="1" ht="15" customHeight="1" x14ac:dyDescent="0.25">
      <c r="A20" s="22" t="s">
        <v>0</v>
      </c>
      <c r="B20" s="163">
        <f t="shared" si="5"/>
        <v>43868</v>
      </c>
      <c r="C20" s="15">
        <v>5556</v>
      </c>
      <c r="D20" s="17">
        <v>1315</v>
      </c>
      <c r="E20" s="17">
        <v>823</v>
      </c>
      <c r="F20" s="17">
        <v>1937</v>
      </c>
      <c r="G20" s="16"/>
      <c r="H20" s="326">
        <v>1216</v>
      </c>
      <c r="I20" s="15">
        <v>917</v>
      </c>
      <c r="J20" s="16">
        <v>1634</v>
      </c>
      <c r="K20" s="326">
        <f t="shared" si="6"/>
        <v>13398</v>
      </c>
      <c r="M20" s="346"/>
      <c r="N20" s="346"/>
      <c r="O20" s="346"/>
      <c r="P20" s="346"/>
      <c r="Q20" s="346"/>
      <c r="R20" s="346"/>
      <c r="S20" s="346"/>
    </row>
    <row r="21" spans="1:20" s="44" customFormat="1" ht="15" customHeight="1" outlineLevel="1" x14ac:dyDescent="0.25">
      <c r="A21" s="22" t="s">
        <v>1</v>
      </c>
      <c r="B21" s="163">
        <f t="shared" si="5"/>
        <v>43869</v>
      </c>
      <c r="C21" s="15">
        <v>3458</v>
      </c>
      <c r="D21" s="266"/>
      <c r="E21" s="17"/>
      <c r="F21" s="17"/>
      <c r="G21" s="16">
        <v>1468</v>
      </c>
      <c r="H21" s="326">
        <v>245</v>
      </c>
      <c r="I21" s="15"/>
      <c r="J21" s="16"/>
      <c r="K21" s="326">
        <f t="shared" si="6"/>
        <v>5171</v>
      </c>
      <c r="M21" s="346"/>
      <c r="N21" s="346"/>
      <c r="O21" s="346"/>
      <c r="P21" s="346"/>
      <c r="Q21" s="346"/>
      <c r="R21" s="346"/>
      <c r="S21" s="346"/>
    </row>
    <row r="22" spans="1:20" s="44" customFormat="1" ht="15" customHeight="1" outlineLevel="1" thickBot="1" x14ac:dyDescent="0.3">
      <c r="A22" s="22" t="s">
        <v>2</v>
      </c>
      <c r="B22" s="163">
        <f t="shared" si="5"/>
        <v>43870</v>
      </c>
      <c r="C22" s="476">
        <v>2172</v>
      </c>
      <c r="D22" s="33"/>
      <c r="E22" s="33"/>
      <c r="F22" s="33"/>
      <c r="G22" s="357">
        <v>1014</v>
      </c>
      <c r="H22" s="326">
        <v>230</v>
      </c>
      <c r="I22" s="15"/>
      <c r="J22" s="16"/>
      <c r="K22" s="326">
        <f>SUM(C22:J22)</f>
        <v>3416</v>
      </c>
      <c r="M22" s="346"/>
      <c r="N22" s="346"/>
      <c r="O22" s="346"/>
      <c r="P22" s="346"/>
      <c r="Q22" s="346"/>
      <c r="R22" s="346"/>
    </row>
    <row r="23" spans="1:20" s="44" customFormat="1" ht="15" customHeight="1" outlineLevel="1" thickBot="1" x14ac:dyDescent="0.3">
      <c r="A23" s="150" t="s">
        <v>21</v>
      </c>
      <c r="B23" s="672" t="s">
        <v>25</v>
      </c>
      <c r="C23" s="281">
        <f t="shared" ref="C23:J23" si="7">SUM(C16:C22)</f>
        <v>35475</v>
      </c>
      <c r="D23" s="278">
        <f t="shared" si="7"/>
        <v>8231</v>
      </c>
      <c r="E23" s="278">
        <f t="shared" si="7"/>
        <v>4942</v>
      </c>
      <c r="F23" s="278">
        <f t="shared" si="7"/>
        <v>11470</v>
      </c>
      <c r="G23" s="282">
        <f t="shared" si="7"/>
        <v>2482</v>
      </c>
      <c r="H23" s="358">
        <f t="shared" si="7"/>
        <v>6781</v>
      </c>
      <c r="I23" s="281">
        <f t="shared" si="7"/>
        <v>5097</v>
      </c>
      <c r="J23" s="282">
        <f t="shared" si="7"/>
        <v>10877</v>
      </c>
      <c r="K23" s="358">
        <f>SUM(K16:K22)</f>
        <v>85355</v>
      </c>
      <c r="M23" s="346"/>
      <c r="N23" s="346"/>
      <c r="O23" s="346"/>
      <c r="P23" s="346"/>
      <c r="Q23" s="346"/>
      <c r="R23" s="346"/>
      <c r="S23" s="346"/>
    </row>
    <row r="24" spans="1:20" s="44" customFormat="1" ht="15" customHeight="1" outlineLevel="1" thickBot="1" x14ac:dyDescent="0.3">
      <c r="A24" s="101" t="s">
        <v>23</v>
      </c>
      <c r="B24" s="672"/>
      <c r="C24" s="281">
        <f>AVERAGE(C16:C22)</f>
        <v>5067.8571428571431</v>
      </c>
      <c r="D24" s="278">
        <f>AVERAGE(D16:D22)</f>
        <v>1646.2</v>
      </c>
      <c r="E24" s="278">
        <f t="shared" ref="E24:K24" si="8">AVERAGE(E16:E22)</f>
        <v>988.4</v>
      </c>
      <c r="F24" s="278">
        <f t="shared" si="8"/>
        <v>2294</v>
      </c>
      <c r="G24" s="282">
        <f t="shared" si="8"/>
        <v>1241</v>
      </c>
      <c r="H24" s="358">
        <f>AVERAGE(H16:H22)</f>
        <v>968.71428571428567</v>
      </c>
      <c r="I24" s="281" t="e">
        <f>AVERAGE(I21:I22)</f>
        <v>#DIV/0!</v>
      </c>
      <c r="J24" s="282">
        <f>AVERAGE(J16:J22)</f>
        <v>2175.4</v>
      </c>
      <c r="K24" s="358">
        <f t="shared" si="8"/>
        <v>12193.571428571429</v>
      </c>
      <c r="M24" s="346"/>
      <c r="N24" s="346"/>
      <c r="O24" s="346"/>
      <c r="P24" s="346"/>
      <c r="Q24" s="346"/>
      <c r="R24" s="346"/>
      <c r="S24" s="346"/>
      <c r="T24" s="346"/>
    </row>
    <row r="25" spans="1:20" s="44" customFormat="1" ht="15" customHeight="1" thickBot="1" x14ac:dyDescent="0.3">
      <c r="A25" s="23" t="s">
        <v>20</v>
      </c>
      <c r="B25" s="672"/>
      <c r="C25" s="283">
        <f t="shared" ref="C25:K25" si="9">SUM(C16:C20)</f>
        <v>29845</v>
      </c>
      <c r="D25" s="279">
        <f t="shared" si="9"/>
        <v>8231</v>
      </c>
      <c r="E25" s="279">
        <f t="shared" si="9"/>
        <v>4942</v>
      </c>
      <c r="F25" s="279">
        <f t="shared" si="9"/>
        <v>11470</v>
      </c>
      <c r="G25" s="284">
        <f t="shared" si="9"/>
        <v>0</v>
      </c>
      <c r="H25" s="359">
        <f t="shared" si="9"/>
        <v>6306</v>
      </c>
      <c r="I25" s="283">
        <f t="shared" si="9"/>
        <v>5097</v>
      </c>
      <c r="J25" s="284">
        <f t="shared" si="9"/>
        <v>10877</v>
      </c>
      <c r="K25" s="359">
        <f t="shared" si="9"/>
        <v>76768</v>
      </c>
      <c r="M25" s="346"/>
      <c r="N25" s="346"/>
      <c r="O25" s="346"/>
      <c r="P25" s="346"/>
      <c r="Q25" s="346"/>
      <c r="R25" s="346"/>
      <c r="S25" s="346"/>
      <c r="T25" s="346"/>
    </row>
    <row r="26" spans="1:20" s="44" customFormat="1" ht="15" customHeight="1" thickBot="1" x14ac:dyDescent="0.3">
      <c r="A26" s="23" t="s">
        <v>22</v>
      </c>
      <c r="B26" s="672"/>
      <c r="C26" s="283">
        <f>AVERAGE(C16:C20)</f>
        <v>5969</v>
      </c>
      <c r="D26" s="279">
        <f>AVERAGE(D16:D20)</f>
        <v>1646.2</v>
      </c>
      <c r="E26" s="279">
        <f>AVERAGE(E16:E20)</f>
        <v>988.4</v>
      </c>
      <c r="F26" s="279">
        <f>AVERAGE(F16:F20)</f>
        <v>2294</v>
      </c>
      <c r="G26" s="284" t="e">
        <f>AVERAGE(G16:G20)</f>
        <v>#DIV/0!</v>
      </c>
      <c r="H26" s="359">
        <v>893</v>
      </c>
      <c r="I26" s="255">
        <f>AVERAGE(I16:I20)</f>
        <v>1019.4</v>
      </c>
      <c r="J26" s="284">
        <f>AVERAGE(J16:J20)</f>
        <v>2175.4</v>
      </c>
      <c r="K26" s="359">
        <f>AVERAGE(K16:K20)</f>
        <v>15353.6</v>
      </c>
      <c r="M26" s="346"/>
      <c r="N26" s="346"/>
      <c r="O26" s="346"/>
      <c r="P26" s="346"/>
      <c r="Q26" s="346"/>
      <c r="R26" s="346"/>
      <c r="S26" s="346"/>
      <c r="T26" s="346"/>
    </row>
    <row r="27" spans="1:20" s="44" customFormat="1" ht="15" customHeight="1" x14ac:dyDescent="0.25">
      <c r="A27" s="22" t="s">
        <v>3</v>
      </c>
      <c r="B27" s="166">
        <f>B22+1</f>
        <v>43871</v>
      </c>
      <c r="C27" s="298">
        <v>5591</v>
      </c>
      <c r="D27" s="195">
        <v>1564</v>
      </c>
      <c r="E27" s="196">
        <v>1046</v>
      </c>
      <c r="F27" s="196">
        <v>2068</v>
      </c>
      <c r="G27" s="209"/>
      <c r="H27" s="360">
        <v>1258</v>
      </c>
      <c r="I27" s="302">
        <v>1172</v>
      </c>
      <c r="J27" s="209">
        <v>2176</v>
      </c>
      <c r="K27" s="326">
        <f t="shared" ref="K27:K33" si="10">SUM(C27:J27)</f>
        <v>14875</v>
      </c>
      <c r="M27" s="346"/>
      <c r="N27" s="346"/>
      <c r="O27" s="346"/>
      <c r="P27" s="346"/>
      <c r="Q27" s="346"/>
      <c r="R27" s="346"/>
      <c r="S27" s="346"/>
      <c r="T27" s="346"/>
    </row>
    <row r="28" spans="1:20" s="44" customFormat="1" ht="15" customHeight="1" x14ac:dyDescent="0.25">
      <c r="A28" s="22" t="s">
        <v>4</v>
      </c>
      <c r="B28" s="166">
        <f t="shared" ref="B28:B33" si="11">B27+1</f>
        <v>43872</v>
      </c>
      <c r="C28" s="298">
        <v>5836</v>
      </c>
      <c r="D28" s="195">
        <v>1592</v>
      </c>
      <c r="E28" s="196">
        <v>1054</v>
      </c>
      <c r="F28" s="196">
        <v>2258</v>
      </c>
      <c r="G28" s="209"/>
      <c r="H28" s="360">
        <v>1138</v>
      </c>
      <c r="I28" s="302">
        <v>1269</v>
      </c>
      <c r="J28" s="209">
        <v>2181</v>
      </c>
      <c r="K28" s="326">
        <f t="shared" si="10"/>
        <v>15328</v>
      </c>
      <c r="L28" s="346"/>
      <c r="M28" s="346"/>
      <c r="N28" s="346"/>
      <c r="O28" s="346"/>
      <c r="P28" s="346"/>
      <c r="Q28" s="346"/>
      <c r="R28" s="346"/>
      <c r="S28" s="346"/>
      <c r="T28" s="346"/>
    </row>
    <row r="29" spans="1:20" s="44" customFormat="1" ht="15" customHeight="1" x14ac:dyDescent="0.25">
      <c r="A29" s="22" t="s">
        <v>5</v>
      </c>
      <c r="B29" s="166">
        <f t="shared" si="11"/>
        <v>43873</v>
      </c>
      <c r="C29" s="298">
        <v>4953</v>
      </c>
      <c r="D29" s="195">
        <v>1681</v>
      </c>
      <c r="E29" s="196">
        <v>1007</v>
      </c>
      <c r="F29" s="196">
        <v>2107</v>
      </c>
      <c r="G29" s="209"/>
      <c r="H29" s="360">
        <v>1150</v>
      </c>
      <c r="I29" s="302">
        <v>1160</v>
      </c>
      <c r="J29" s="209">
        <v>2173</v>
      </c>
      <c r="K29" s="326">
        <f t="shared" si="10"/>
        <v>14231</v>
      </c>
      <c r="L29" s="346"/>
      <c r="M29" s="346"/>
      <c r="N29" s="346"/>
      <c r="O29" s="346"/>
      <c r="P29" s="346"/>
      <c r="Q29" s="346"/>
      <c r="R29" s="346"/>
      <c r="S29" s="346"/>
      <c r="T29" s="346"/>
    </row>
    <row r="30" spans="1:20" s="44" customFormat="1" ht="15" customHeight="1" x14ac:dyDescent="0.25">
      <c r="A30" s="22" t="s">
        <v>6</v>
      </c>
      <c r="B30" s="166">
        <f t="shared" si="11"/>
        <v>43874</v>
      </c>
      <c r="C30" s="298">
        <v>6101</v>
      </c>
      <c r="D30" s="195">
        <v>1564</v>
      </c>
      <c r="E30" s="196">
        <v>974</v>
      </c>
      <c r="F30" s="196">
        <v>2112</v>
      </c>
      <c r="G30" s="209"/>
      <c r="H30" s="360">
        <v>1114</v>
      </c>
      <c r="I30" s="302">
        <v>1114</v>
      </c>
      <c r="J30" s="209">
        <v>2278</v>
      </c>
      <c r="K30" s="326">
        <f t="shared" si="10"/>
        <v>15257</v>
      </c>
      <c r="L30" s="346"/>
      <c r="M30" s="346"/>
      <c r="N30" s="346"/>
      <c r="O30" s="346"/>
      <c r="P30" s="346"/>
      <c r="Q30" s="346"/>
      <c r="R30" s="346"/>
      <c r="S30" s="346"/>
      <c r="T30" s="346"/>
    </row>
    <row r="31" spans="1:20" s="44" customFormat="1" ht="15" customHeight="1" x14ac:dyDescent="0.25">
      <c r="A31" s="22" t="s">
        <v>0</v>
      </c>
      <c r="B31" s="166">
        <f t="shared" si="11"/>
        <v>43875</v>
      </c>
      <c r="C31" s="298">
        <v>5934</v>
      </c>
      <c r="D31" s="195">
        <v>1303</v>
      </c>
      <c r="E31" s="196">
        <v>834</v>
      </c>
      <c r="F31" s="195">
        <v>2156</v>
      </c>
      <c r="G31" s="209"/>
      <c r="H31" s="360">
        <v>955</v>
      </c>
      <c r="I31" s="302">
        <v>874</v>
      </c>
      <c r="J31" s="209">
        <v>1681</v>
      </c>
      <c r="K31" s="326">
        <f t="shared" si="10"/>
        <v>13737</v>
      </c>
      <c r="L31" s="346"/>
      <c r="M31" s="346"/>
      <c r="N31" s="346"/>
      <c r="O31" s="346"/>
      <c r="P31" s="346"/>
      <c r="Q31" s="346"/>
      <c r="R31" s="346"/>
      <c r="S31" s="346"/>
      <c r="T31" s="346"/>
    </row>
    <row r="32" spans="1:20" s="44" customFormat="1" ht="15" customHeight="1" outlineLevel="1" x14ac:dyDescent="0.25">
      <c r="A32" s="22" t="s">
        <v>1</v>
      </c>
      <c r="B32" s="166">
        <f t="shared" si="11"/>
        <v>43876</v>
      </c>
      <c r="C32" s="298">
        <v>3251</v>
      </c>
      <c r="D32" s="196"/>
      <c r="E32" s="196"/>
      <c r="F32" s="196"/>
      <c r="G32" s="209">
        <v>1054</v>
      </c>
      <c r="H32" s="361">
        <v>245</v>
      </c>
      <c r="I32" s="298"/>
      <c r="J32" s="209"/>
      <c r="K32" s="326">
        <f t="shared" si="10"/>
        <v>4550</v>
      </c>
      <c r="L32" s="346"/>
      <c r="M32" s="346"/>
      <c r="N32" s="346"/>
      <c r="O32" s="346"/>
      <c r="P32" s="346"/>
      <c r="Q32" s="346"/>
      <c r="R32" s="346"/>
      <c r="S32" s="346"/>
      <c r="T32" s="346"/>
    </row>
    <row r="33" spans="1:20" s="44" customFormat="1" ht="15" customHeight="1" outlineLevel="1" thickBot="1" x14ac:dyDescent="0.3">
      <c r="A33" s="22" t="s">
        <v>2</v>
      </c>
      <c r="B33" s="166">
        <f t="shared" si="11"/>
        <v>43877</v>
      </c>
      <c r="C33" s="298">
        <v>3085</v>
      </c>
      <c r="D33" s="196"/>
      <c r="E33" s="196"/>
      <c r="F33" s="196"/>
      <c r="G33" s="209">
        <v>1410</v>
      </c>
      <c r="H33" s="361">
        <v>277</v>
      </c>
      <c r="I33" s="298"/>
      <c r="J33" s="209"/>
      <c r="K33" s="326">
        <f t="shared" si="10"/>
        <v>4772</v>
      </c>
      <c r="L33" s="346"/>
      <c r="M33" s="346"/>
      <c r="N33" s="346"/>
      <c r="O33" s="346"/>
      <c r="P33" s="346"/>
      <c r="Q33" s="346"/>
      <c r="R33" s="346"/>
      <c r="S33" s="346"/>
    </row>
    <row r="34" spans="1:20" s="44" customFormat="1" ht="15" customHeight="1" outlineLevel="1" thickBot="1" x14ac:dyDescent="0.3">
      <c r="A34" s="150" t="s">
        <v>21</v>
      </c>
      <c r="B34" s="672" t="s">
        <v>26</v>
      </c>
      <c r="C34" s="281">
        <f t="shared" ref="C34:K34" si="12">SUM(C27:C33)</f>
        <v>34751</v>
      </c>
      <c r="D34" s="278">
        <f t="shared" si="12"/>
        <v>7704</v>
      </c>
      <c r="E34" s="278">
        <f t="shared" si="12"/>
        <v>4915</v>
      </c>
      <c r="F34" s="278">
        <f t="shared" si="12"/>
        <v>10701</v>
      </c>
      <c r="G34" s="282">
        <f t="shared" si="12"/>
        <v>2464</v>
      </c>
      <c r="H34" s="358">
        <f t="shared" si="12"/>
        <v>6137</v>
      </c>
      <c r="I34" s="281">
        <f t="shared" si="12"/>
        <v>5589</v>
      </c>
      <c r="J34" s="282">
        <f t="shared" si="12"/>
        <v>10489</v>
      </c>
      <c r="K34" s="358">
        <f t="shared" si="12"/>
        <v>82750</v>
      </c>
      <c r="L34" s="346"/>
      <c r="M34" s="346"/>
      <c r="N34" s="346"/>
      <c r="O34" s="346"/>
      <c r="P34" s="346"/>
      <c r="Q34" s="346"/>
      <c r="R34" s="346"/>
    </row>
    <row r="35" spans="1:20" s="44" customFormat="1" ht="15" customHeight="1" outlineLevel="1" thickBot="1" x14ac:dyDescent="0.3">
      <c r="A35" s="101" t="s">
        <v>23</v>
      </c>
      <c r="B35" s="672"/>
      <c r="C35" s="281">
        <f t="shared" ref="C35:K35" si="13">AVERAGE(C27:C33)</f>
        <v>4964.4285714285716</v>
      </c>
      <c r="D35" s="278">
        <f t="shared" si="13"/>
        <v>1540.8</v>
      </c>
      <c r="E35" s="278">
        <f t="shared" si="13"/>
        <v>983</v>
      </c>
      <c r="F35" s="278">
        <f t="shared" si="13"/>
        <v>2140.1999999999998</v>
      </c>
      <c r="G35" s="282">
        <f t="shared" si="13"/>
        <v>1232</v>
      </c>
      <c r="H35" s="358">
        <f t="shared" si="13"/>
        <v>876.71428571428567</v>
      </c>
      <c r="I35" s="281">
        <f t="shared" si="13"/>
        <v>1117.8</v>
      </c>
      <c r="J35" s="282">
        <f t="shared" si="13"/>
        <v>2097.8000000000002</v>
      </c>
      <c r="K35" s="358">
        <f t="shared" si="13"/>
        <v>11821.428571428571</v>
      </c>
      <c r="M35" s="346"/>
      <c r="N35" s="346"/>
      <c r="O35" s="346"/>
      <c r="P35" s="346"/>
      <c r="Q35" s="346"/>
      <c r="R35" s="346"/>
    </row>
    <row r="36" spans="1:20" s="44" customFormat="1" ht="15" customHeight="1" thickBot="1" x14ac:dyDescent="0.3">
      <c r="A36" s="23" t="s">
        <v>20</v>
      </c>
      <c r="B36" s="672"/>
      <c r="C36" s="283">
        <f t="shared" ref="C36:H36" si="14">SUM(C27:C31)</f>
        <v>28415</v>
      </c>
      <c r="D36" s="279">
        <f t="shared" si="14"/>
        <v>7704</v>
      </c>
      <c r="E36" s="279">
        <f t="shared" si="14"/>
        <v>4915</v>
      </c>
      <c r="F36" s="279">
        <f t="shared" si="14"/>
        <v>10701</v>
      </c>
      <c r="G36" s="284">
        <f t="shared" si="14"/>
        <v>0</v>
      </c>
      <c r="H36" s="359">
        <f t="shared" si="14"/>
        <v>5615</v>
      </c>
      <c r="I36" s="283">
        <f>SUM(I27:I31)</f>
        <v>5589</v>
      </c>
      <c r="J36" s="284">
        <f>SUM(J27:J31)</f>
        <v>10489</v>
      </c>
      <c r="K36" s="359">
        <f>SUM(K27:K31)</f>
        <v>73428</v>
      </c>
      <c r="M36" s="346"/>
      <c r="N36" s="346"/>
      <c r="O36" s="346"/>
      <c r="P36" s="346"/>
      <c r="Q36" s="346"/>
      <c r="R36" s="346"/>
    </row>
    <row r="37" spans="1:20" s="44" customFormat="1" ht="15" customHeight="1" thickBot="1" x14ac:dyDescent="0.3">
      <c r="A37" s="23" t="s">
        <v>22</v>
      </c>
      <c r="B37" s="672"/>
      <c r="C37" s="283">
        <f t="shared" ref="C37:K37" si="15">AVERAGE(C27:C31)</f>
        <v>5683</v>
      </c>
      <c r="D37" s="279">
        <f t="shared" si="15"/>
        <v>1540.8</v>
      </c>
      <c r="E37" s="279">
        <f t="shared" si="15"/>
        <v>983</v>
      </c>
      <c r="F37" s="279">
        <f t="shared" si="15"/>
        <v>2140.1999999999998</v>
      </c>
      <c r="G37" s="284" t="e">
        <f t="shared" si="15"/>
        <v>#DIV/0!</v>
      </c>
      <c r="H37" s="359">
        <f t="shared" si="15"/>
        <v>1123</v>
      </c>
      <c r="I37" s="283">
        <f t="shared" si="15"/>
        <v>1117.8</v>
      </c>
      <c r="J37" s="284">
        <f t="shared" si="15"/>
        <v>2097.8000000000002</v>
      </c>
      <c r="K37" s="359">
        <f t="shared" si="15"/>
        <v>14685.6</v>
      </c>
      <c r="M37" s="346"/>
      <c r="N37" s="346"/>
      <c r="O37" s="346"/>
      <c r="P37" s="346"/>
      <c r="Q37" s="346"/>
      <c r="R37" s="346"/>
      <c r="S37" s="346"/>
    </row>
    <row r="38" spans="1:20" s="44" customFormat="1" ht="15" customHeight="1" x14ac:dyDescent="0.25">
      <c r="A38" s="22" t="s">
        <v>3</v>
      </c>
      <c r="B38" s="168">
        <f>B33+1</f>
        <v>43878</v>
      </c>
      <c r="C38" s="15">
        <v>4216</v>
      </c>
      <c r="D38" s="17"/>
      <c r="E38" s="17"/>
      <c r="F38" s="17"/>
      <c r="G38" s="16">
        <v>1473</v>
      </c>
      <c r="H38" s="326"/>
      <c r="I38" s="15"/>
      <c r="J38" s="16"/>
      <c r="K38" s="326">
        <f t="shared" ref="K38:K44" si="16">SUM(C38:J38)</f>
        <v>5689</v>
      </c>
      <c r="M38" s="346"/>
      <c r="N38" s="346"/>
      <c r="O38" s="346"/>
      <c r="P38" s="346"/>
      <c r="Q38" s="346"/>
      <c r="R38" s="346"/>
      <c r="S38" s="346"/>
    </row>
    <row r="39" spans="1:20" s="44" customFormat="1" ht="15" customHeight="1" x14ac:dyDescent="0.25">
      <c r="A39" s="22" t="s">
        <v>4</v>
      </c>
      <c r="B39" s="168">
        <f t="shared" ref="B39:B44" si="17">B38+1</f>
        <v>43879</v>
      </c>
      <c r="C39" s="15">
        <v>5043</v>
      </c>
      <c r="D39" s="17">
        <v>1521</v>
      </c>
      <c r="E39" s="17">
        <v>953</v>
      </c>
      <c r="F39" s="17">
        <v>2112</v>
      </c>
      <c r="G39" s="16"/>
      <c r="H39" s="326">
        <v>1268</v>
      </c>
      <c r="I39" s="15">
        <v>1194</v>
      </c>
      <c r="J39" s="16">
        <v>2319</v>
      </c>
      <c r="K39" s="326">
        <f t="shared" si="16"/>
        <v>14410</v>
      </c>
      <c r="M39" s="346"/>
      <c r="N39" s="346"/>
      <c r="O39" s="346"/>
      <c r="P39" s="346"/>
      <c r="Q39" s="346"/>
      <c r="R39" s="346"/>
      <c r="S39" s="346"/>
    </row>
    <row r="40" spans="1:20" s="44" customFormat="1" ht="15" customHeight="1" x14ac:dyDescent="0.25">
      <c r="A40" s="22" t="s">
        <v>5</v>
      </c>
      <c r="B40" s="168">
        <f t="shared" si="17"/>
        <v>43880</v>
      </c>
      <c r="C40" s="15">
        <v>5888</v>
      </c>
      <c r="D40" s="17">
        <v>1775</v>
      </c>
      <c r="E40" s="17">
        <v>1042</v>
      </c>
      <c r="F40" s="17">
        <v>2246</v>
      </c>
      <c r="G40" s="16"/>
      <c r="H40" s="326">
        <v>1038</v>
      </c>
      <c r="I40" s="15">
        <v>1200</v>
      </c>
      <c r="J40" s="16">
        <v>2288</v>
      </c>
      <c r="K40" s="326">
        <f t="shared" si="16"/>
        <v>15477</v>
      </c>
      <c r="M40" s="346"/>
      <c r="N40" s="346"/>
      <c r="O40" s="346"/>
      <c r="P40" s="346"/>
      <c r="Q40" s="346"/>
      <c r="R40" s="346"/>
      <c r="S40" s="346"/>
    </row>
    <row r="41" spans="1:20" s="44" customFormat="1" ht="15" customHeight="1" x14ac:dyDescent="0.25">
      <c r="A41" s="22" t="s">
        <v>6</v>
      </c>
      <c r="B41" s="168">
        <f t="shared" si="17"/>
        <v>43881</v>
      </c>
      <c r="C41" s="15">
        <v>6137</v>
      </c>
      <c r="D41" s="17">
        <v>1563</v>
      </c>
      <c r="E41" s="17">
        <v>1017</v>
      </c>
      <c r="F41" s="17">
        <v>2286</v>
      </c>
      <c r="G41" s="16"/>
      <c r="H41" s="326">
        <v>1136</v>
      </c>
      <c r="I41" s="15">
        <v>1155</v>
      </c>
      <c r="J41" s="16">
        <v>2292</v>
      </c>
      <c r="K41" s="326">
        <f>SUM(C41:J41)</f>
        <v>15586</v>
      </c>
      <c r="M41" s="346"/>
      <c r="N41" s="346"/>
      <c r="O41" s="346"/>
      <c r="P41" s="346"/>
      <c r="Q41" s="346"/>
      <c r="R41" s="346"/>
      <c r="S41" s="346"/>
    </row>
    <row r="42" spans="1:20" s="44" customFormat="1" ht="15" customHeight="1" x14ac:dyDescent="0.25">
      <c r="A42" s="22" t="s">
        <v>0</v>
      </c>
      <c r="B42" s="168">
        <f t="shared" si="17"/>
        <v>43882</v>
      </c>
      <c r="C42" s="15">
        <v>6019</v>
      </c>
      <c r="D42" s="17">
        <v>1332</v>
      </c>
      <c r="E42" s="17">
        <v>858</v>
      </c>
      <c r="F42" s="17">
        <v>2139</v>
      </c>
      <c r="G42" s="16"/>
      <c r="H42" s="326">
        <v>985</v>
      </c>
      <c r="I42" s="15">
        <v>911</v>
      </c>
      <c r="J42" s="16">
        <v>1642</v>
      </c>
      <c r="K42" s="326">
        <f t="shared" si="16"/>
        <v>13886</v>
      </c>
      <c r="M42" s="346"/>
      <c r="N42" s="346"/>
      <c r="O42" s="346"/>
      <c r="P42" s="346"/>
      <c r="Q42" s="346"/>
      <c r="R42" s="346"/>
      <c r="S42" s="346"/>
    </row>
    <row r="43" spans="1:20" s="44" customFormat="1" ht="15" customHeight="1" outlineLevel="1" x14ac:dyDescent="0.25">
      <c r="A43" s="22" t="s">
        <v>1</v>
      </c>
      <c r="B43" s="168">
        <f t="shared" si="17"/>
        <v>43883</v>
      </c>
      <c r="C43" s="15">
        <v>4009</v>
      </c>
      <c r="D43" s="17"/>
      <c r="E43" s="17"/>
      <c r="F43" s="17"/>
      <c r="G43" s="16">
        <v>1606</v>
      </c>
      <c r="H43" s="326">
        <v>320</v>
      </c>
      <c r="I43" s="15"/>
      <c r="J43" s="16"/>
      <c r="K43" s="326">
        <f t="shared" si="16"/>
        <v>5935</v>
      </c>
      <c r="L43" s="114"/>
      <c r="M43" s="346"/>
      <c r="N43" s="346"/>
      <c r="O43" s="346"/>
      <c r="P43" s="346"/>
    </row>
    <row r="44" spans="1:20" s="44" customFormat="1" ht="15" customHeight="1" outlineLevel="1" thickBot="1" x14ac:dyDescent="0.3">
      <c r="A44" s="22" t="s">
        <v>2</v>
      </c>
      <c r="B44" s="168">
        <f t="shared" si="17"/>
        <v>43884</v>
      </c>
      <c r="C44" s="497">
        <v>3053</v>
      </c>
      <c r="D44" s="17"/>
      <c r="E44" s="17"/>
      <c r="F44" s="17"/>
      <c r="G44" s="16">
        <v>1154</v>
      </c>
      <c r="H44" s="326">
        <v>239</v>
      </c>
      <c r="I44" s="15"/>
      <c r="J44" s="16"/>
      <c r="K44" s="326">
        <f t="shared" si="16"/>
        <v>4446</v>
      </c>
      <c r="L44" s="114"/>
      <c r="N44" s="346"/>
      <c r="O44" s="346"/>
      <c r="P44" s="346"/>
      <c r="Q44" s="346"/>
    </row>
    <row r="45" spans="1:20" s="44" customFormat="1" ht="15" customHeight="1" outlineLevel="1" thickBot="1" x14ac:dyDescent="0.3">
      <c r="A45" s="150" t="s">
        <v>21</v>
      </c>
      <c r="B45" s="672" t="s">
        <v>27</v>
      </c>
      <c r="C45" s="281">
        <f t="shared" ref="C45:K45" si="18">SUM(C38:C44)</f>
        <v>34365</v>
      </c>
      <c r="D45" s="278">
        <f t="shared" si="18"/>
        <v>6191</v>
      </c>
      <c r="E45" s="278">
        <f t="shared" si="18"/>
        <v>3870</v>
      </c>
      <c r="F45" s="278">
        <f t="shared" si="18"/>
        <v>8783</v>
      </c>
      <c r="G45" s="282">
        <f t="shared" si="18"/>
        <v>4233</v>
      </c>
      <c r="H45" s="358">
        <f t="shared" si="18"/>
        <v>4986</v>
      </c>
      <c r="I45" s="281">
        <f t="shared" si="18"/>
        <v>4460</v>
      </c>
      <c r="J45" s="282">
        <f t="shared" si="18"/>
        <v>8541</v>
      </c>
      <c r="K45" s="358">
        <f t="shared" si="18"/>
        <v>75429</v>
      </c>
      <c r="M45" s="346"/>
      <c r="N45" s="346"/>
      <c r="O45" s="346"/>
      <c r="P45" s="346"/>
      <c r="Q45" s="346"/>
      <c r="R45" s="346"/>
      <c r="S45" s="346"/>
      <c r="T45" s="346"/>
    </row>
    <row r="46" spans="1:20" s="44" customFormat="1" ht="15" customHeight="1" outlineLevel="1" thickBot="1" x14ac:dyDescent="0.3">
      <c r="A46" s="101" t="s">
        <v>23</v>
      </c>
      <c r="B46" s="672"/>
      <c r="C46" s="281">
        <f t="shared" ref="C46:K46" si="19">AVERAGE(C38:C44)</f>
        <v>4909.2857142857147</v>
      </c>
      <c r="D46" s="278">
        <f t="shared" si="19"/>
        <v>1547.75</v>
      </c>
      <c r="E46" s="278">
        <f t="shared" si="19"/>
        <v>967.5</v>
      </c>
      <c r="F46" s="278">
        <f t="shared" si="19"/>
        <v>2195.75</v>
      </c>
      <c r="G46" s="282">
        <f t="shared" si="19"/>
        <v>1411</v>
      </c>
      <c r="H46" s="358">
        <f t="shared" si="19"/>
        <v>831</v>
      </c>
      <c r="I46" s="281">
        <f t="shared" si="19"/>
        <v>1115</v>
      </c>
      <c r="J46" s="282">
        <f t="shared" si="19"/>
        <v>2135.25</v>
      </c>
      <c r="K46" s="358">
        <f t="shared" si="19"/>
        <v>10775.571428571429</v>
      </c>
      <c r="M46" s="346"/>
      <c r="N46" s="346"/>
      <c r="O46" s="346"/>
      <c r="P46" s="346"/>
      <c r="Q46" s="346"/>
      <c r="R46" s="346"/>
      <c r="S46" s="346"/>
      <c r="T46" s="346"/>
    </row>
    <row r="47" spans="1:20" s="44" customFormat="1" ht="15" customHeight="1" thickBot="1" x14ac:dyDescent="0.3">
      <c r="A47" s="23" t="s">
        <v>20</v>
      </c>
      <c r="B47" s="672"/>
      <c r="C47" s="283">
        <f t="shared" ref="C47:K47" si="20">SUM(C38:C42)</f>
        <v>27303</v>
      </c>
      <c r="D47" s="279">
        <f t="shared" si="20"/>
        <v>6191</v>
      </c>
      <c r="E47" s="279">
        <f t="shared" si="20"/>
        <v>3870</v>
      </c>
      <c r="F47" s="279">
        <f t="shared" si="20"/>
        <v>8783</v>
      </c>
      <c r="G47" s="284">
        <f t="shared" si="20"/>
        <v>1473</v>
      </c>
      <c r="H47" s="359">
        <f t="shared" si="20"/>
        <v>4427</v>
      </c>
      <c r="I47" s="283">
        <f t="shared" si="20"/>
        <v>4460</v>
      </c>
      <c r="J47" s="284">
        <f t="shared" si="20"/>
        <v>8541</v>
      </c>
      <c r="K47" s="359">
        <f t="shared" si="20"/>
        <v>65048</v>
      </c>
      <c r="M47" s="346"/>
      <c r="N47" s="346"/>
      <c r="O47" s="346"/>
      <c r="P47" s="346"/>
      <c r="Q47" s="346"/>
      <c r="R47" s="346"/>
      <c r="S47" s="346"/>
      <c r="T47" s="346"/>
    </row>
    <row r="48" spans="1:20" s="44" customFormat="1" ht="15" customHeight="1" thickBot="1" x14ac:dyDescent="0.3">
      <c r="A48" s="23" t="s">
        <v>22</v>
      </c>
      <c r="B48" s="672"/>
      <c r="C48" s="283">
        <f t="shared" ref="C48:K48" si="21">AVERAGE(C38:C42)</f>
        <v>5460.6</v>
      </c>
      <c r="D48" s="279">
        <f t="shared" si="21"/>
        <v>1547.75</v>
      </c>
      <c r="E48" s="279">
        <f t="shared" si="21"/>
        <v>967.5</v>
      </c>
      <c r="F48" s="279">
        <f t="shared" si="21"/>
        <v>2195.75</v>
      </c>
      <c r="G48" s="284">
        <f>AVERAGE(G38:G44)</f>
        <v>1411</v>
      </c>
      <c r="H48" s="359">
        <f t="shared" si="21"/>
        <v>1106.75</v>
      </c>
      <c r="I48" s="283">
        <f t="shared" si="21"/>
        <v>1115</v>
      </c>
      <c r="J48" s="284">
        <f t="shared" si="21"/>
        <v>2135.25</v>
      </c>
      <c r="K48" s="359">
        <f t="shared" si="21"/>
        <v>13009.6</v>
      </c>
      <c r="M48" s="346"/>
      <c r="N48" s="346"/>
      <c r="O48" s="346"/>
      <c r="P48" s="346"/>
      <c r="Q48" s="346"/>
      <c r="R48" s="346"/>
      <c r="S48" s="346"/>
      <c r="T48" s="346"/>
    </row>
    <row r="49" spans="1:20" s="44" customFormat="1" ht="15" customHeight="1" x14ac:dyDescent="0.25">
      <c r="A49" s="22" t="s">
        <v>3</v>
      </c>
      <c r="B49" s="168">
        <f>B44+1</f>
        <v>43885</v>
      </c>
      <c r="C49" s="298">
        <v>5804</v>
      </c>
      <c r="D49" s="195">
        <v>1660</v>
      </c>
      <c r="E49" s="195">
        <v>1129</v>
      </c>
      <c r="F49" s="196">
        <v>2381</v>
      </c>
      <c r="G49" s="209"/>
      <c r="H49" s="360">
        <v>1319</v>
      </c>
      <c r="I49" s="302">
        <v>1375</v>
      </c>
      <c r="J49" s="475">
        <v>2230</v>
      </c>
      <c r="K49" s="326">
        <f>SUM(C49:J49)</f>
        <v>15898</v>
      </c>
      <c r="M49" s="346"/>
      <c r="N49" s="346"/>
      <c r="O49" s="346"/>
      <c r="P49" s="346"/>
      <c r="Q49" s="346"/>
      <c r="R49" s="346"/>
      <c r="S49" s="346"/>
      <c r="T49" s="346"/>
    </row>
    <row r="50" spans="1:20" s="44" customFormat="1" ht="15" customHeight="1" x14ac:dyDescent="0.25">
      <c r="A50" s="141" t="s">
        <v>4</v>
      </c>
      <c r="B50" s="168">
        <f t="shared" ref="B50:B55" si="22">B49+1</f>
        <v>43886</v>
      </c>
      <c r="C50" s="298">
        <v>5956</v>
      </c>
      <c r="D50" s="195">
        <v>1648</v>
      </c>
      <c r="E50" s="196">
        <v>1061</v>
      </c>
      <c r="F50" s="196">
        <v>2190</v>
      </c>
      <c r="G50" s="209"/>
      <c r="H50" s="361">
        <v>1336</v>
      </c>
      <c r="I50" s="298">
        <v>1434</v>
      </c>
      <c r="J50" s="209">
        <v>2230</v>
      </c>
      <c r="K50" s="326">
        <f t="shared" ref="K50:K55" si="23">SUM(C50:J50)</f>
        <v>15855</v>
      </c>
      <c r="M50" s="346"/>
      <c r="N50" s="346"/>
      <c r="O50" s="346"/>
      <c r="P50" s="346"/>
      <c r="Q50" s="346"/>
      <c r="R50" s="346"/>
      <c r="S50" s="346"/>
      <c r="T50" s="346"/>
    </row>
    <row r="51" spans="1:20" s="44" customFormat="1" x14ac:dyDescent="0.25">
      <c r="A51" s="141" t="s">
        <v>5</v>
      </c>
      <c r="B51" s="168">
        <f t="shared" si="22"/>
        <v>43887</v>
      </c>
      <c r="C51" s="298">
        <v>5895</v>
      </c>
      <c r="D51" s="196">
        <v>1556</v>
      </c>
      <c r="E51" s="196">
        <v>1078</v>
      </c>
      <c r="F51" s="196">
        <v>2267</v>
      </c>
      <c r="G51" s="209"/>
      <c r="H51" s="361">
        <v>1222</v>
      </c>
      <c r="I51" s="298">
        <v>1094</v>
      </c>
      <c r="J51" s="209">
        <v>2018</v>
      </c>
      <c r="K51" s="326">
        <f t="shared" si="23"/>
        <v>15130</v>
      </c>
      <c r="M51" s="346"/>
      <c r="N51" s="346"/>
      <c r="O51" s="346"/>
      <c r="P51" s="346"/>
      <c r="Q51" s="346"/>
      <c r="R51" s="346"/>
      <c r="S51" s="346"/>
      <c r="T51" s="346"/>
    </row>
    <row r="52" spans="1:20" s="44" customFormat="1" x14ac:dyDescent="0.25">
      <c r="A52" s="141" t="s">
        <v>6</v>
      </c>
      <c r="B52" s="168">
        <f t="shared" si="22"/>
        <v>43888</v>
      </c>
      <c r="C52" s="298">
        <v>5853</v>
      </c>
      <c r="D52" s="196">
        <v>1654</v>
      </c>
      <c r="E52" s="196">
        <v>1016</v>
      </c>
      <c r="F52" s="196">
        <v>2270</v>
      </c>
      <c r="G52" s="209"/>
      <c r="H52" s="361">
        <v>1183</v>
      </c>
      <c r="I52" s="298">
        <v>1014</v>
      </c>
      <c r="J52" s="209">
        <v>2201</v>
      </c>
      <c r="K52" s="326">
        <f t="shared" si="23"/>
        <v>15191</v>
      </c>
      <c r="M52" s="346"/>
      <c r="N52" s="346"/>
      <c r="O52" s="346"/>
      <c r="P52" s="346"/>
      <c r="Q52" s="346"/>
      <c r="R52" s="346"/>
      <c r="S52" s="346"/>
    </row>
    <row r="53" spans="1:20" s="44" customFormat="1" x14ac:dyDescent="0.25">
      <c r="A53" s="22" t="s">
        <v>0</v>
      </c>
      <c r="B53" s="170">
        <f t="shared" si="22"/>
        <v>43889</v>
      </c>
      <c r="C53" s="298">
        <v>5851</v>
      </c>
      <c r="D53" s="196">
        <v>1321</v>
      </c>
      <c r="E53" s="196">
        <v>901</v>
      </c>
      <c r="F53" s="196">
        <v>1905</v>
      </c>
      <c r="G53" s="209"/>
      <c r="H53" s="361">
        <v>1065</v>
      </c>
      <c r="I53" s="298">
        <v>936</v>
      </c>
      <c r="J53" s="209">
        <v>1553</v>
      </c>
      <c r="K53" s="326">
        <f t="shared" si="23"/>
        <v>13532</v>
      </c>
      <c r="M53" s="346"/>
      <c r="N53" s="346"/>
    </row>
    <row r="54" spans="1:20" s="44" customFormat="1" outlineLevel="1" x14ac:dyDescent="0.25">
      <c r="A54" s="22" t="s">
        <v>1</v>
      </c>
      <c r="B54" s="170">
        <f t="shared" si="22"/>
        <v>43890</v>
      </c>
      <c r="C54" s="15">
        <v>2723</v>
      </c>
      <c r="D54" s="17"/>
      <c r="E54" s="17"/>
      <c r="F54" s="17"/>
      <c r="G54" s="16">
        <v>967</v>
      </c>
      <c r="H54" s="326">
        <v>296</v>
      </c>
      <c r="I54" s="15"/>
      <c r="J54" s="16"/>
      <c r="K54" s="326">
        <f t="shared" si="23"/>
        <v>3986</v>
      </c>
      <c r="O54" s="346"/>
    </row>
    <row r="55" spans="1:20" s="44" customFormat="1" ht="15.75" outlineLevel="1" thickBot="1" x14ac:dyDescent="0.3">
      <c r="A55" s="22" t="s">
        <v>2</v>
      </c>
      <c r="B55" s="170">
        <f t="shared" si="22"/>
        <v>43891</v>
      </c>
      <c r="C55" s="15"/>
      <c r="D55" s="17"/>
      <c r="E55" s="17"/>
      <c r="F55" s="17"/>
      <c r="G55" s="16"/>
      <c r="H55" s="326"/>
      <c r="I55" s="15"/>
      <c r="J55" s="16"/>
      <c r="K55" s="326">
        <f t="shared" si="23"/>
        <v>0</v>
      </c>
      <c r="O55" s="346"/>
    </row>
    <row r="56" spans="1:20" s="44" customFormat="1" ht="15" customHeight="1" outlineLevel="1" thickBot="1" x14ac:dyDescent="0.3">
      <c r="A56" s="150" t="s">
        <v>21</v>
      </c>
      <c r="B56" s="672" t="s">
        <v>28</v>
      </c>
      <c r="C56" s="281">
        <f t="shared" ref="C56:K56" si="24">SUM(C49:C55)</f>
        <v>32082</v>
      </c>
      <c r="D56" s="278">
        <f t="shared" si="24"/>
        <v>7839</v>
      </c>
      <c r="E56" s="278">
        <f t="shared" si="24"/>
        <v>5185</v>
      </c>
      <c r="F56" s="278">
        <f t="shared" si="24"/>
        <v>11013</v>
      </c>
      <c r="G56" s="282">
        <f t="shared" si="24"/>
        <v>967</v>
      </c>
      <c r="H56" s="358">
        <f t="shared" si="24"/>
        <v>6421</v>
      </c>
      <c r="I56" s="281">
        <f t="shared" si="24"/>
        <v>5853</v>
      </c>
      <c r="J56" s="282">
        <f t="shared" si="24"/>
        <v>10232</v>
      </c>
      <c r="K56" s="358">
        <f t="shared" si="24"/>
        <v>79592</v>
      </c>
    </row>
    <row r="57" spans="1:20" s="44" customFormat="1" ht="15" customHeight="1" outlineLevel="1" thickBot="1" x14ac:dyDescent="0.3">
      <c r="A57" s="101" t="s">
        <v>23</v>
      </c>
      <c r="B57" s="672"/>
      <c r="C57" s="281">
        <f t="shared" ref="C57:J57" si="25">AVERAGE(C49:C55)</f>
        <v>5347</v>
      </c>
      <c r="D57" s="278">
        <f t="shared" si="25"/>
        <v>1567.8</v>
      </c>
      <c r="E57" s="278">
        <f t="shared" si="25"/>
        <v>1037</v>
      </c>
      <c r="F57" s="278">
        <f t="shared" si="25"/>
        <v>2202.6</v>
      </c>
      <c r="G57" s="282">
        <f t="shared" si="25"/>
        <v>967</v>
      </c>
      <c r="H57" s="358">
        <f t="shared" si="25"/>
        <v>1070.1666666666667</v>
      </c>
      <c r="I57" s="281">
        <f t="shared" si="25"/>
        <v>1170.5999999999999</v>
      </c>
      <c r="J57" s="282">
        <f t="shared" si="25"/>
        <v>2046.4</v>
      </c>
      <c r="K57" s="358">
        <f>AVERAGE(K49:K55)</f>
        <v>11370.285714285714</v>
      </c>
    </row>
    <row r="58" spans="1:20" s="44" customFormat="1" ht="15" customHeight="1" thickBot="1" x14ac:dyDescent="0.3">
      <c r="A58" s="23" t="s">
        <v>20</v>
      </c>
      <c r="B58" s="672"/>
      <c r="C58" s="283">
        <f t="shared" ref="C58:K58" si="26">SUM(C49:C53)</f>
        <v>29359</v>
      </c>
      <c r="D58" s="279">
        <f t="shared" si="26"/>
        <v>7839</v>
      </c>
      <c r="E58" s="279">
        <f t="shared" si="26"/>
        <v>5185</v>
      </c>
      <c r="F58" s="279">
        <f t="shared" si="26"/>
        <v>11013</v>
      </c>
      <c r="G58" s="284">
        <f t="shared" si="26"/>
        <v>0</v>
      </c>
      <c r="H58" s="359">
        <f t="shared" si="26"/>
        <v>6125</v>
      </c>
      <c r="I58" s="283">
        <f t="shared" si="26"/>
        <v>5853</v>
      </c>
      <c r="J58" s="284">
        <f t="shared" si="26"/>
        <v>10232</v>
      </c>
      <c r="K58" s="359">
        <f t="shared" si="26"/>
        <v>75606</v>
      </c>
    </row>
    <row r="59" spans="1:20" s="44" customFormat="1" ht="14.25" thickBot="1" x14ac:dyDescent="0.3">
      <c r="A59" s="23" t="s">
        <v>22</v>
      </c>
      <c r="B59" s="673"/>
      <c r="C59" s="28">
        <f>AVERAGE(C49:C53)</f>
        <v>5871.8</v>
      </c>
      <c r="D59" s="30">
        <f>AVERAGE(D50:D53)</f>
        <v>1544.75</v>
      </c>
      <c r="E59" s="30">
        <f>AVERAGE(E50:E53)</f>
        <v>1014</v>
      </c>
      <c r="F59" s="30">
        <f t="shared" ref="F59:K59" si="27">AVERAGE(F49:F53)</f>
        <v>2202.6</v>
      </c>
      <c r="G59" s="29" t="e">
        <f t="shared" si="27"/>
        <v>#DIV/0!</v>
      </c>
      <c r="H59" s="32">
        <f>AVERAGE(H50:H53)</f>
        <v>1201.5</v>
      </c>
      <c r="I59" s="28">
        <f>AVERAGE(I50:I53)</f>
        <v>1119.5</v>
      </c>
      <c r="J59" s="29">
        <f t="shared" si="27"/>
        <v>2046.4</v>
      </c>
      <c r="K59" s="32">
        <f t="shared" si="27"/>
        <v>15121.2</v>
      </c>
    </row>
    <row r="60" spans="1:20" s="44" customFormat="1" ht="14.25" hidden="1" thickBot="1" x14ac:dyDescent="0.3">
      <c r="A60" s="141"/>
      <c r="B60" s="327"/>
      <c r="C60" s="48"/>
      <c r="D60" s="50"/>
      <c r="E60" s="50"/>
      <c r="F60" s="50"/>
      <c r="G60" s="49"/>
      <c r="H60" s="132"/>
      <c r="I60" s="9"/>
      <c r="J60" s="10"/>
      <c r="K60" s="52"/>
    </row>
    <row r="61" spans="1:20" s="44" customFormat="1" ht="14.25" hidden="1" thickBot="1" x14ac:dyDescent="0.3">
      <c r="A61" s="141"/>
      <c r="B61" s="272"/>
      <c r="C61" s="15"/>
      <c r="D61" s="17"/>
      <c r="E61" s="17"/>
      <c r="F61" s="17"/>
      <c r="G61" s="16"/>
      <c r="H61" s="132"/>
      <c r="I61" s="362"/>
      <c r="J61" s="363"/>
      <c r="K61" s="261"/>
    </row>
    <row r="62" spans="1:20" s="44" customFormat="1" ht="14.25" hidden="1" thickBot="1" x14ac:dyDescent="0.3">
      <c r="A62" s="141"/>
      <c r="B62" s="272"/>
      <c r="C62" s="15"/>
      <c r="D62" s="17"/>
      <c r="E62" s="17"/>
      <c r="F62" s="17"/>
      <c r="G62" s="16"/>
      <c r="H62" s="132"/>
      <c r="I62" s="9"/>
      <c r="J62" s="60"/>
      <c r="K62" s="326"/>
    </row>
    <row r="63" spans="1:20" s="44" customFormat="1" ht="14.25" hidden="1" thickBot="1" x14ac:dyDescent="0.3">
      <c r="A63" s="141"/>
      <c r="B63" s="272"/>
      <c r="C63" s="15"/>
      <c r="D63" s="17"/>
      <c r="E63" s="17"/>
      <c r="F63" s="17"/>
      <c r="G63" s="16"/>
      <c r="H63" s="132"/>
      <c r="I63" s="9"/>
      <c r="J63" s="60"/>
      <c r="K63" s="326"/>
    </row>
    <row r="64" spans="1:20" s="44" customFormat="1" ht="14.25" hidden="1" thickBot="1" x14ac:dyDescent="0.3">
      <c r="A64" s="22"/>
      <c r="B64" s="272"/>
      <c r="C64" s="15"/>
      <c r="D64" s="17"/>
      <c r="E64" s="17"/>
      <c r="F64" s="17"/>
      <c r="G64" s="16"/>
      <c r="H64" s="132"/>
      <c r="I64" s="9"/>
      <c r="J64" s="60"/>
      <c r="K64" s="326"/>
    </row>
    <row r="65" spans="1:15" s="44" customFormat="1" ht="14.25" hidden="1" outlineLevel="1" thickBot="1" x14ac:dyDescent="0.3">
      <c r="A65" s="22"/>
      <c r="B65" s="272"/>
      <c r="C65" s="15"/>
      <c r="D65" s="17"/>
      <c r="E65" s="17"/>
      <c r="F65" s="17"/>
      <c r="G65" s="16"/>
      <c r="H65" s="133"/>
      <c r="I65" s="15"/>
      <c r="J65" s="61"/>
      <c r="K65" s="326"/>
    </row>
    <row r="66" spans="1:15" s="44" customFormat="1" ht="14.25" hidden="1" outlineLevel="1" thickBot="1" x14ac:dyDescent="0.3">
      <c r="A66" s="22"/>
      <c r="B66" s="272"/>
      <c r="C66" s="53"/>
      <c r="D66" s="55"/>
      <c r="E66" s="55"/>
      <c r="F66" s="55"/>
      <c r="G66" s="54"/>
      <c r="H66" s="328"/>
      <c r="I66" s="18"/>
      <c r="J66" s="62"/>
      <c r="K66" s="329"/>
    </row>
    <row r="67" spans="1:15" s="44" customFormat="1" ht="14.25" hidden="1" outlineLevel="1" thickBot="1" x14ac:dyDescent="0.3">
      <c r="A67" s="150" t="s">
        <v>21</v>
      </c>
      <c r="B67" s="619" t="s">
        <v>32</v>
      </c>
      <c r="C67" s="324">
        <f>SUM(C60:C66)</f>
        <v>0</v>
      </c>
      <c r="D67" s="324">
        <f t="shared" ref="D67:K67" si="28">SUM(D60:D66)</f>
        <v>0</v>
      </c>
      <c r="E67" s="324">
        <f t="shared" si="28"/>
        <v>0</v>
      </c>
      <c r="F67" s="324">
        <f t="shared" si="28"/>
        <v>0</v>
      </c>
      <c r="G67" s="324">
        <f t="shared" si="28"/>
        <v>0</v>
      </c>
      <c r="H67" s="106">
        <f t="shared" si="28"/>
        <v>0</v>
      </c>
      <c r="I67" s="106">
        <f t="shared" si="28"/>
        <v>0</v>
      </c>
      <c r="J67" s="106">
        <f t="shared" si="28"/>
        <v>0</v>
      </c>
      <c r="K67" s="324">
        <f t="shared" si="28"/>
        <v>0</v>
      </c>
    </row>
    <row r="68" spans="1:15" s="44" customFormat="1" ht="14.25" hidden="1" outlineLevel="1" thickBot="1" x14ac:dyDescent="0.3">
      <c r="A68" s="101" t="s">
        <v>23</v>
      </c>
      <c r="B68" s="620"/>
      <c r="C68" s="102" t="e">
        <f>AVERAGE(C60:C66)</f>
        <v>#DIV/0!</v>
      </c>
      <c r="D68" s="102" t="e">
        <f t="shared" ref="D68:K68" si="29">AVERAGE(D60:D66)</f>
        <v>#DIV/0!</v>
      </c>
      <c r="E68" s="102" t="e">
        <f t="shared" si="29"/>
        <v>#DIV/0!</v>
      </c>
      <c r="F68" s="102" t="e">
        <f t="shared" si="29"/>
        <v>#DIV/0!</v>
      </c>
      <c r="G68" s="102" t="e">
        <f t="shared" si="29"/>
        <v>#DIV/0!</v>
      </c>
      <c r="H68" s="102" t="e">
        <f t="shared" si="29"/>
        <v>#DIV/0!</v>
      </c>
      <c r="I68" s="102" t="e">
        <f t="shared" si="29"/>
        <v>#DIV/0!</v>
      </c>
      <c r="J68" s="102" t="e">
        <f t="shared" si="29"/>
        <v>#DIV/0!</v>
      </c>
      <c r="K68" s="102" t="e">
        <f t="shared" si="29"/>
        <v>#DIV/0!</v>
      </c>
    </row>
    <row r="69" spans="1:15" s="44" customFormat="1" ht="14.25" hidden="1" thickBot="1" x14ac:dyDescent="0.3">
      <c r="A69" s="23" t="s">
        <v>20</v>
      </c>
      <c r="B69" s="620"/>
      <c r="C69" s="24">
        <f>SUM(C60:C64)</f>
        <v>0</v>
      </c>
      <c r="D69" s="24">
        <f t="shared" ref="D69:K69" si="30">SUM(D60:D64)</f>
        <v>0</v>
      </c>
      <c r="E69" s="24">
        <f t="shared" si="30"/>
        <v>0</v>
      </c>
      <c r="F69" s="24">
        <f t="shared" si="30"/>
        <v>0</v>
      </c>
      <c r="G69" s="24">
        <f t="shared" si="30"/>
        <v>0</v>
      </c>
      <c r="H69" s="24">
        <f t="shared" si="30"/>
        <v>0</v>
      </c>
      <c r="I69" s="24">
        <f t="shared" si="30"/>
        <v>0</v>
      </c>
      <c r="J69" s="24">
        <f t="shared" si="30"/>
        <v>0</v>
      </c>
      <c r="K69" s="24">
        <f t="shared" si="30"/>
        <v>0</v>
      </c>
    </row>
    <row r="70" spans="1:15" s="44" customFormat="1" ht="14.25" hidden="1" thickBot="1" x14ac:dyDescent="0.3">
      <c r="A70" s="23" t="s">
        <v>22</v>
      </c>
      <c r="B70" s="621"/>
      <c r="C70" s="28" t="e">
        <f>AVERAGE(C60:C64)</f>
        <v>#DIV/0!</v>
      </c>
      <c r="D70" s="28" t="e">
        <f t="shared" ref="D70:K70" si="31">AVERAGE(D60:D64)</f>
        <v>#DIV/0!</v>
      </c>
      <c r="E70" s="28" t="e">
        <f t="shared" si="31"/>
        <v>#DIV/0!</v>
      </c>
      <c r="F70" s="28" t="e">
        <f t="shared" si="31"/>
        <v>#DIV/0!</v>
      </c>
      <c r="G70" s="28" t="e">
        <f t="shared" si="31"/>
        <v>#DIV/0!</v>
      </c>
      <c r="H70" s="28" t="e">
        <f t="shared" si="31"/>
        <v>#DIV/0!</v>
      </c>
      <c r="I70" s="28" t="e">
        <f t="shared" si="31"/>
        <v>#DIV/0!</v>
      </c>
      <c r="J70" s="28" t="e">
        <f t="shared" si="31"/>
        <v>#DIV/0!</v>
      </c>
      <c r="K70" s="28" t="e">
        <f t="shared" si="31"/>
        <v>#DIV/0!</v>
      </c>
    </row>
    <row r="71" spans="1:15" s="44" customFormat="1" ht="15" customHeight="1" x14ac:dyDescent="0.25">
      <c r="A71" s="4"/>
      <c r="B71" s="123"/>
      <c r="C71" s="47"/>
      <c r="D71" s="47"/>
      <c r="E71" s="47"/>
      <c r="F71" s="47"/>
      <c r="G71" s="47"/>
      <c r="H71" s="47"/>
      <c r="I71" s="47"/>
      <c r="J71" s="47"/>
      <c r="K71" s="47"/>
    </row>
    <row r="72" spans="1:15" s="44" customFormat="1" ht="30" customHeight="1" x14ac:dyDescent="0.25">
      <c r="A72" s="181"/>
      <c r="B72" s="35" t="s">
        <v>8</v>
      </c>
      <c r="C72" s="36" t="s">
        <v>9</v>
      </c>
      <c r="D72" s="36" t="s">
        <v>10</v>
      </c>
      <c r="E72" s="57"/>
      <c r="F72" s="666" t="s">
        <v>58</v>
      </c>
      <c r="G72" s="667"/>
      <c r="H72" s="668"/>
      <c r="I72" s="57"/>
      <c r="J72" s="57"/>
      <c r="K72" s="57"/>
      <c r="L72" s="57"/>
      <c r="M72" s="47"/>
      <c r="N72" s="47"/>
      <c r="O72" s="47"/>
    </row>
    <row r="73" spans="1:15" ht="29.25" customHeight="1" x14ac:dyDescent="0.25">
      <c r="A73" s="39" t="s">
        <v>117</v>
      </c>
      <c r="B73" s="180">
        <f>SUM(C56:G56, C45:G45, C34:G34, C23:G23, C12:G12, C67:G67  )</f>
        <v>245933</v>
      </c>
      <c r="C73" s="34">
        <f>SUM(,H56:H56, H45:H45, H34:H34, H23:H23, H12:H12, H67:H67 )</f>
        <v>24757</v>
      </c>
      <c r="D73" s="34">
        <f>SUM(I56:J56, I45:J45, I34:J34, I23:J23, I12:J12, I67:J67)</f>
        <v>61138</v>
      </c>
      <c r="E73" s="58"/>
      <c r="F73" s="625" t="s">
        <v>30</v>
      </c>
      <c r="G73" s="626"/>
      <c r="H73" s="98">
        <f>SUM(K14, K25, K36, K47, K58, K69)</f>
        <v>290850</v>
      </c>
      <c r="I73" s="58"/>
      <c r="J73" s="58"/>
      <c r="K73" s="58"/>
      <c r="L73" s="58"/>
    </row>
    <row r="74" spans="1:15" ht="30" customHeight="1" x14ac:dyDescent="0.25">
      <c r="A74" s="39" t="s">
        <v>30</v>
      </c>
      <c r="B74" s="182">
        <f>SUM(C58:G58, C47:G47, C36:G36, C25:G25, C14:G14, C69:G69 )</f>
        <v>207239</v>
      </c>
      <c r="C74" s="59">
        <f>SUM(H58:H58, H47:H47, H36:H36, H25:H25, H14:H14, H69:H69)</f>
        <v>22473</v>
      </c>
      <c r="D74" s="59">
        <f>SUM(I58:J58, I47:J47, I36:J36, I25:J25, I14:J14, I69:J69)</f>
        <v>61138</v>
      </c>
      <c r="E74" s="58"/>
      <c r="F74" s="625" t="s">
        <v>117</v>
      </c>
      <c r="G74" s="626"/>
      <c r="H74" s="99">
        <f>SUM(,K56, K45, K34, K23, K12, K67)</f>
        <v>331828</v>
      </c>
      <c r="I74" s="58"/>
      <c r="J74" s="58"/>
      <c r="K74" s="58"/>
      <c r="L74" s="58"/>
    </row>
    <row r="75" spans="1:15" ht="30" customHeight="1" x14ac:dyDescent="0.25">
      <c r="F75" s="625" t="s">
        <v>22</v>
      </c>
      <c r="G75" s="626"/>
      <c r="H75" s="99">
        <f>AVERAGE(K14, K25, K36, K47, K58, K69)</f>
        <v>48475</v>
      </c>
    </row>
    <row r="76" spans="1:15" ht="30" customHeight="1" x14ac:dyDescent="0.25">
      <c r="F76" s="625" t="s">
        <v>118</v>
      </c>
      <c r="G76" s="626"/>
      <c r="H76" s="98">
        <f>AVERAGE(,K56, K45, K34, K23, K12, K67)</f>
        <v>47404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85"/>
  <sheetViews>
    <sheetView zoomScaleNormal="100" workbookViewId="0">
      <pane xSplit="2" ySplit="4" topLeftCell="C54" activePane="bottomRight" state="frozen"/>
      <selection pane="topRight" activeCell="C1" sqref="C1"/>
      <selection pane="bottomLeft" activeCell="A5" sqref="A5"/>
      <selection pane="bottomRight" activeCell="A60" sqref="A60:XFD60"/>
    </sheetView>
  </sheetViews>
  <sheetFormatPr defaultRowHeight="15" outlineLevelRow="1" x14ac:dyDescent="0.25"/>
  <cols>
    <col min="1" max="1" width="18.7109375" style="1" bestFit="1" customWidth="1"/>
    <col min="2" max="2" width="10.7109375" style="124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0"/>
      <c r="B1" s="160"/>
      <c r="C1" s="654" t="s">
        <v>8</v>
      </c>
      <c r="D1" s="655"/>
      <c r="E1" s="656"/>
      <c r="F1" s="654" t="s">
        <v>79</v>
      </c>
      <c r="G1" s="655"/>
      <c r="H1" s="656"/>
      <c r="I1" s="654" t="s">
        <v>10</v>
      </c>
      <c r="J1" s="655"/>
      <c r="K1" s="655"/>
      <c r="L1" s="660" t="s">
        <v>65</v>
      </c>
      <c r="M1" s="652" t="s">
        <v>19</v>
      </c>
    </row>
    <row r="2" spans="1:24" ht="15" customHeight="1" thickBot="1" x14ac:dyDescent="0.3">
      <c r="A2" s="21"/>
      <c r="B2" s="161"/>
      <c r="C2" s="657"/>
      <c r="D2" s="658"/>
      <c r="E2" s="659"/>
      <c r="F2" s="657"/>
      <c r="G2" s="658"/>
      <c r="H2" s="659"/>
      <c r="I2" s="657"/>
      <c r="J2" s="658"/>
      <c r="K2" s="658"/>
      <c r="L2" s="661"/>
      <c r="M2" s="653"/>
    </row>
    <row r="3" spans="1:24" ht="15" customHeight="1" x14ac:dyDescent="0.25">
      <c r="A3" s="611" t="s">
        <v>52</v>
      </c>
      <c r="B3" s="664" t="s">
        <v>53</v>
      </c>
      <c r="C3" s="674" t="s">
        <v>15</v>
      </c>
      <c r="D3" s="676" t="s">
        <v>16</v>
      </c>
      <c r="E3" s="650" t="s">
        <v>81</v>
      </c>
      <c r="F3" s="678" t="s">
        <v>15</v>
      </c>
      <c r="G3" s="676" t="s">
        <v>16</v>
      </c>
      <c r="H3" s="650" t="s">
        <v>81</v>
      </c>
      <c r="I3" s="678" t="s">
        <v>15</v>
      </c>
      <c r="J3" s="669" t="s">
        <v>17</v>
      </c>
      <c r="K3" s="676" t="s">
        <v>16</v>
      </c>
      <c r="L3" s="627" t="s">
        <v>18</v>
      </c>
      <c r="M3" s="653"/>
    </row>
    <row r="4" spans="1:24" ht="15.75" thickBot="1" x14ac:dyDescent="0.3">
      <c r="A4" s="663"/>
      <c r="B4" s="665"/>
      <c r="C4" s="675"/>
      <c r="D4" s="677"/>
      <c r="E4" s="651"/>
      <c r="F4" s="679"/>
      <c r="G4" s="677"/>
      <c r="H4" s="651"/>
      <c r="I4" s="679"/>
      <c r="J4" s="670"/>
      <c r="K4" s="677"/>
      <c r="L4" s="629"/>
      <c r="M4" s="653"/>
    </row>
    <row r="5" spans="1:24" ht="15.75" hidden="1" thickBot="1" x14ac:dyDescent="0.3">
      <c r="A5" s="477"/>
      <c r="B5" s="478"/>
      <c r="C5" s="479"/>
      <c r="D5" s="480"/>
      <c r="E5" s="481"/>
      <c r="F5" s="479"/>
      <c r="G5" s="480"/>
      <c r="H5" s="481"/>
      <c r="I5" s="482"/>
      <c r="J5" s="483"/>
      <c r="K5" s="480"/>
      <c r="L5" s="484"/>
      <c r="M5" s="485"/>
    </row>
    <row r="6" spans="1:24" s="3" customFormat="1" ht="15" hidden="1" customHeight="1" outlineLevel="1" thickBot="1" x14ac:dyDescent="0.3">
      <c r="A6" s="150" t="s">
        <v>21</v>
      </c>
      <c r="B6" s="620" t="s">
        <v>24</v>
      </c>
      <c r="C6" s="248">
        <f>SUM(C5)</f>
        <v>0</v>
      </c>
      <c r="D6" s="248">
        <f t="shared" ref="D6:L6" si="0">SUM(D5)</f>
        <v>0</v>
      </c>
      <c r="E6" s="248">
        <f t="shared" si="0"/>
        <v>0</v>
      </c>
      <c r="F6" s="248">
        <f t="shared" si="0"/>
        <v>0</v>
      </c>
      <c r="G6" s="248">
        <f t="shared" si="0"/>
        <v>0</v>
      </c>
      <c r="H6" s="248">
        <f t="shared" si="0"/>
        <v>0</v>
      </c>
      <c r="I6" s="248">
        <f t="shared" si="0"/>
        <v>0</v>
      </c>
      <c r="J6" s="248">
        <f t="shared" si="0"/>
        <v>0</v>
      </c>
      <c r="K6" s="248">
        <f t="shared" si="0"/>
        <v>0</v>
      </c>
      <c r="L6" s="248">
        <f t="shared" si="0"/>
        <v>0</v>
      </c>
      <c r="M6" s="291">
        <f>SUM(M5)</f>
        <v>0</v>
      </c>
      <c r="O6" s="346"/>
      <c r="Q6" s="346"/>
      <c r="R6" s="346"/>
    </row>
    <row r="7" spans="1:24" s="3" customFormat="1" ht="15" hidden="1" customHeight="1" outlineLevel="1" thickBot="1" x14ac:dyDescent="0.3">
      <c r="A7" s="101" t="s">
        <v>23</v>
      </c>
      <c r="B7" s="620"/>
      <c r="C7" s="248" t="e">
        <f>AVERAGE(C5)</f>
        <v>#DIV/0!</v>
      </c>
      <c r="D7" s="248" t="e">
        <f t="shared" ref="D7:L7" si="1">AVERAGE(D5)</f>
        <v>#DIV/0!</v>
      </c>
      <c r="E7" s="248" t="e">
        <f t="shared" si="1"/>
        <v>#DIV/0!</v>
      </c>
      <c r="F7" s="248" t="e">
        <f t="shared" si="1"/>
        <v>#DIV/0!</v>
      </c>
      <c r="G7" s="248" t="e">
        <f t="shared" si="1"/>
        <v>#DIV/0!</v>
      </c>
      <c r="H7" s="248" t="e">
        <f t="shared" si="1"/>
        <v>#DIV/0!</v>
      </c>
      <c r="I7" s="248" t="e">
        <f t="shared" si="1"/>
        <v>#DIV/0!</v>
      </c>
      <c r="J7" s="248" t="e">
        <f t="shared" si="1"/>
        <v>#DIV/0!</v>
      </c>
      <c r="K7" s="248" t="e">
        <f t="shared" si="1"/>
        <v>#DIV/0!</v>
      </c>
      <c r="L7" s="248" t="e">
        <f t="shared" si="1"/>
        <v>#DIV/0!</v>
      </c>
      <c r="M7" s="291" t="e">
        <f>AVERAGE(M5)</f>
        <v>#DIV/0!</v>
      </c>
      <c r="O7" s="346"/>
      <c r="Q7" s="346"/>
      <c r="R7" s="346"/>
      <c r="S7" s="346"/>
    </row>
    <row r="8" spans="1:24" s="3" customFormat="1" ht="15" hidden="1" customHeight="1" thickBot="1" x14ac:dyDescent="0.3">
      <c r="A8" s="23" t="s">
        <v>20</v>
      </c>
      <c r="B8" s="620"/>
      <c r="C8" s="250" t="e">
        <f>SUM(#REF!)</f>
        <v>#REF!</v>
      </c>
      <c r="D8" s="229" t="e">
        <f>SUM(#REF!)</f>
        <v>#REF!</v>
      </c>
      <c r="E8" s="251" t="e">
        <f>SUM(#REF!)</f>
        <v>#REF!</v>
      </c>
      <c r="F8" s="307" t="e">
        <f>SUM(#REF!)</f>
        <v>#REF!</v>
      </c>
      <c r="G8" s="229" t="e">
        <f>SUM(#REF!)</f>
        <v>#REF!</v>
      </c>
      <c r="H8" s="289" t="e">
        <f>SUM(#REF!)</f>
        <v>#REF!</v>
      </c>
      <c r="I8" s="250" t="e">
        <f>SUM(#REF!)</f>
        <v>#REF!</v>
      </c>
      <c r="J8" s="229" t="e">
        <f>SUM(#REF!)</f>
        <v>#REF!</v>
      </c>
      <c r="K8" s="289" t="e">
        <f>SUM(#REF!)</f>
        <v>#REF!</v>
      </c>
      <c r="L8" s="294" t="e">
        <f>SUM(#REF!)</f>
        <v>#REF!</v>
      </c>
      <c r="M8" s="292" t="e">
        <f>SUM(#REF!)</f>
        <v>#REF!</v>
      </c>
      <c r="O8" s="346"/>
      <c r="P8" s="346"/>
      <c r="Q8" s="346"/>
      <c r="R8" s="346"/>
      <c r="S8" s="346"/>
      <c r="T8" s="346"/>
      <c r="U8" s="346"/>
      <c r="V8" s="346"/>
      <c r="W8" s="346"/>
      <c r="X8" s="346"/>
    </row>
    <row r="9" spans="1:24" s="3" customFormat="1" ht="15" hidden="1" customHeight="1" thickBot="1" x14ac:dyDescent="0.3">
      <c r="A9" s="23" t="s">
        <v>22</v>
      </c>
      <c r="B9" s="620"/>
      <c r="C9" s="250" t="e">
        <f>AVERAGE(#REF!)</f>
        <v>#REF!</v>
      </c>
      <c r="D9" s="229" t="e">
        <f>AVERAGE(#REF!)</f>
        <v>#REF!</v>
      </c>
      <c r="E9" s="251" t="e">
        <f>AVERAGE(#REF!)</f>
        <v>#REF!</v>
      </c>
      <c r="F9" s="307" t="e">
        <f>AVERAGE(#REF!)</f>
        <v>#REF!</v>
      </c>
      <c r="G9" s="229" t="e">
        <f>AVERAGE(#REF!)</f>
        <v>#REF!</v>
      </c>
      <c r="H9" s="289" t="e">
        <f>AVERAGE(#REF!)</f>
        <v>#REF!</v>
      </c>
      <c r="I9" s="250" t="e">
        <f>AVERAGE(#REF!)</f>
        <v>#REF!</v>
      </c>
      <c r="J9" s="229" t="e">
        <f>AVERAGE(#REF!)</f>
        <v>#REF!</v>
      </c>
      <c r="K9" s="289" t="e">
        <f>AVERAGE(#REF!)</f>
        <v>#REF!</v>
      </c>
      <c r="L9" s="294" t="e">
        <f>AVERAGE(#REF!)</f>
        <v>#REF!</v>
      </c>
      <c r="M9" s="292" t="e">
        <f>AVERAGE(#REF!)</f>
        <v>#REF!</v>
      </c>
      <c r="O9" s="346"/>
      <c r="P9" s="346"/>
      <c r="Q9" s="346"/>
      <c r="R9" s="346"/>
      <c r="S9" s="346"/>
      <c r="T9" s="346"/>
      <c r="U9" s="346"/>
      <c r="V9" s="346"/>
      <c r="W9" s="346"/>
      <c r="X9" s="346"/>
    </row>
    <row r="10" spans="1:24" s="2" customFormat="1" hidden="1" x14ac:dyDescent="0.25">
      <c r="A10" s="22" t="s">
        <v>3</v>
      </c>
      <c r="B10" s="364">
        <v>43857</v>
      </c>
      <c r="C10" s="368"/>
      <c r="D10" s="369"/>
      <c r="E10" s="370"/>
      <c r="F10" s="366"/>
      <c r="G10" s="217"/>
      <c r="H10" s="342"/>
      <c r="I10" s="256"/>
      <c r="J10" s="217"/>
      <c r="K10" s="342"/>
      <c r="L10" s="422"/>
      <c r="M10" s="14">
        <f t="shared" ref="M10:M16" si="2">SUM(C10:L10)</f>
        <v>0</v>
      </c>
      <c r="O10" s="346"/>
      <c r="P10" s="346"/>
      <c r="Q10" s="346"/>
      <c r="R10" s="346"/>
      <c r="S10" s="346"/>
      <c r="T10" s="346"/>
      <c r="U10" s="346"/>
      <c r="V10" s="346"/>
      <c r="W10" s="346"/>
    </row>
    <row r="11" spans="1:24" s="2" customFormat="1" hidden="1" x14ac:dyDescent="0.25">
      <c r="A11" s="22" t="s">
        <v>4</v>
      </c>
      <c r="B11" s="365">
        <v>43858</v>
      </c>
      <c r="C11" s="247"/>
      <c r="D11" s="214"/>
      <c r="E11" s="238"/>
      <c r="F11" s="263"/>
      <c r="G11" s="214"/>
      <c r="H11" s="238"/>
      <c r="I11" s="247"/>
      <c r="J11" s="214"/>
      <c r="K11" s="238"/>
      <c r="L11" s="184"/>
      <c r="M11" s="295">
        <f t="shared" si="2"/>
        <v>0</v>
      </c>
      <c r="O11" s="346"/>
      <c r="P11" s="346"/>
      <c r="Q11" s="346"/>
      <c r="R11" s="346"/>
      <c r="S11" s="346"/>
      <c r="T11" s="346"/>
      <c r="U11" s="346"/>
      <c r="V11" s="346"/>
      <c r="W11" s="346"/>
    </row>
    <row r="12" spans="1:24" s="2" customFormat="1" hidden="1" outlineLevel="1" x14ac:dyDescent="0.25">
      <c r="A12" s="22" t="s">
        <v>5</v>
      </c>
      <c r="B12" s="365">
        <v>43859</v>
      </c>
      <c r="C12" s="247"/>
      <c r="D12" s="214"/>
      <c r="E12" s="238"/>
      <c r="F12" s="367"/>
      <c r="G12" s="214"/>
      <c r="H12" s="238"/>
      <c r="I12" s="247"/>
      <c r="J12" s="214"/>
      <c r="K12" s="238"/>
      <c r="L12" s="184"/>
      <c r="M12" s="295">
        <f t="shared" si="2"/>
        <v>0</v>
      </c>
      <c r="O12" s="346"/>
      <c r="P12" s="346"/>
      <c r="Q12" s="346"/>
      <c r="R12" s="346"/>
      <c r="S12" s="346"/>
      <c r="T12" s="346"/>
      <c r="U12" s="346"/>
      <c r="V12" s="346"/>
      <c r="W12" s="346"/>
    </row>
    <row r="13" spans="1:24" s="2" customFormat="1" hidden="1" outlineLevel="1" x14ac:dyDescent="0.25">
      <c r="A13" s="22" t="s">
        <v>6</v>
      </c>
      <c r="B13" s="365">
        <v>43860</v>
      </c>
      <c r="C13" s="247"/>
      <c r="D13" s="214"/>
      <c r="E13" s="238"/>
      <c r="F13" s="367"/>
      <c r="G13" s="214"/>
      <c r="H13" s="238"/>
      <c r="I13" s="247"/>
      <c r="J13" s="214"/>
      <c r="K13" s="238"/>
      <c r="L13" s="184"/>
      <c r="M13" s="295">
        <f t="shared" si="2"/>
        <v>0</v>
      </c>
      <c r="N13" s="142"/>
      <c r="O13" s="346"/>
      <c r="P13" s="346"/>
      <c r="Q13" s="346"/>
      <c r="R13" s="346"/>
      <c r="S13" s="346"/>
      <c r="T13" s="346"/>
      <c r="U13" s="346"/>
      <c r="V13" s="346"/>
      <c r="W13" s="346"/>
    </row>
    <row r="14" spans="1:24" s="2" customFormat="1" hidden="1" outlineLevel="1" x14ac:dyDescent="0.25">
      <c r="A14" s="22" t="s">
        <v>0</v>
      </c>
      <c r="B14" s="365">
        <v>43861</v>
      </c>
      <c r="C14" s="247"/>
      <c r="D14" s="214"/>
      <c r="E14" s="238"/>
      <c r="F14" s="367"/>
      <c r="G14" s="214"/>
      <c r="H14" s="238"/>
      <c r="I14" s="247"/>
      <c r="J14" s="214"/>
      <c r="K14" s="238"/>
      <c r="L14" s="184"/>
      <c r="M14" s="295">
        <f t="shared" si="2"/>
        <v>0</v>
      </c>
      <c r="N14" s="142"/>
      <c r="O14" s="346"/>
      <c r="P14" s="346"/>
      <c r="Q14" s="346"/>
      <c r="R14" s="346"/>
      <c r="S14" s="346"/>
      <c r="T14" s="346"/>
      <c r="U14" s="346"/>
      <c r="V14" s="346"/>
      <c r="W14" s="346"/>
    </row>
    <row r="15" spans="1:24" s="2" customFormat="1" outlineLevel="1" x14ac:dyDescent="0.25">
      <c r="A15" s="22" t="s">
        <v>1</v>
      </c>
      <c r="B15" s="365">
        <v>43862</v>
      </c>
      <c r="C15" s="247">
        <v>122</v>
      </c>
      <c r="D15" s="214">
        <v>92</v>
      </c>
      <c r="E15" s="238">
        <v>76</v>
      </c>
      <c r="F15" s="263">
        <v>1043</v>
      </c>
      <c r="G15" s="214">
        <v>499</v>
      </c>
      <c r="H15" s="238">
        <v>11051</v>
      </c>
      <c r="I15" s="247"/>
      <c r="J15" s="214"/>
      <c r="K15" s="238"/>
      <c r="L15" s="184"/>
      <c r="M15" s="295">
        <f t="shared" si="2"/>
        <v>12883</v>
      </c>
      <c r="N15" s="142"/>
      <c r="O15" s="346"/>
      <c r="P15" s="346"/>
      <c r="Q15" s="346"/>
      <c r="R15" s="346"/>
      <c r="S15" s="346"/>
      <c r="T15" s="346"/>
      <c r="U15" s="346"/>
      <c r="V15" s="346"/>
      <c r="W15" s="346"/>
    </row>
    <row r="16" spans="1:24" s="2" customFormat="1" ht="15" customHeight="1" outlineLevel="1" thickBot="1" x14ac:dyDescent="0.3">
      <c r="A16" s="22" t="s">
        <v>2</v>
      </c>
      <c r="B16" s="365">
        <v>43863</v>
      </c>
      <c r="C16" s="247">
        <v>99</v>
      </c>
      <c r="D16" s="214">
        <v>33</v>
      </c>
      <c r="E16" s="238">
        <v>98</v>
      </c>
      <c r="F16" s="263">
        <v>766</v>
      </c>
      <c r="G16" s="214">
        <v>281</v>
      </c>
      <c r="H16" s="238">
        <v>7965</v>
      </c>
      <c r="I16" s="247"/>
      <c r="J16" s="214"/>
      <c r="K16" s="238"/>
      <c r="L16" s="184"/>
      <c r="M16" s="295">
        <f t="shared" si="2"/>
        <v>9242</v>
      </c>
      <c r="N16" s="142"/>
      <c r="O16" s="346"/>
      <c r="P16" s="346"/>
      <c r="R16" s="346"/>
      <c r="S16" s="346"/>
      <c r="V16" s="346"/>
      <c r="W16" s="346"/>
    </row>
    <row r="17" spans="1:25" s="3" customFormat="1" ht="15" customHeight="1" outlineLevel="1" thickBot="1" x14ac:dyDescent="0.3">
      <c r="A17" s="150" t="s">
        <v>21</v>
      </c>
      <c r="B17" s="620" t="s">
        <v>24</v>
      </c>
      <c r="C17" s="248">
        <f t="shared" ref="C17:L17" si="3">SUM(C10:C16)</f>
        <v>221</v>
      </c>
      <c r="D17" s="228">
        <f t="shared" si="3"/>
        <v>125</v>
      </c>
      <c r="E17" s="249">
        <f t="shared" si="3"/>
        <v>174</v>
      </c>
      <c r="F17" s="306">
        <f t="shared" si="3"/>
        <v>1809</v>
      </c>
      <c r="G17" s="228">
        <f t="shared" si="3"/>
        <v>780</v>
      </c>
      <c r="H17" s="288">
        <f t="shared" si="3"/>
        <v>19016</v>
      </c>
      <c r="I17" s="248">
        <f t="shared" si="3"/>
        <v>0</v>
      </c>
      <c r="J17" s="228">
        <f t="shared" si="3"/>
        <v>0</v>
      </c>
      <c r="K17" s="288">
        <f t="shared" si="3"/>
        <v>0</v>
      </c>
      <c r="L17" s="293">
        <f t="shared" si="3"/>
        <v>0</v>
      </c>
      <c r="M17" s="291">
        <f>SUM(M10:M16)</f>
        <v>22125</v>
      </c>
      <c r="O17" s="346"/>
      <c r="P17" s="346"/>
      <c r="Q17" s="346"/>
      <c r="R17" s="346"/>
      <c r="S17" s="346"/>
      <c r="T17" s="346"/>
    </row>
    <row r="18" spans="1:25" s="3" customFormat="1" ht="15" customHeight="1" outlineLevel="1" thickBot="1" x14ac:dyDescent="0.3">
      <c r="A18" s="101" t="s">
        <v>23</v>
      </c>
      <c r="B18" s="620"/>
      <c r="C18" s="248">
        <f>AVERAGE(C10:C16)</f>
        <v>110.5</v>
      </c>
      <c r="D18" s="228">
        <f>AVERAGE(D10:D16)</f>
        <v>62.5</v>
      </c>
      <c r="E18" s="249">
        <f>AVERAGE(E10:E16)</f>
        <v>87</v>
      </c>
      <c r="F18" s="306">
        <f t="shared" ref="F18:L18" si="4">AVERAGE(F10:F16)</f>
        <v>904.5</v>
      </c>
      <c r="G18" s="228">
        <f t="shared" si="4"/>
        <v>390</v>
      </c>
      <c r="H18" s="288">
        <f>AVERAGE(H10:H16)</f>
        <v>9508</v>
      </c>
      <c r="I18" s="248" t="e">
        <f t="shared" si="4"/>
        <v>#DIV/0!</v>
      </c>
      <c r="J18" s="228" t="e">
        <f t="shared" si="4"/>
        <v>#DIV/0!</v>
      </c>
      <c r="K18" s="288" t="e">
        <f t="shared" si="4"/>
        <v>#DIV/0!</v>
      </c>
      <c r="L18" s="293" t="e">
        <f t="shared" si="4"/>
        <v>#DIV/0!</v>
      </c>
      <c r="M18" s="291">
        <f>AVERAGE(M10:M16)</f>
        <v>3160.7142857142858</v>
      </c>
      <c r="O18" s="346"/>
      <c r="P18" s="346"/>
      <c r="Q18" s="346"/>
      <c r="R18" s="346"/>
      <c r="S18" s="346"/>
      <c r="T18" s="346"/>
    </row>
    <row r="19" spans="1:25" s="3" customFormat="1" ht="15" customHeight="1" thickBot="1" x14ac:dyDescent="0.3">
      <c r="A19" s="23" t="s">
        <v>20</v>
      </c>
      <c r="B19" s="620"/>
      <c r="C19" s="250">
        <f t="shared" ref="C19:L19" si="5">SUM(C10:C14)</f>
        <v>0</v>
      </c>
      <c r="D19" s="229">
        <f t="shared" si="5"/>
        <v>0</v>
      </c>
      <c r="E19" s="251">
        <f t="shared" si="5"/>
        <v>0</v>
      </c>
      <c r="F19" s="307">
        <f t="shared" si="5"/>
        <v>0</v>
      </c>
      <c r="G19" s="229">
        <f t="shared" si="5"/>
        <v>0</v>
      </c>
      <c r="H19" s="289">
        <f t="shared" si="5"/>
        <v>0</v>
      </c>
      <c r="I19" s="250">
        <f t="shared" si="5"/>
        <v>0</v>
      </c>
      <c r="J19" s="229">
        <f t="shared" si="5"/>
        <v>0</v>
      </c>
      <c r="K19" s="289">
        <f t="shared" si="5"/>
        <v>0</v>
      </c>
      <c r="L19" s="294">
        <f t="shared" si="5"/>
        <v>0</v>
      </c>
      <c r="M19" s="292">
        <f>SUM(M10:M14)</f>
        <v>0</v>
      </c>
      <c r="O19" s="346"/>
      <c r="P19" s="346"/>
      <c r="Q19" s="346"/>
      <c r="R19" s="346"/>
      <c r="S19" s="346"/>
      <c r="T19" s="346"/>
      <c r="U19" s="346"/>
      <c r="V19" s="346"/>
      <c r="W19" s="346"/>
      <c r="X19" s="346"/>
    </row>
    <row r="20" spans="1:25" s="3" customFormat="1" ht="15" customHeight="1" thickBot="1" x14ac:dyDescent="0.3">
      <c r="A20" s="23" t="s">
        <v>22</v>
      </c>
      <c r="B20" s="620"/>
      <c r="C20" s="250" t="e">
        <f>AVERAGE(C10:C14)</f>
        <v>#DIV/0!</v>
      </c>
      <c r="D20" s="229" t="e">
        <f t="shared" ref="D20:L20" si="6">AVERAGE(D10:D14)</f>
        <v>#DIV/0!</v>
      </c>
      <c r="E20" s="251" t="e">
        <f>AVERAGE(E10:E14)</f>
        <v>#DIV/0!</v>
      </c>
      <c r="F20" s="307" t="e">
        <f>AVERAGE(F10:F14)</f>
        <v>#DIV/0!</v>
      </c>
      <c r="G20" s="229" t="e">
        <f t="shared" si="6"/>
        <v>#DIV/0!</v>
      </c>
      <c r="H20" s="289" t="e">
        <f>AVERAGE(H10:H14)</f>
        <v>#DIV/0!</v>
      </c>
      <c r="I20" s="250" t="e">
        <f>AVERAGE(I10:I14)</f>
        <v>#DIV/0!</v>
      </c>
      <c r="J20" s="229" t="e">
        <f t="shared" si="6"/>
        <v>#DIV/0!</v>
      </c>
      <c r="K20" s="289" t="e">
        <f t="shared" si="6"/>
        <v>#DIV/0!</v>
      </c>
      <c r="L20" s="294" t="e">
        <f t="shared" si="6"/>
        <v>#DIV/0!</v>
      </c>
      <c r="M20" s="292">
        <f>AVERAGE(M10:M14)</f>
        <v>0</v>
      </c>
      <c r="O20" s="346"/>
      <c r="P20" s="346"/>
      <c r="Q20" s="346"/>
      <c r="R20" s="346"/>
      <c r="S20" s="346"/>
      <c r="T20" s="346"/>
      <c r="U20" s="346"/>
      <c r="V20" s="346"/>
      <c r="W20" s="346"/>
      <c r="X20" s="346"/>
    </row>
    <row r="21" spans="1:25" s="3" customFormat="1" ht="15" customHeight="1" x14ac:dyDescent="0.25">
      <c r="A21" s="22" t="s">
        <v>3</v>
      </c>
      <c r="B21" s="162">
        <f>B16+1</f>
        <v>43864</v>
      </c>
      <c r="C21" s="247">
        <v>290</v>
      </c>
      <c r="D21" s="214">
        <v>65</v>
      </c>
      <c r="E21" s="238">
        <v>275</v>
      </c>
      <c r="F21" s="263">
        <v>3301</v>
      </c>
      <c r="G21" s="214">
        <v>2781</v>
      </c>
      <c r="H21" s="236">
        <v>316</v>
      </c>
      <c r="I21" s="247">
        <v>634</v>
      </c>
      <c r="J21" s="214">
        <v>462</v>
      </c>
      <c r="K21" s="236">
        <v>2206</v>
      </c>
      <c r="L21" s="184">
        <v>354</v>
      </c>
      <c r="M21" s="295">
        <f t="shared" ref="M21:M26" si="7">SUM(C21:L21)</f>
        <v>10684</v>
      </c>
      <c r="O21" s="346"/>
      <c r="P21" s="346"/>
      <c r="Q21" s="346"/>
      <c r="R21" s="346"/>
      <c r="S21" s="346"/>
      <c r="T21" s="346"/>
      <c r="U21" s="346"/>
      <c r="V21" s="346"/>
      <c r="W21" s="346"/>
      <c r="X21" s="346"/>
    </row>
    <row r="22" spans="1:25" s="3" customFormat="1" ht="15" customHeight="1" x14ac:dyDescent="0.25">
      <c r="A22" s="22" t="s">
        <v>4</v>
      </c>
      <c r="B22" s="163">
        <f t="shared" ref="B22:B27" si="8">B21+1</f>
        <v>43865</v>
      </c>
      <c r="C22" s="247">
        <v>295</v>
      </c>
      <c r="D22" s="214">
        <v>75</v>
      </c>
      <c r="E22" s="238">
        <v>277</v>
      </c>
      <c r="F22" s="263">
        <v>2877</v>
      </c>
      <c r="G22" s="214">
        <v>2711</v>
      </c>
      <c r="H22" s="236">
        <v>321</v>
      </c>
      <c r="I22" s="247">
        <v>681</v>
      </c>
      <c r="J22" s="214">
        <v>432</v>
      </c>
      <c r="K22" s="236">
        <v>2162</v>
      </c>
      <c r="L22" s="184">
        <v>391</v>
      </c>
      <c r="M22" s="295">
        <f t="shared" si="7"/>
        <v>10222</v>
      </c>
      <c r="O22" s="346"/>
      <c r="P22" s="346"/>
      <c r="Q22" s="346"/>
      <c r="R22" s="346"/>
      <c r="S22" s="346"/>
      <c r="T22" s="346"/>
      <c r="U22" s="346"/>
      <c r="V22" s="346"/>
      <c r="W22" s="346"/>
      <c r="X22" s="346"/>
    </row>
    <row r="23" spans="1:25" s="3" customFormat="1" ht="15" customHeight="1" x14ac:dyDescent="0.25">
      <c r="A23" s="22" t="s">
        <v>5</v>
      </c>
      <c r="B23" s="163">
        <f t="shared" si="8"/>
        <v>43866</v>
      </c>
      <c r="C23" s="247">
        <v>340</v>
      </c>
      <c r="D23" s="214">
        <v>76</v>
      </c>
      <c r="E23" s="238">
        <v>294</v>
      </c>
      <c r="F23" s="263">
        <v>3308</v>
      </c>
      <c r="G23" s="214">
        <v>2367</v>
      </c>
      <c r="H23" s="236">
        <v>297</v>
      </c>
      <c r="I23" s="247">
        <v>644</v>
      </c>
      <c r="J23" s="214">
        <v>424</v>
      </c>
      <c r="K23" s="236">
        <v>2283</v>
      </c>
      <c r="L23" s="184">
        <v>357</v>
      </c>
      <c r="M23" s="295">
        <f t="shared" si="7"/>
        <v>10390</v>
      </c>
      <c r="O23" s="346"/>
      <c r="P23" s="346"/>
      <c r="Q23" s="346"/>
      <c r="R23" s="346"/>
      <c r="S23" s="346"/>
      <c r="T23" s="346"/>
      <c r="U23" s="346"/>
      <c r="V23" s="346"/>
      <c r="W23" s="346"/>
      <c r="X23" s="346"/>
    </row>
    <row r="24" spans="1:25" s="3" customFormat="1" ht="15" customHeight="1" x14ac:dyDescent="0.25">
      <c r="A24" s="22" t="s">
        <v>6</v>
      </c>
      <c r="B24" s="164">
        <f t="shared" si="8"/>
        <v>43867</v>
      </c>
      <c r="C24" s="247">
        <v>353</v>
      </c>
      <c r="D24" s="214">
        <v>145</v>
      </c>
      <c r="E24" s="238">
        <v>304</v>
      </c>
      <c r="F24" s="263">
        <v>3162</v>
      </c>
      <c r="G24" s="214">
        <v>2441</v>
      </c>
      <c r="H24" s="236">
        <v>280</v>
      </c>
      <c r="I24" s="247">
        <v>668</v>
      </c>
      <c r="J24" s="214">
        <v>412</v>
      </c>
      <c r="K24" s="236">
        <v>1998</v>
      </c>
      <c r="L24" s="184">
        <v>391</v>
      </c>
      <c r="M24" s="295">
        <f t="shared" si="7"/>
        <v>10154</v>
      </c>
      <c r="O24" s="346"/>
      <c r="P24" s="346"/>
      <c r="Q24" s="346"/>
      <c r="R24" s="346"/>
      <c r="S24" s="346"/>
      <c r="T24" s="346"/>
      <c r="U24" s="346"/>
      <c r="V24" s="346"/>
      <c r="W24" s="346"/>
      <c r="X24" s="346"/>
    </row>
    <row r="25" spans="1:25" s="3" customFormat="1" ht="15" customHeight="1" x14ac:dyDescent="0.25">
      <c r="A25" s="22" t="s">
        <v>0</v>
      </c>
      <c r="B25" s="164">
        <f t="shared" si="8"/>
        <v>43868</v>
      </c>
      <c r="C25" s="247">
        <v>235</v>
      </c>
      <c r="D25" s="214">
        <v>51</v>
      </c>
      <c r="E25" s="238">
        <v>215</v>
      </c>
      <c r="F25" s="263">
        <v>3042</v>
      </c>
      <c r="G25" s="214">
        <v>1803</v>
      </c>
      <c r="H25" s="236">
        <v>313</v>
      </c>
      <c r="I25" s="247">
        <v>578</v>
      </c>
      <c r="J25" s="214">
        <v>346</v>
      </c>
      <c r="K25" s="236">
        <v>1529</v>
      </c>
      <c r="L25" s="184">
        <v>305</v>
      </c>
      <c r="M25" s="295">
        <f t="shared" si="7"/>
        <v>8417</v>
      </c>
      <c r="O25" s="346"/>
      <c r="P25" s="346"/>
      <c r="Q25" s="346"/>
      <c r="R25" s="346"/>
      <c r="S25" s="346"/>
      <c r="T25" s="346"/>
      <c r="U25" s="346"/>
      <c r="V25" s="346"/>
      <c r="W25" s="346"/>
    </row>
    <row r="26" spans="1:25" s="3" customFormat="1" ht="15" customHeight="1" outlineLevel="1" x14ac:dyDescent="0.25">
      <c r="A26" s="22" t="s">
        <v>1</v>
      </c>
      <c r="B26" s="176">
        <f t="shared" si="8"/>
        <v>43869</v>
      </c>
      <c r="C26" s="247">
        <v>128</v>
      </c>
      <c r="D26" s="371">
        <v>74</v>
      </c>
      <c r="E26" s="238">
        <v>70</v>
      </c>
      <c r="F26" s="263">
        <v>1038</v>
      </c>
      <c r="G26" s="214">
        <v>448</v>
      </c>
      <c r="H26" s="236">
        <v>10733</v>
      </c>
      <c r="I26" s="247"/>
      <c r="J26" s="214"/>
      <c r="K26" s="236"/>
      <c r="L26" s="184"/>
      <c r="M26" s="295">
        <f t="shared" si="7"/>
        <v>12491</v>
      </c>
      <c r="O26" s="346"/>
      <c r="P26" s="346"/>
      <c r="Q26" s="346"/>
      <c r="R26" s="346"/>
      <c r="S26" s="346"/>
      <c r="T26" s="346"/>
      <c r="U26" s="346"/>
      <c r="V26" s="346"/>
      <c r="W26" s="346"/>
    </row>
    <row r="27" spans="1:25" s="3" customFormat="1" ht="15" customHeight="1" outlineLevel="1" thickBot="1" x14ac:dyDescent="0.3">
      <c r="A27" s="22" t="s">
        <v>2</v>
      </c>
      <c r="B27" s="163">
        <f t="shared" si="8"/>
        <v>43870</v>
      </c>
      <c r="C27" s="247">
        <v>66</v>
      </c>
      <c r="D27" s="214">
        <v>60</v>
      </c>
      <c r="E27" s="238">
        <v>62</v>
      </c>
      <c r="F27" s="263">
        <v>804</v>
      </c>
      <c r="G27" s="214">
        <v>456</v>
      </c>
      <c r="H27" s="236">
        <v>9025</v>
      </c>
      <c r="I27" s="247"/>
      <c r="J27" s="214"/>
      <c r="K27" s="236"/>
      <c r="L27" s="184"/>
      <c r="M27" s="295">
        <f>SUM(C27:L27)</f>
        <v>10473</v>
      </c>
      <c r="O27" s="346"/>
      <c r="P27" s="346"/>
      <c r="Q27" s="346"/>
      <c r="R27" s="346"/>
      <c r="S27" s="346"/>
      <c r="T27" s="346"/>
      <c r="U27" s="346"/>
      <c r="V27" s="346"/>
      <c r="W27" s="346"/>
    </row>
    <row r="28" spans="1:25" s="3" customFormat="1" ht="15" customHeight="1" outlineLevel="1" thickBot="1" x14ac:dyDescent="0.3">
      <c r="A28" s="150" t="s">
        <v>21</v>
      </c>
      <c r="B28" s="619" t="s">
        <v>25</v>
      </c>
      <c r="C28" s="248">
        <f>SUM(C21:C27)</f>
        <v>1707</v>
      </c>
      <c r="D28" s="228">
        <f>SUM(D21:D27)</f>
        <v>546</v>
      </c>
      <c r="E28" s="249">
        <f>SUM(E21:E27)</f>
        <v>1497</v>
      </c>
      <c r="F28" s="306">
        <f t="shared" ref="F28:L28" si="9">SUM(F21:F27)</f>
        <v>17532</v>
      </c>
      <c r="G28" s="228">
        <f t="shared" si="9"/>
        <v>13007</v>
      </c>
      <c r="H28" s="288">
        <f>SUM(H21:H27)</f>
        <v>21285</v>
      </c>
      <c r="I28" s="248">
        <f t="shared" si="9"/>
        <v>3205</v>
      </c>
      <c r="J28" s="228">
        <f t="shared" si="9"/>
        <v>2076</v>
      </c>
      <c r="K28" s="288">
        <f t="shared" si="9"/>
        <v>10178</v>
      </c>
      <c r="L28" s="293">
        <f t="shared" si="9"/>
        <v>1798</v>
      </c>
      <c r="M28" s="291">
        <f>SUM(M21:M27)</f>
        <v>72831</v>
      </c>
      <c r="O28" s="346"/>
      <c r="P28" s="346"/>
      <c r="Q28" s="346"/>
      <c r="R28" s="346"/>
      <c r="S28" s="346"/>
      <c r="T28" s="346"/>
      <c r="U28" s="346"/>
      <c r="V28" s="346"/>
      <c r="W28" s="346"/>
      <c r="X28" s="346"/>
    </row>
    <row r="29" spans="1:25" s="3" customFormat="1" ht="15" customHeight="1" outlineLevel="1" thickBot="1" x14ac:dyDescent="0.3">
      <c r="A29" s="101" t="s">
        <v>23</v>
      </c>
      <c r="B29" s="620"/>
      <c r="C29" s="248">
        <f>AVERAGE(C21:C27)</f>
        <v>243.85714285714286</v>
      </c>
      <c r="D29" s="228">
        <f>AVERAGE(D21:D27)</f>
        <v>78</v>
      </c>
      <c r="E29" s="249">
        <f>AVERAGE(E21:E27)</f>
        <v>213.85714285714286</v>
      </c>
      <c r="F29" s="306">
        <f t="shared" ref="F29:M29" si="10">AVERAGE(F21:F27)</f>
        <v>2504.5714285714284</v>
      </c>
      <c r="G29" s="228">
        <f t="shared" si="10"/>
        <v>1858.1428571428571</v>
      </c>
      <c r="H29" s="288">
        <f>AVERAGE(H21:H27)</f>
        <v>3040.7142857142858</v>
      </c>
      <c r="I29" s="248">
        <f t="shared" si="10"/>
        <v>641</v>
      </c>
      <c r="J29" s="228">
        <f t="shared" si="10"/>
        <v>415.2</v>
      </c>
      <c r="K29" s="288">
        <f t="shared" si="10"/>
        <v>2035.6</v>
      </c>
      <c r="L29" s="293">
        <f t="shared" si="10"/>
        <v>359.6</v>
      </c>
      <c r="M29" s="291">
        <f t="shared" si="10"/>
        <v>10404.428571428571</v>
      </c>
      <c r="O29" s="346"/>
      <c r="P29" s="346"/>
      <c r="Q29" s="346"/>
      <c r="R29" s="346"/>
      <c r="S29" s="346"/>
      <c r="T29" s="346"/>
      <c r="U29" s="346"/>
      <c r="V29" s="346"/>
      <c r="W29" s="346"/>
      <c r="X29" s="346"/>
    </row>
    <row r="30" spans="1:25" s="3" customFormat="1" ht="15" customHeight="1" thickBot="1" x14ac:dyDescent="0.3">
      <c r="A30" s="23" t="s">
        <v>20</v>
      </c>
      <c r="B30" s="620"/>
      <c r="C30" s="250">
        <f>SUM(C21:C25)</f>
        <v>1513</v>
      </c>
      <c r="D30" s="229">
        <f>SUM(D21:D25)</f>
        <v>412</v>
      </c>
      <c r="E30" s="251">
        <f>SUM(E21:E25)</f>
        <v>1365</v>
      </c>
      <c r="F30" s="307">
        <f t="shared" ref="F30:L30" si="11">SUM(F21:F25)</f>
        <v>15690</v>
      </c>
      <c r="G30" s="229">
        <f>SUM(G21:G25)</f>
        <v>12103</v>
      </c>
      <c r="H30" s="289">
        <f>SUM(H21:H25)</f>
        <v>1527</v>
      </c>
      <c r="I30" s="250">
        <f>SUM(I21:I25)</f>
        <v>3205</v>
      </c>
      <c r="J30" s="229">
        <f t="shared" si="11"/>
        <v>2076</v>
      </c>
      <c r="K30" s="289">
        <f>SUM(K21:K25)</f>
        <v>10178</v>
      </c>
      <c r="L30" s="294">
        <f t="shared" si="11"/>
        <v>1798</v>
      </c>
      <c r="M30" s="292">
        <f>SUM(M21:M25)</f>
        <v>49867</v>
      </c>
      <c r="O30" s="346"/>
      <c r="P30" s="346"/>
      <c r="Q30" s="346"/>
      <c r="R30" s="346"/>
      <c r="S30" s="346"/>
      <c r="T30" s="346"/>
      <c r="U30" s="346"/>
      <c r="V30" s="346"/>
      <c r="W30" s="346"/>
      <c r="X30" s="346"/>
    </row>
    <row r="31" spans="1:25" s="3" customFormat="1" ht="15" customHeight="1" thickBot="1" x14ac:dyDescent="0.3">
      <c r="A31" s="23" t="s">
        <v>22</v>
      </c>
      <c r="B31" s="621"/>
      <c r="C31" s="250">
        <f>AVERAGE(C21:C25)</f>
        <v>302.60000000000002</v>
      </c>
      <c r="D31" s="229" t="e">
        <f>AVERAGE(D16:D24)</f>
        <v>#DIV/0!</v>
      </c>
      <c r="E31" s="251">
        <f>AVERAGE(E21:E25)</f>
        <v>273</v>
      </c>
      <c r="F31" s="307">
        <f t="shared" ref="F31:M31" si="12">AVERAGE(F21:F25)</f>
        <v>3138</v>
      </c>
      <c r="G31" s="229">
        <f t="shared" si="12"/>
        <v>2420.6</v>
      </c>
      <c r="H31" s="289">
        <f>AVERAGE(H21:H25)</f>
        <v>305.39999999999998</v>
      </c>
      <c r="I31" s="250">
        <f>AVERAGE(I21:I25)</f>
        <v>641</v>
      </c>
      <c r="J31" s="229">
        <f t="shared" si="12"/>
        <v>415.2</v>
      </c>
      <c r="K31" s="289">
        <f t="shared" si="12"/>
        <v>2035.6</v>
      </c>
      <c r="L31" s="294">
        <f t="shared" si="12"/>
        <v>359.6</v>
      </c>
      <c r="M31" s="292">
        <f t="shared" si="12"/>
        <v>9973.4</v>
      </c>
      <c r="O31" s="346"/>
      <c r="P31" s="346"/>
      <c r="Q31" s="346"/>
      <c r="R31" s="346"/>
      <c r="S31" s="346"/>
      <c r="T31" s="346"/>
      <c r="U31" s="346"/>
      <c r="V31" s="346"/>
      <c r="W31" s="346"/>
      <c r="X31" s="346"/>
    </row>
    <row r="32" spans="1:25" s="3" customFormat="1" ht="15" customHeight="1" x14ac:dyDescent="0.25">
      <c r="A32" s="22" t="s">
        <v>3</v>
      </c>
      <c r="B32" s="165">
        <f>B27+1</f>
        <v>43871</v>
      </c>
      <c r="C32" s="247">
        <v>320</v>
      </c>
      <c r="D32" s="214">
        <v>209</v>
      </c>
      <c r="E32" s="238">
        <v>293</v>
      </c>
      <c r="F32" s="263">
        <v>3295</v>
      </c>
      <c r="G32" s="214">
        <v>2240</v>
      </c>
      <c r="H32" s="236">
        <v>287</v>
      </c>
      <c r="I32" s="247">
        <v>691</v>
      </c>
      <c r="J32" s="214">
        <v>417</v>
      </c>
      <c r="K32" s="236">
        <v>2027</v>
      </c>
      <c r="L32" s="184">
        <v>408</v>
      </c>
      <c r="M32" s="295">
        <f t="shared" ref="M32:M38" si="13">SUM(C32:L32)</f>
        <v>10187</v>
      </c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>
        <v>83</v>
      </c>
    </row>
    <row r="33" spans="1:25" s="3" customFormat="1" ht="15" customHeight="1" x14ac:dyDescent="0.25">
      <c r="A33" s="22" t="s">
        <v>4</v>
      </c>
      <c r="B33" s="166">
        <f t="shared" ref="B33:B38" si="14">B32+1</f>
        <v>43872</v>
      </c>
      <c r="C33" s="372">
        <v>326</v>
      </c>
      <c r="D33" s="214">
        <v>209</v>
      </c>
      <c r="E33" s="238">
        <v>304</v>
      </c>
      <c r="F33" s="263">
        <v>2764</v>
      </c>
      <c r="G33" s="214">
        <v>2392</v>
      </c>
      <c r="H33" s="236">
        <v>301</v>
      </c>
      <c r="I33" s="247">
        <v>750</v>
      </c>
      <c r="J33" s="214">
        <v>455</v>
      </c>
      <c r="K33" s="236">
        <v>2398</v>
      </c>
      <c r="L33" s="184">
        <v>395</v>
      </c>
      <c r="M33" s="295">
        <f t="shared" si="13"/>
        <v>10294</v>
      </c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>
        <v>113</v>
      </c>
    </row>
    <row r="34" spans="1:25" s="3" customFormat="1" ht="15" customHeight="1" x14ac:dyDescent="0.25">
      <c r="A34" s="22" t="s">
        <v>5</v>
      </c>
      <c r="B34" s="166">
        <f t="shared" si="14"/>
        <v>43873</v>
      </c>
      <c r="C34" s="372">
        <v>336</v>
      </c>
      <c r="D34" s="214">
        <v>207</v>
      </c>
      <c r="E34" s="238">
        <v>298</v>
      </c>
      <c r="F34" s="263">
        <v>3777</v>
      </c>
      <c r="G34" s="214">
        <v>2357</v>
      </c>
      <c r="H34" s="236">
        <v>307</v>
      </c>
      <c r="I34" s="247">
        <v>760</v>
      </c>
      <c r="J34" s="214">
        <v>443</v>
      </c>
      <c r="K34" s="236">
        <v>1971</v>
      </c>
      <c r="L34" s="184">
        <v>371</v>
      </c>
      <c r="M34" s="295">
        <f t="shared" si="13"/>
        <v>10827</v>
      </c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>
        <v>112</v>
      </c>
    </row>
    <row r="35" spans="1:25" s="3" customFormat="1" ht="15" customHeight="1" x14ac:dyDescent="0.25">
      <c r="A35" s="22" t="s">
        <v>6</v>
      </c>
      <c r="B35" s="166">
        <f t="shared" si="14"/>
        <v>43874</v>
      </c>
      <c r="C35" s="372">
        <v>358</v>
      </c>
      <c r="D35" s="214">
        <v>190</v>
      </c>
      <c r="E35" s="238">
        <v>386</v>
      </c>
      <c r="F35" s="263">
        <v>3547</v>
      </c>
      <c r="G35" s="214">
        <v>2314</v>
      </c>
      <c r="H35" s="236">
        <v>329</v>
      </c>
      <c r="I35" s="247">
        <v>718</v>
      </c>
      <c r="J35" s="214">
        <v>431</v>
      </c>
      <c r="K35" s="236">
        <v>2381</v>
      </c>
      <c r="L35" s="184">
        <v>373</v>
      </c>
      <c r="M35" s="295">
        <f t="shared" si="13"/>
        <v>11027</v>
      </c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>
        <v>55</v>
      </c>
    </row>
    <row r="36" spans="1:25" s="3" customFormat="1" ht="15" customHeight="1" x14ac:dyDescent="0.25">
      <c r="A36" s="22" t="s">
        <v>0</v>
      </c>
      <c r="B36" s="166">
        <f t="shared" si="14"/>
        <v>43875</v>
      </c>
      <c r="C36" s="372">
        <v>267</v>
      </c>
      <c r="D36" s="214">
        <v>172</v>
      </c>
      <c r="E36" s="238">
        <v>264</v>
      </c>
      <c r="F36" s="263">
        <v>3274</v>
      </c>
      <c r="G36" s="214">
        <v>1698</v>
      </c>
      <c r="H36" s="236">
        <v>300</v>
      </c>
      <c r="I36" s="247">
        <v>382</v>
      </c>
      <c r="J36" s="214">
        <v>148</v>
      </c>
      <c r="K36" s="236">
        <v>1396</v>
      </c>
      <c r="L36" s="184">
        <v>271</v>
      </c>
      <c r="M36" s="295">
        <f t="shared" si="13"/>
        <v>8172</v>
      </c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>
        <v>37</v>
      </c>
    </row>
    <row r="37" spans="1:25" s="3" customFormat="1" ht="15" customHeight="1" outlineLevel="1" x14ac:dyDescent="0.25">
      <c r="A37" s="22" t="s">
        <v>1</v>
      </c>
      <c r="B37" s="166">
        <f t="shared" si="14"/>
        <v>43876</v>
      </c>
      <c r="C37" s="247">
        <v>94</v>
      </c>
      <c r="D37" s="214">
        <v>27</v>
      </c>
      <c r="E37" s="238">
        <v>64</v>
      </c>
      <c r="F37" s="263">
        <v>741</v>
      </c>
      <c r="G37" s="214">
        <v>483</v>
      </c>
      <c r="H37" s="236">
        <v>371</v>
      </c>
      <c r="I37" s="247"/>
      <c r="J37" s="214"/>
      <c r="K37" s="236"/>
      <c r="L37" s="184"/>
      <c r="M37" s="295">
        <f t="shared" si="13"/>
        <v>1780</v>
      </c>
      <c r="O37" s="346"/>
      <c r="P37" s="346"/>
      <c r="Q37" s="346"/>
      <c r="R37" s="346"/>
      <c r="S37" s="346"/>
      <c r="T37" s="346"/>
      <c r="U37" s="346"/>
      <c r="V37" s="346"/>
      <c r="W37" s="346"/>
      <c r="X37" s="346"/>
      <c r="Y37" s="346">
        <v>121</v>
      </c>
    </row>
    <row r="38" spans="1:25" s="3" customFormat="1" ht="15" customHeight="1" outlineLevel="1" thickBot="1" x14ac:dyDescent="0.3">
      <c r="A38" s="22" t="s">
        <v>2</v>
      </c>
      <c r="B38" s="166">
        <f t="shared" si="14"/>
        <v>43877</v>
      </c>
      <c r="C38" s="247">
        <v>92</v>
      </c>
      <c r="D38" s="371">
        <v>128</v>
      </c>
      <c r="E38" s="238">
        <v>83</v>
      </c>
      <c r="F38" s="263">
        <v>937</v>
      </c>
      <c r="G38" s="214">
        <v>565</v>
      </c>
      <c r="H38" s="236">
        <v>613</v>
      </c>
      <c r="I38" s="247"/>
      <c r="J38" s="214"/>
      <c r="K38" s="236"/>
      <c r="L38" s="184"/>
      <c r="M38" s="295">
        <f t="shared" si="13"/>
        <v>2418</v>
      </c>
      <c r="O38" s="346"/>
      <c r="P38" s="346"/>
      <c r="Q38" s="346"/>
      <c r="R38" s="346"/>
      <c r="S38" s="346"/>
      <c r="T38" s="346"/>
      <c r="U38" s="346"/>
      <c r="V38" s="346"/>
      <c r="W38" s="346"/>
    </row>
    <row r="39" spans="1:25" s="3" customFormat="1" ht="15" customHeight="1" outlineLevel="1" thickBot="1" x14ac:dyDescent="0.3">
      <c r="A39" s="150" t="s">
        <v>21</v>
      </c>
      <c r="B39" s="619" t="s">
        <v>26</v>
      </c>
      <c r="C39" s="248">
        <f t="shared" ref="C39:M39" si="15">SUM(C32:C38)</f>
        <v>1793</v>
      </c>
      <c r="D39" s="228">
        <f t="shared" si="15"/>
        <v>1142</v>
      </c>
      <c r="E39" s="249">
        <f>SUM(E32:E38)</f>
        <v>1692</v>
      </c>
      <c r="F39" s="306">
        <f t="shared" si="15"/>
        <v>18335</v>
      </c>
      <c r="G39" s="228">
        <f t="shared" si="15"/>
        <v>12049</v>
      </c>
      <c r="H39" s="288">
        <f t="shared" si="15"/>
        <v>2508</v>
      </c>
      <c r="I39" s="248">
        <f t="shared" si="15"/>
        <v>3301</v>
      </c>
      <c r="J39" s="228">
        <f t="shared" si="15"/>
        <v>1894</v>
      </c>
      <c r="K39" s="288">
        <f t="shared" si="15"/>
        <v>10173</v>
      </c>
      <c r="L39" s="293">
        <f t="shared" si="15"/>
        <v>1818</v>
      </c>
      <c r="M39" s="291">
        <f t="shared" si="15"/>
        <v>54705</v>
      </c>
      <c r="O39" s="346"/>
      <c r="P39" s="346"/>
      <c r="Q39" s="346"/>
      <c r="R39" s="346"/>
      <c r="S39" s="346"/>
      <c r="T39" s="346"/>
      <c r="U39" s="346"/>
      <c r="V39" s="346"/>
      <c r="W39" s="346"/>
    </row>
    <row r="40" spans="1:25" s="3" customFormat="1" ht="15" customHeight="1" outlineLevel="1" thickBot="1" x14ac:dyDescent="0.3">
      <c r="A40" s="101" t="s">
        <v>23</v>
      </c>
      <c r="B40" s="620"/>
      <c r="C40" s="248">
        <f t="shared" ref="C40:M40" si="16">AVERAGE(C32:C38)</f>
        <v>256.14285714285717</v>
      </c>
      <c r="D40" s="228">
        <f t="shared" si="16"/>
        <v>163.14285714285714</v>
      </c>
      <c r="E40" s="249">
        <f t="shared" si="16"/>
        <v>241.71428571428572</v>
      </c>
      <c r="F40" s="306">
        <f t="shared" si="16"/>
        <v>2619.2857142857142</v>
      </c>
      <c r="G40" s="228">
        <f t="shared" si="16"/>
        <v>1721.2857142857142</v>
      </c>
      <c r="H40" s="288">
        <f t="shared" si="16"/>
        <v>358.28571428571428</v>
      </c>
      <c r="I40" s="248">
        <f t="shared" si="16"/>
        <v>660.2</v>
      </c>
      <c r="J40" s="228">
        <f t="shared" si="16"/>
        <v>378.8</v>
      </c>
      <c r="K40" s="288">
        <f t="shared" si="16"/>
        <v>2034.6</v>
      </c>
      <c r="L40" s="293">
        <f t="shared" si="16"/>
        <v>363.6</v>
      </c>
      <c r="M40" s="291">
        <f t="shared" si="16"/>
        <v>7815</v>
      </c>
      <c r="O40" s="346"/>
      <c r="P40" s="346"/>
      <c r="Q40" s="346"/>
      <c r="R40" s="346"/>
      <c r="S40" s="346"/>
      <c r="T40" s="346"/>
      <c r="U40" s="346"/>
      <c r="V40" s="346"/>
      <c r="W40" s="346"/>
    </row>
    <row r="41" spans="1:25" s="3" customFormat="1" ht="15" customHeight="1" thickBot="1" x14ac:dyDescent="0.3">
      <c r="A41" s="23" t="s">
        <v>20</v>
      </c>
      <c r="B41" s="620"/>
      <c r="C41" s="250">
        <f t="shared" ref="C41:M41" si="17">SUM(C32:C36)</f>
        <v>1607</v>
      </c>
      <c r="D41" s="229">
        <f t="shared" si="17"/>
        <v>987</v>
      </c>
      <c r="E41" s="251">
        <f t="shared" si="17"/>
        <v>1545</v>
      </c>
      <c r="F41" s="307">
        <f t="shared" si="17"/>
        <v>16657</v>
      </c>
      <c r="G41" s="229">
        <f t="shared" si="17"/>
        <v>11001</v>
      </c>
      <c r="H41" s="289">
        <f t="shared" si="17"/>
        <v>1524</v>
      </c>
      <c r="I41" s="250">
        <f t="shared" si="17"/>
        <v>3301</v>
      </c>
      <c r="J41" s="229">
        <f t="shared" si="17"/>
        <v>1894</v>
      </c>
      <c r="K41" s="289">
        <f t="shared" si="17"/>
        <v>10173</v>
      </c>
      <c r="L41" s="294">
        <f t="shared" si="17"/>
        <v>1818</v>
      </c>
      <c r="M41" s="292">
        <f t="shared" si="17"/>
        <v>50507</v>
      </c>
      <c r="N41" s="194"/>
      <c r="O41" s="346"/>
      <c r="P41" s="346"/>
      <c r="Q41" s="346"/>
      <c r="R41" s="346"/>
      <c r="S41" s="346"/>
      <c r="T41" s="346"/>
      <c r="U41" s="346"/>
      <c r="V41" s="346"/>
      <c r="W41" s="346"/>
      <c r="X41" s="346"/>
    </row>
    <row r="42" spans="1:25" s="3" customFormat="1" ht="15" customHeight="1" thickBot="1" x14ac:dyDescent="0.3">
      <c r="A42" s="23" t="s">
        <v>22</v>
      </c>
      <c r="B42" s="621"/>
      <c r="C42" s="250">
        <f>AVERAGE(C32:C36)</f>
        <v>321.39999999999998</v>
      </c>
      <c r="D42" s="229">
        <f t="shared" ref="D42:M42" si="18">AVERAGE(D32:D36)</f>
        <v>197.4</v>
      </c>
      <c r="E42" s="251">
        <f>AVERAGE(E32:E36)</f>
        <v>309</v>
      </c>
      <c r="F42" s="307">
        <f>AVERAGE(F32:F36)</f>
        <v>3331.4</v>
      </c>
      <c r="G42" s="229">
        <f t="shared" si="18"/>
        <v>2200.1999999999998</v>
      </c>
      <c r="H42" s="289">
        <f>AVERAGE(H32:H36)</f>
        <v>304.8</v>
      </c>
      <c r="I42" s="250">
        <f t="shared" si="18"/>
        <v>660.2</v>
      </c>
      <c r="J42" s="229">
        <f t="shared" si="18"/>
        <v>378.8</v>
      </c>
      <c r="K42" s="289">
        <f t="shared" si="18"/>
        <v>2034.6</v>
      </c>
      <c r="L42" s="294">
        <f t="shared" si="18"/>
        <v>363.6</v>
      </c>
      <c r="M42" s="292">
        <f t="shared" si="18"/>
        <v>10101.4</v>
      </c>
      <c r="O42" s="346"/>
      <c r="P42" s="346"/>
      <c r="Q42" s="346"/>
      <c r="R42" s="346"/>
      <c r="S42" s="346"/>
      <c r="T42" s="346"/>
      <c r="U42" s="346"/>
      <c r="V42" s="346"/>
      <c r="X42" s="346"/>
    </row>
    <row r="43" spans="1:25" s="3" customFormat="1" ht="15" customHeight="1" x14ac:dyDescent="0.25">
      <c r="A43" s="22" t="s">
        <v>3</v>
      </c>
      <c r="B43" s="167">
        <f>B38+1</f>
        <v>43878</v>
      </c>
      <c r="C43" s="247"/>
      <c r="D43" s="214"/>
      <c r="E43" s="238"/>
      <c r="F43" s="263">
        <v>968</v>
      </c>
      <c r="G43" s="214"/>
      <c r="H43" s="236">
        <v>437</v>
      </c>
      <c r="I43" s="247"/>
      <c r="J43" s="214"/>
      <c r="K43" s="236"/>
      <c r="L43" s="184"/>
      <c r="M43" s="295">
        <f t="shared" ref="M43:M49" si="19">SUM(C43:L43)</f>
        <v>1405</v>
      </c>
      <c r="O43" s="346"/>
      <c r="P43" s="346"/>
      <c r="Q43" s="346"/>
      <c r="R43" s="346"/>
      <c r="S43" s="346"/>
      <c r="T43" s="346"/>
      <c r="U43" s="346"/>
      <c r="V43" s="346"/>
      <c r="X43" s="346"/>
    </row>
    <row r="44" spans="1:25" s="3" customFormat="1" ht="15" customHeight="1" x14ac:dyDescent="0.25">
      <c r="A44" s="22" t="s">
        <v>4</v>
      </c>
      <c r="B44" s="168">
        <f t="shared" ref="B44:B49" si="20">B43+1</f>
        <v>43879</v>
      </c>
      <c r="C44" s="247">
        <v>352</v>
      </c>
      <c r="D44" s="214">
        <v>220</v>
      </c>
      <c r="E44" s="238">
        <v>314</v>
      </c>
      <c r="F44" s="263">
        <v>2524</v>
      </c>
      <c r="G44" s="214">
        <v>2329</v>
      </c>
      <c r="H44" s="236">
        <v>316</v>
      </c>
      <c r="I44" s="247">
        <v>724</v>
      </c>
      <c r="J44" s="214">
        <v>406</v>
      </c>
      <c r="K44" s="236">
        <v>2038</v>
      </c>
      <c r="L44" s="184">
        <v>451</v>
      </c>
      <c r="M44" s="295">
        <f t="shared" si="19"/>
        <v>9674</v>
      </c>
      <c r="O44" s="346"/>
      <c r="P44" s="346"/>
      <c r="Q44" s="346"/>
      <c r="R44" s="346"/>
      <c r="S44" s="346"/>
      <c r="T44" s="346"/>
      <c r="U44" s="346"/>
      <c r="V44" s="346"/>
      <c r="W44" s="346"/>
      <c r="X44" s="346"/>
    </row>
    <row r="45" spans="1:25" s="3" customFormat="1" ht="15" customHeight="1" x14ac:dyDescent="0.25">
      <c r="A45" s="22" t="s">
        <v>5</v>
      </c>
      <c r="B45" s="168">
        <f t="shared" si="20"/>
        <v>43880</v>
      </c>
      <c r="C45" s="247">
        <v>378</v>
      </c>
      <c r="D45" s="214">
        <v>204</v>
      </c>
      <c r="E45" s="238">
        <v>349</v>
      </c>
      <c r="F45" s="263">
        <v>2920</v>
      </c>
      <c r="G45" s="214">
        <v>2436</v>
      </c>
      <c r="H45" s="236">
        <v>342</v>
      </c>
      <c r="I45" s="247">
        <v>798</v>
      </c>
      <c r="J45" s="214">
        <v>415</v>
      </c>
      <c r="K45" s="236">
        <v>2072</v>
      </c>
      <c r="L45" s="184">
        <v>417</v>
      </c>
      <c r="M45" s="295">
        <f t="shared" si="19"/>
        <v>10331</v>
      </c>
      <c r="O45" s="346"/>
      <c r="P45" s="346"/>
      <c r="Q45" s="346"/>
      <c r="R45" s="346"/>
      <c r="S45" s="346"/>
      <c r="T45" s="346"/>
      <c r="U45" s="346"/>
      <c r="V45" s="346"/>
      <c r="W45" s="346"/>
      <c r="X45" s="346"/>
    </row>
    <row r="46" spans="1:25" s="3" customFormat="1" ht="15" customHeight="1" x14ac:dyDescent="0.25">
      <c r="A46" s="22" t="s">
        <v>6</v>
      </c>
      <c r="B46" s="168">
        <f t="shared" si="20"/>
        <v>43881</v>
      </c>
      <c r="C46" s="247">
        <v>335</v>
      </c>
      <c r="D46" s="214">
        <v>209</v>
      </c>
      <c r="E46" s="238">
        <v>312</v>
      </c>
      <c r="F46" s="263">
        <v>3311</v>
      </c>
      <c r="G46" s="214">
        <v>2360</v>
      </c>
      <c r="H46" s="236">
        <v>315</v>
      </c>
      <c r="I46" s="247">
        <v>802</v>
      </c>
      <c r="J46" s="214">
        <v>407</v>
      </c>
      <c r="K46" s="236">
        <v>1960</v>
      </c>
      <c r="L46" s="184">
        <v>417</v>
      </c>
      <c r="M46" s="295">
        <f t="shared" si="19"/>
        <v>10428</v>
      </c>
      <c r="O46" s="346"/>
      <c r="P46" s="346"/>
      <c r="Q46" s="346"/>
      <c r="R46" s="346"/>
      <c r="S46" s="346"/>
      <c r="T46" s="346"/>
      <c r="U46" s="346"/>
      <c r="V46" s="346"/>
      <c r="W46" s="346"/>
      <c r="X46" s="346"/>
    </row>
    <row r="47" spans="1:25" s="3" customFormat="1" ht="15" customHeight="1" x14ac:dyDescent="0.25">
      <c r="A47" s="22" t="s">
        <v>0</v>
      </c>
      <c r="B47" s="168">
        <f t="shared" si="20"/>
        <v>43882</v>
      </c>
      <c r="C47" s="247">
        <v>367</v>
      </c>
      <c r="D47" s="214">
        <v>170</v>
      </c>
      <c r="E47" s="238">
        <v>291</v>
      </c>
      <c r="F47" s="263">
        <v>3318</v>
      </c>
      <c r="G47" s="214">
        <v>1810</v>
      </c>
      <c r="H47" s="236">
        <v>252</v>
      </c>
      <c r="I47" s="247">
        <v>654</v>
      </c>
      <c r="J47" s="214">
        <v>307</v>
      </c>
      <c r="K47" s="236">
        <v>1616</v>
      </c>
      <c r="L47" s="184">
        <v>268</v>
      </c>
      <c r="M47" s="295">
        <f t="shared" si="19"/>
        <v>9053</v>
      </c>
      <c r="O47" s="346"/>
      <c r="P47" s="346"/>
      <c r="Q47" s="346"/>
      <c r="R47" s="346"/>
      <c r="S47" s="346"/>
      <c r="T47" s="346"/>
      <c r="U47" s="346"/>
      <c r="V47" s="346"/>
      <c r="W47" s="346"/>
    </row>
    <row r="48" spans="1:25" s="3" customFormat="1" ht="15" customHeight="1" outlineLevel="1" x14ac:dyDescent="0.25">
      <c r="A48" s="22" t="s">
        <v>1</v>
      </c>
      <c r="B48" s="168">
        <f t="shared" si="20"/>
        <v>43883</v>
      </c>
      <c r="C48" s="247">
        <v>97</v>
      </c>
      <c r="D48" s="214">
        <v>115</v>
      </c>
      <c r="E48" s="238">
        <v>130</v>
      </c>
      <c r="F48" s="263">
        <v>1281</v>
      </c>
      <c r="G48" s="214">
        <v>628</v>
      </c>
      <c r="H48" s="236">
        <v>11856</v>
      </c>
      <c r="I48" s="247"/>
      <c r="J48" s="214"/>
      <c r="K48" s="236"/>
      <c r="L48" s="184"/>
      <c r="M48" s="295">
        <f t="shared" si="19"/>
        <v>14107</v>
      </c>
      <c r="N48" s="114"/>
      <c r="O48" s="346"/>
      <c r="P48" s="346"/>
      <c r="Q48" s="346"/>
      <c r="R48" s="346"/>
      <c r="S48" s="346"/>
      <c r="T48" s="346"/>
      <c r="U48" s="346"/>
      <c r="V48" s="346"/>
      <c r="W48" s="346"/>
    </row>
    <row r="49" spans="1:24" s="3" customFormat="1" ht="15" customHeight="1" outlineLevel="1" thickBot="1" x14ac:dyDescent="0.3">
      <c r="A49" s="22" t="s">
        <v>2</v>
      </c>
      <c r="B49" s="168">
        <f t="shared" si="20"/>
        <v>43884</v>
      </c>
      <c r="C49" s="247">
        <v>113</v>
      </c>
      <c r="D49" s="214">
        <v>184</v>
      </c>
      <c r="E49" s="238">
        <v>93</v>
      </c>
      <c r="F49" s="263">
        <v>1025</v>
      </c>
      <c r="G49" s="214">
        <v>521</v>
      </c>
      <c r="H49" s="236">
        <v>9480</v>
      </c>
      <c r="I49" s="247"/>
      <c r="J49" s="214"/>
      <c r="K49" s="236"/>
      <c r="L49" s="184"/>
      <c r="M49" s="295">
        <f t="shared" si="19"/>
        <v>11416</v>
      </c>
      <c r="N49" s="114"/>
      <c r="O49" s="346"/>
      <c r="P49" s="346"/>
      <c r="Q49" s="346"/>
      <c r="R49" s="346"/>
      <c r="S49" s="346"/>
      <c r="T49" s="346"/>
      <c r="U49" s="346"/>
      <c r="V49" s="346"/>
    </row>
    <row r="50" spans="1:24" s="3" customFormat="1" ht="15" customHeight="1" outlineLevel="1" thickBot="1" x14ac:dyDescent="0.3">
      <c r="A50" s="150" t="s">
        <v>21</v>
      </c>
      <c r="B50" s="619" t="s">
        <v>27</v>
      </c>
      <c r="C50" s="248">
        <f t="shared" ref="C50:L50" si="21">SUM(C43:C49)</f>
        <v>1642</v>
      </c>
      <c r="D50" s="228">
        <f t="shared" si="21"/>
        <v>1102</v>
      </c>
      <c r="E50" s="249">
        <f>SUM(E43:E49)</f>
        <v>1489</v>
      </c>
      <c r="F50" s="306">
        <f>SUM(F43:F49)</f>
        <v>15347</v>
      </c>
      <c r="G50" s="228">
        <f t="shared" si="21"/>
        <v>10084</v>
      </c>
      <c r="H50" s="288">
        <f>SUM(H43:H49)</f>
        <v>22998</v>
      </c>
      <c r="I50" s="248">
        <f t="shared" si="21"/>
        <v>2978</v>
      </c>
      <c r="J50" s="228">
        <f t="shared" si="21"/>
        <v>1535</v>
      </c>
      <c r="K50" s="288">
        <f t="shared" si="21"/>
        <v>7686</v>
      </c>
      <c r="L50" s="293">
        <f t="shared" si="21"/>
        <v>1553</v>
      </c>
      <c r="M50" s="291">
        <f>SUM(M43:M49)</f>
        <v>66414</v>
      </c>
      <c r="O50" s="346"/>
      <c r="P50" s="346"/>
      <c r="Q50" s="346"/>
      <c r="R50" s="346"/>
      <c r="T50" s="346"/>
      <c r="U50" s="346"/>
    </row>
    <row r="51" spans="1:24" s="3" customFormat="1" ht="15" customHeight="1" outlineLevel="1" thickBot="1" x14ac:dyDescent="0.3">
      <c r="A51" s="101" t="s">
        <v>23</v>
      </c>
      <c r="B51" s="620"/>
      <c r="C51" s="248">
        <f t="shared" ref="C51:M51" si="22">AVERAGE(C43:C49)</f>
        <v>273.66666666666669</v>
      </c>
      <c r="D51" s="228">
        <f t="shared" si="22"/>
        <v>183.66666666666666</v>
      </c>
      <c r="E51" s="249">
        <f>AVERAGE(E43:E49)</f>
        <v>248.16666666666666</v>
      </c>
      <c r="F51" s="306">
        <f>AVERAGE(F43:F49)</f>
        <v>2192.4285714285716</v>
      </c>
      <c r="G51" s="228">
        <f t="shared" si="22"/>
        <v>1680.6666666666667</v>
      </c>
      <c r="H51" s="288">
        <f>AVERAGE(H43:H49)</f>
        <v>3285.4285714285716</v>
      </c>
      <c r="I51" s="248">
        <f t="shared" si="22"/>
        <v>744.5</v>
      </c>
      <c r="J51" s="228">
        <f t="shared" si="22"/>
        <v>383.75</v>
      </c>
      <c r="K51" s="288">
        <f t="shared" si="22"/>
        <v>1921.5</v>
      </c>
      <c r="L51" s="293">
        <f t="shared" si="22"/>
        <v>388.25</v>
      </c>
      <c r="M51" s="291">
        <f t="shared" si="22"/>
        <v>9487.7142857142862</v>
      </c>
      <c r="O51" s="346"/>
      <c r="P51" s="346"/>
      <c r="Q51" s="346"/>
      <c r="R51" s="346"/>
      <c r="W51" s="346"/>
    </row>
    <row r="52" spans="1:24" s="3" customFormat="1" ht="15" customHeight="1" thickBot="1" x14ac:dyDescent="0.3">
      <c r="A52" s="23" t="s">
        <v>20</v>
      </c>
      <c r="B52" s="620"/>
      <c r="C52" s="250">
        <f t="shared" ref="C52:I52" si="23">SUM(C43:C47)</f>
        <v>1432</v>
      </c>
      <c r="D52" s="229">
        <f t="shared" si="23"/>
        <v>803</v>
      </c>
      <c r="E52" s="251">
        <f t="shared" si="23"/>
        <v>1266</v>
      </c>
      <c r="F52" s="307">
        <f t="shared" si="23"/>
        <v>13041</v>
      </c>
      <c r="G52" s="229">
        <f t="shared" si="23"/>
        <v>8935</v>
      </c>
      <c r="H52" s="289">
        <f t="shared" si="23"/>
        <v>1662</v>
      </c>
      <c r="I52" s="250">
        <f t="shared" si="23"/>
        <v>2978</v>
      </c>
      <c r="J52" s="229">
        <f>SUM(J43:J47)</f>
        <v>1535</v>
      </c>
      <c r="K52" s="289">
        <f>SUM(K43:K47)</f>
        <v>7686</v>
      </c>
      <c r="L52" s="294">
        <f>SUM(L43:L47)</f>
        <v>1553</v>
      </c>
      <c r="M52" s="292">
        <f>SUM(M43:M47)</f>
        <v>40891</v>
      </c>
      <c r="P52" s="346"/>
      <c r="Q52" s="346"/>
      <c r="R52" s="346"/>
      <c r="T52" s="346"/>
      <c r="V52" s="346"/>
      <c r="W52" s="346"/>
    </row>
    <row r="53" spans="1:24" s="3" customFormat="1" ht="15" customHeight="1" thickBot="1" x14ac:dyDescent="0.3">
      <c r="A53" s="23" t="s">
        <v>22</v>
      </c>
      <c r="B53" s="621"/>
      <c r="C53" s="250">
        <f t="shared" ref="C53:M53" si="24">AVERAGE(C43:C47)</f>
        <v>358</v>
      </c>
      <c r="D53" s="229">
        <f>AVERAGE(D43:D47)</f>
        <v>200.75</v>
      </c>
      <c r="E53" s="251">
        <f>AVERAGE(E43:E47)</f>
        <v>316.5</v>
      </c>
      <c r="F53" s="307">
        <f>AVERAGE(F43:F47)</f>
        <v>2608.1999999999998</v>
      </c>
      <c r="G53" s="229">
        <f t="shared" si="24"/>
        <v>2233.75</v>
      </c>
      <c r="H53" s="289">
        <f>AVERAGE(H43:H47)</f>
        <v>332.4</v>
      </c>
      <c r="I53" s="250">
        <f>AVERAGE(I43:I47)</f>
        <v>744.5</v>
      </c>
      <c r="J53" s="229">
        <f t="shared" si="24"/>
        <v>383.75</v>
      </c>
      <c r="K53" s="289">
        <f t="shared" si="24"/>
        <v>1921.5</v>
      </c>
      <c r="L53" s="294">
        <f t="shared" si="24"/>
        <v>388.25</v>
      </c>
      <c r="M53" s="292">
        <f t="shared" si="24"/>
        <v>8178.2</v>
      </c>
      <c r="P53" s="346"/>
      <c r="Q53" s="346"/>
      <c r="R53" s="346"/>
      <c r="S53" s="346"/>
      <c r="T53" s="346"/>
      <c r="U53" s="346"/>
      <c r="V53" s="346"/>
      <c r="W53" s="346"/>
    </row>
    <row r="54" spans="1:24" s="3" customFormat="1" ht="15" customHeight="1" x14ac:dyDescent="0.25">
      <c r="A54" s="22" t="s">
        <v>3</v>
      </c>
      <c r="B54" s="167">
        <f>B49+1</f>
        <v>43885</v>
      </c>
      <c r="C54" s="247">
        <v>397</v>
      </c>
      <c r="D54" s="214">
        <v>209</v>
      </c>
      <c r="E54" s="242">
        <v>343</v>
      </c>
      <c r="F54" s="263">
        <v>2999</v>
      </c>
      <c r="G54" s="214">
        <v>2351</v>
      </c>
      <c r="H54" s="236">
        <v>357</v>
      </c>
      <c r="I54" s="247">
        <v>693</v>
      </c>
      <c r="J54" s="214">
        <v>434</v>
      </c>
      <c r="K54" s="236">
        <v>2079</v>
      </c>
      <c r="L54" s="184">
        <v>409</v>
      </c>
      <c r="M54" s="295">
        <f t="shared" ref="M54:M59" si="25">SUM(C54:L54)</f>
        <v>10271</v>
      </c>
      <c r="O54" s="346"/>
      <c r="P54" s="346"/>
      <c r="Q54" s="346"/>
      <c r="R54" s="346"/>
      <c r="S54" s="346"/>
      <c r="T54" s="346"/>
      <c r="U54" s="346"/>
      <c r="V54" s="346"/>
      <c r="W54" s="346"/>
    </row>
    <row r="55" spans="1:24" s="3" customFormat="1" ht="15" customHeight="1" x14ac:dyDescent="0.25">
      <c r="A55" s="141" t="s">
        <v>4</v>
      </c>
      <c r="B55" s="168">
        <f t="shared" ref="B55:B60" si="26">B54+1</f>
        <v>43886</v>
      </c>
      <c r="C55" s="247">
        <v>373</v>
      </c>
      <c r="D55" s="214">
        <v>195</v>
      </c>
      <c r="E55" s="242">
        <v>319</v>
      </c>
      <c r="F55" s="263">
        <v>3280</v>
      </c>
      <c r="G55" s="214">
        <v>2402</v>
      </c>
      <c r="H55" s="236">
        <v>316</v>
      </c>
      <c r="I55" s="247">
        <v>737</v>
      </c>
      <c r="J55" s="214">
        <v>469</v>
      </c>
      <c r="K55" s="236">
        <v>2266</v>
      </c>
      <c r="L55" s="184">
        <v>433</v>
      </c>
      <c r="M55" s="295">
        <f t="shared" si="25"/>
        <v>10790</v>
      </c>
      <c r="O55" s="346"/>
      <c r="P55" s="346"/>
      <c r="Q55" s="346"/>
      <c r="R55" s="346"/>
      <c r="S55" s="346"/>
      <c r="T55" s="346"/>
      <c r="U55" s="346"/>
      <c r="V55" s="346"/>
      <c r="W55" s="346"/>
      <c r="X55" s="346"/>
    </row>
    <row r="56" spans="1:24" s="3" customFormat="1" x14ac:dyDescent="0.25">
      <c r="A56" s="141" t="s">
        <v>5</v>
      </c>
      <c r="B56" s="168">
        <f t="shared" si="26"/>
        <v>43887</v>
      </c>
      <c r="C56" s="247">
        <v>304</v>
      </c>
      <c r="D56" s="214">
        <v>182</v>
      </c>
      <c r="E56" s="242">
        <v>322</v>
      </c>
      <c r="F56" s="263">
        <v>2947</v>
      </c>
      <c r="G56" s="214">
        <v>2497</v>
      </c>
      <c r="H56" s="236">
        <v>320</v>
      </c>
      <c r="I56" s="247">
        <v>773</v>
      </c>
      <c r="J56" s="214">
        <v>419</v>
      </c>
      <c r="K56" s="236">
        <v>2218</v>
      </c>
      <c r="L56" s="184">
        <v>395</v>
      </c>
      <c r="M56" s="295">
        <f t="shared" si="25"/>
        <v>10377</v>
      </c>
      <c r="O56" s="346"/>
      <c r="P56" s="346"/>
      <c r="Q56" s="346"/>
      <c r="R56" s="346"/>
      <c r="S56" s="346"/>
      <c r="T56" s="346"/>
      <c r="U56" s="346"/>
      <c r="V56" s="346"/>
      <c r="W56" s="346"/>
      <c r="X56" s="346"/>
    </row>
    <row r="57" spans="1:24" s="3" customFormat="1" x14ac:dyDescent="0.25">
      <c r="A57" s="141" t="s">
        <v>6</v>
      </c>
      <c r="B57" s="168">
        <f t="shared" si="26"/>
        <v>43888</v>
      </c>
      <c r="C57" s="247">
        <v>344</v>
      </c>
      <c r="D57" s="214">
        <v>205</v>
      </c>
      <c r="E57" s="242">
        <v>342</v>
      </c>
      <c r="F57" s="263">
        <v>3160</v>
      </c>
      <c r="G57" s="214">
        <v>2532</v>
      </c>
      <c r="H57" s="236">
        <v>332</v>
      </c>
      <c r="I57" s="247">
        <v>684</v>
      </c>
      <c r="J57" s="214">
        <v>311</v>
      </c>
      <c r="K57" s="236">
        <v>2029</v>
      </c>
      <c r="L57" s="184">
        <v>422</v>
      </c>
      <c r="M57" s="295">
        <f t="shared" si="25"/>
        <v>10361</v>
      </c>
      <c r="O57" s="346"/>
      <c r="P57" s="346"/>
      <c r="Q57" s="346"/>
      <c r="R57" s="346"/>
      <c r="S57" s="346"/>
      <c r="T57" s="346"/>
      <c r="U57" s="346"/>
      <c r="V57" s="346"/>
      <c r="W57" s="346"/>
      <c r="X57" s="346"/>
    </row>
    <row r="58" spans="1:24" s="3" customFormat="1" x14ac:dyDescent="0.25">
      <c r="A58" s="22" t="s">
        <v>0</v>
      </c>
      <c r="B58" s="170">
        <f t="shared" si="26"/>
        <v>43889</v>
      </c>
      <c r="C58" s="247">
        <v>317</v>
      </c>
      <c r="D58" s="214">
        <v>169</v>
      </c>
      <c r="E58" s="242">
        <v>293</v>
      </c>
      <c r="F58" s="263">
        <v>2768</v>
      </c>
      <c r="G58" s="214">
        <v>1679</v>
      </c>
      <c r="H58" s="236">
        <v>319</v>
      </c>
      <c r="I58" s="247">
        <v>645</v>
      </c>
      <c r="J58" s="214">
        <v>363</v>
      </c>
      <c r="K58" s="236">
        <v>1690</v>
      </c>
      <c r="L58" s="184">
        <v>271</v>
      </c>
      <c r="M58" s="295">
        <f t="shared" si="25"/>
        <v>8514</v>
      </c>
      <c r="O58" s="346"/>
      <c r="P58" s="346"/>
      <c r="Q58" s="346"/>
      <c r="R58" s="346"/>
      <c r="S58" s="346"/>
      <c r="T58" s="346"/>
      <c r="U58" s="346"/>
      <c r="V58" s="346"/>
      <c r="W58" s="346"/>
      <c r="X58" s="346"/>
    </row>
    <row r="59" spans="1:24" s="3" customFormat="1" ht="15.75" outlineLevel="1" thickBot="1" x14ac:dyDescent="0.3">
      <c r="A59" s="22" t="s">
        <v>1</v>
      </c>
      <c r="B59" s="170">
        <f t="shared" si="26"/>
        <v>43890</v>
      </c>
      <c r="C59" s="247">
        <v>94</v>
      </c>
      <c r="D59" s="214">
        <v>54</v>
      </c>
      <c r="E59" s="242">
        <v>67</v>
      </c>
      <c r="F59" s="263">
        <v>851</v>
      </c>
      <c r="G59" s="214">
        <v>503</v>
      </c>
      <c r="H59" s="236">
        <v>9678</v>
      </c>
      <c r="I59" s="247"/>
      <c r="J59" s="214"/>
      <c r="K59" s="236"/>
      <c r="L59" s="184"/>
      <c r="M59" s="295">
        <f t="shared" si="25"/>
        <v>11247</v>
      </c>
      <c r="O59" s="346"/>
      <c r="P59" s="346"/>
      <c r="Q59" s="346"/>
      <c r="R59" s="346"/>
      <c r="S59" s="346"/>
      <c r="T59" s="346"/>
      <c r="U59" s="346"/>
      <c r="V59" s="346"/>
      <c r="W59" s="346"/>
      <c r="X59" s="346"/>
    </row>
    <row r="60" spans="1:24" s="3" customFormat="1" ht="15.75" hidden="1" outlineLevel="1" thickBot="1" x14ac:dyDescent="0.3">
      <c r="A60" s="141" t="s">
        <v>2</v>
      </c>
      <c r="B60" s="170">
        <f t="shared" si="26"/>
        <v>43891</v>
      </c>
      <c r="C60" s="247"/>
      <c r="D60" s="214"/>
      <c r="E60" s="373"/>
      <c r="F60" s="263"/>
      <c r="G60" s="214"/>
      <c r="H60" s="236"/>
      <c r="I60" s="247"/>
      <c r="J60" s="214"/>
      <c r="K60" s="236"/>
      <c r="L60" s="184"/>
      <c r="M60" s="295"/>
      <c r="O60" s="346"/>
      <c r="P60" s="346"/>
      <c r="Q60" s="346"/>
      <c r="R60" s="346"/>
      <c r="S60" s="346"/>
      <c r="T60" s="346"/>
      <c r="W60" s="346"/>
      <c r="X60" s="346"/>
    </row>
    <row r="61" spans="1:24" s="3" customFormat="1" ht="15" customHeight="1" outlineLevel="1" thickBot="1" x14ac:dyDescent="0.3">
      <c r="A61" s="150" t="s">
        <v>21</v>
      </c>
      <c r="B61" s="619" t="s">
        <v>28</v>
      </c>
      <c r="C61" s="248">
        <f t="shared" ref="C61:K61" si="27">SUM(C54:C60)</f>
        <v>1829</v>
      </c>
      <c r="D61" s="228">
        <f t="shared" si="27"/>
        <v>1014</v>
      </c>
      <c r="E61" s="249">
        <f t="shared" si="27"/>
        <v>1686</v>
      </c>
      <c r="F61" s="306">
        <f t="shared" si="27"/>
        <v>16005</v>
      </c>
      <c r="G61" s="228">
        <f t="shared" si="27"/>
        <v>11964</v>
      </c>
      <c r="H61" s="288">
        <f t="shared" si="27"/>
        <v>11322</v>
      </c>
      <c r="I61" s="248">
        <f t="shared" si="27"/>
        <v>3532</v>
      </c>
      <c r="J61" s="228">
        <f t="shared" si="27"/>
        <v>1996</v>
      </c>
      <c r="K61" s="288">
        <f t="shared" si="27"/>
        <v>10282</v>
      </c>
      <c r="L61" s="288">
        <f>SUM(L54:L60)</f>
        <v>1930</v>
      </c>
      <c r="M61" s="288">
        <f>SUM(M54:M60)</f>
        <v>61560</v>
      </c>
      <c r="O61" s="346"/>
      <c r="Q61" s="346"/>
      <c r="T61" s="346"/>
    </row>
    <row r="62" spans="1:24" s="3" customFormat="1" ht="15" customHeight="1" outlineLevel="1" thickBot="1" x14ac:dyDescent="0.3">
      <c r="A62" s="101" t="s">
        <v>23</v>
      </c>
      <c r="B62" s="620"/>
      <c r="C62" s="248">
        <f t="shared" ref="C62:M62" si="28">AVERAGE(C54:C60)</f>
        <v>304.83333333333331</v>
      </c>
      <c r="D62" s="228">
        <f t="shared" si="28"/>
        <v>169</v>
      </c>
      <c r="E62" s="249">
        <f>AVERAGE(E54:E60)</f>
        <v>281</v>
      </c>
      <c r="F62" s="306">
        <f t="shared" si="28"/>
        <v>2667.5</v>
      </c>
      <c r="G62" s="228">
        <f t="shared" si="28"/>
        <v>1994</v>
      </c>
      <c r="H62" s="288">
        <f>AVERAGE(H54:H60)</f>
        <v>1887</v>
      </c>
      <c r="I62" s="248">
        <f t="shared" si="28"/>
        <v>706.4</v>
      </c>
      <c r="J62" s="228">
        <f t="shared" si="28"/>
        <v>399.2</v>
      </c>
      <c r="K62" s="288">
        <f t="shared" si="28"/>
        <v>2056.4</v>
      </c>
      <c r="L62" s="288">
        <f t="shared" si="28"/>
        <v>386</v>
      </c>
      <c r="M62" s="288">
        <f t="shared" si="28"/>
        <v>10260</v>
      </c>
      <c r="O62" s="346"/>
      <c r="Q62" s="346"/>
    </row>
    <row r="63" spans="1:24" s="3" customFormat="1" ht="15" customHeight="1" thickBot="1" x14ac:dyDescent="0.3">
      <c r="A63" s="23" t="s">
        <v>20</v>
      </c>
      <c r="B63" s="620"/>
      <c r="C63" s="250">
        <f t="shared" ref="C63:M63" si="29">SUM(C54:C58)</f>
        <v>1735</v>
      </c>
      <c r="D63" s="229">
        <f t="shared" si="29"/>
        <v>960</v>
      </c>
      <c r="E63" s="251">
        <f t="shared" si="29"/>
        <v>1619</v>
      </c>
      <c r="F63" s="307">
        <f t="shared" si="29"/>
        <v>15154</v>
      </c>
      <c r="G63" s="229">
        <f t="shared" si="29"/>
        <v>11461</v>
      </c>
      <c r="H63" s="289">
        <f t="shared" si="29"/>
        <v>1644</v>
      </c>
      <c r="I63" s="250">
        <f t="shared" si="29"/>
        <v>3532</v>
      </c>
      <c r="J63" s="229">
        <f t="shared" si="29"/>
        <v>1996</v>
      </c>
      <c r="K63" s="289">
        <f t="shared" si="29"/>
        <v>10282</v>
      </c>
      <c r="L63" s="294">
        <f t="shared" si="29"/>
        <v>1930</v>
      </c>
      <c r="M63" s="292">
        <f t="shared" si="29"/>
        <v>50313</v>
      </c>
      <c r="O63" s="346"/>
      <c r="Q63" s="346"/>
    </row>
    <row r="64" spans="1:24" s="3" customFormat="1" ht="15.75" thickBot="1" x14ac:dyDescent="0.3">
      <c r="A64" s="23" t="s">
        <v>22</v>
      </c>
      <c r="B64" s="621"/>
      <c r="C64" s="37">
        <f t="shared" ref="C64:M64" si="30">AVERAGE(C54:C58)</f>
        <v>347</v>
      </c>
      <c r="D64" s="216">
        <f>AVERAGE(D54:D58)</f>
        <v>192</v>
      </c>
      <c r="E64" s="240">
        <f>AVERAGE(E54:E57)</f>
        <v>331.5</v>
      </c>
      <c r="F64" s="154">
        <f>AVERAGE(F54:F58)</f>
        <v>3030.8</v>
      </c>
      <c r="G64" s="216">
        <f t="shared" si="30"/>
        <v>2292.1999999999998</v>
      </c>
      <c r="H64" s="290">
        <f>AVERAGE(H54:H58)</f>
        <v>328.8</v>
      </c>
      <c r="I64" s="37">
        <f t="shared" si="30"/>
        <v>706.4</v>
      </c>
      <c r="J64" s="216">
        <f t="shared" si="30"/>
        <v>399.2</v>
      </c>
      <c r="K64" s="290">
        <f t="shared" si="30"/>
        <v>2056.4</v>
      </c>
      <c r="L64" s="211">
        <f t="shared" si="30"/>
        <v>386</v>
      </c>
      <c r="M64" s="38">
        <f t="shared" si="30"/>
        <v>10062.6</v>
      </c>
      <c r="O64" s="346"/>
      <c r="Q64" s="346"/>
    </row>
    <row r="65" spans="1:17" s="3" customFormat="1" ht="15.75" hidden="1" thickBot="1" x14ac:dyDescent="0.3">
      <c r="A65" s="141" t="s">
        <v>3</v>
      </c>
      <c r="B65" s="167"/>
      <c r="C65" s="132"/>
      <c r="D65" s="10"/>
      <c r="E65" s="127"/>
      <c r="F65" s="9"/>
      <c r="G65" s="10"/>
      <c r="H65" s="127"/>
      <c r="I65" s="9"/>
      <c r="J65" s="11"/>
      <c r="K65" s="11"/>
      <c r="L65" s="11"/>
      <c r="M65" s="148">
        <f>SUM(C65:L65)</f>
        <v>0</v>
      </c>
      <c r="O65" s="346"/>
      <c r="Q65" s="346"/>
    </row>
    <row r="66" spans="1:17" s="3" customFormat="1" ht="15.75" hidden="1" thickBot="1" x14ac:dyDescent="0.3">
      <c r="A66" s="141" t="s">
        <v>4</v>
      </c>
      <c r="B66" s="168"/>
      <c r="C66" s="132"/>
      <c r="D66" s="10"/>
      <c r="E66" s="127"/>
      <c r="F66" s="9"/>
      <c r="G66" s="10"/>
      <c r="H66" s="127"/>
      <c r="I66" s="9"/>
      <c r="J66" s="11"/>
      <c r="K66" s="11"/>
      <c r="L66" s="11"/>
      <c r="M66" s="56">
        <f>SUM(C66:L66)</f>
        <v>0</v>
      </c>
      <c r="Q66" s="346"/>
    </row>
    <row r="67" spans="1:17" s="3" customFormat="1" ht="15.75" hidden="1" thickBot="1" x14ac:dyDescent="0.3">
      <c r="A67" s="141" t="s">
        <v>5</v>
      </c>
      <c r="B67" s="169"/>
      <c r="C67" s="132"/>
      <c r="D67" s="10"/>
      <c r="E67" s="127"/>
      <c r="F67" s="9"/>
      <c r="G67" s="10"/>
      <c r="H67" s="127"/>
      <c r="I67" s="9"/>
      <c r="J67" s="11"/>
      <c r="K67" s="11"/>
      <c r="L67" s="11"/>
      <c r="M67" s="14"/>
    </row>
    <row r="68" spans="1:17" s="3" customFormat="1" ht="15.75" hidden="1" thickBot="1" x14ac:dyDescent="0.3">
      <c r="A68" s="141" t="s">
        <v>6</v>
      </c>
      <c r="B68" s="169"/>
      <c r="C68" s="132"/>
      <c r="D68" s="10"/>
      <c r="E68" s="127"/>
      <c r="F68" s="9"/>
      <c r="G68" s="10"/>
      <c r="H68" s="127"/>
      <c r="I68" s="9"/>
      <c r="J68" s="11"/>
      <c r="K68" s="11"/>
      <c r="L68" s="11"/>
      <c r="M68" s="14"/>
    </row>
    <row r="69" spans="1:17" s="3" customFormat="1" ht="15.75" hidden="1" thickBot="1" x14ac:dyDescent="0.3">
      <c r="A69" s="141" t="s">
        <v>0</v>
      </c>
      <c r="B69" s="169"/>
      <c r="C69" s="133"/>
      <c r="D69" s="10"/>
      <c r="E69" s="127"/>
      <c r="F69" s="9"/>
      <c r="G69" s="10"/>
      <c r="H69" s="127"/>
      <c r="I69" s="9"/>
      <c r="J69" s="11"/>
      <c r="K69" s="11"/>
      <c r="L69" s="11"/>
      <c r="M69" s="14"/>
    </row>
    <row r="70" spans="1:17" s="3" customFormat="1" ht="15.75" hidden="1" outlineLevel="1" thickBot="1" x14ac:dyDescent="0.3">
      <c r="A70" s="141" t="s">
        <v>1</v>
      </c>
      <c r="B70" s="169"/>
      <c r="C70" s="133"/>
      <c r="D70" s="16"/>
      <c r="E70" s="128"/>
      <c r="F70" s="15"/>
      <c r="G70" s="16"/>
      <c r="H70" s="128"/>
      <c r="I70" s="15"/>
      <c r="J70" s="17"/>
      <c r="K70" s="17"/>
      <c r="L70" s="17"/>
      <c r="M70" s="14"/>
    </row>
    <row r="71" spans="1:17" s="3" customFormat="1" ht="15.75" hidden="1" outlineLevel="1" thickBot="1" x14ac:dyDescent="0.3">
      <c r="A71" s="141" t="s">
        <v>2</v>
      </c>
      <c r="B71" s="171"/>
      <c r="C71" s="155"/>
      <c r="D71" s="54"/>
      <c r="E71" s="265"/>
      <c r="F71" s="53"/>
      <c r="G71" s="54"/>
      <c r="H71" s="265"/>
      <c r="I71" s="53"/>
      <c r="J71" s="55"/>
      <c r="K71" s="55"/>
      <c r="L71" s="55"/>
      <c r="M71" s="56"/>
    </row>
    <row r="72" spans="1:17" s="3" customFormat="1" ht="15.75" hidden="1" outlineLevel="1" thickBot="1" x14ac:dyDescent="0.3">
      <c r="A72" s="150" t="s">
        <v>21</v>
      </c>
      <c r="B72" s="619" t="s">
        <v>32</v>
      </c>
      <c r="C72" s="156">
        <f t="shared" ref="C72:L72" si="31">SUM(C65:C71)</f>
        <v>0</v>
      </c>
      <c r="D72" s="107">
        <f t="shared" si="31"/>
        <v>0</v>
      </c>
      <c r="E72" s="107">
        <f>SUM(E65:E71)</f>
        <v>0</v>
      </c>
      <c r="F72" s="106">
        <f t="shared" si="31"/>
        <v>0</v>
      </c>
      <c r="G72" s="107">
        <f t="shared" si="31"/>
        <v>0</v>
      </c>
      <c r="H72" s="107">
        <f>SUM(H65:H71)</f>
        <v>0</v>
      </c>
      <c r="I72" s="106">
        <f t="shared" si="31"/>
        <v>0</v>
      </c>
      <c r="J72" s="108">
        <f t="shared" si="31"/>
        <v>0</v>
      </c>
      <c r="K72" s="108">
        <f t="shared" si="31"/>
        <v>0</v>
      </c>
      <c r="L72" s="108">
        <f t="shared" si="31"/>
        <v>0</v>
      </c>
      <c r="M72" s="109">
        <f>SUM(M65:M71)</f>
        <v>0</v>
      </c>
    </row>
    <row r="73" spans="1:17" s="3" customFormat="1" ht="15.75" hidden="1" outlineLevel="1" thickBot="1" x14ac:dyDescent="0.3">
      <c r="A73" s="101" t="s">
        <v>23</v>
      </c>
      <c r="B73" s="620"/>
      <c r="C73" s="157" t="e">
        <f t="shared" ref="C73:M73" si="32">AVERAGE(C65:C71)</f>
        <v>#DIV/0!</v>
      </c>
      <c r="D73" s="103" t="e">
        <f t="shared" si="32"/>
        <v>#DIV/0!</v>
      </c>
      <c r="E73" s="103" t="e">
        <f>AVERAGE(E65:E71)</f>
        <v>#DIV/0!</v>
      </c>
      <c r="F73" s="102" t="e">
        <f t="shared" si="32"/>
        <v>#DIV/0!</v>
      </c>
      <c r="G73" s="103" t="e">
        <f t="shared" si="32"/>
        <v>#DIV/0!</v>
      </c>
      <c r="H73" s="103" t="e">
        <f>AVERAGE(H65:H71)</f>
        <v>#DIV/0!</v>
      </c>
      <c r="I73" s="102" t="e">
        <f t="shared" si="32"/>
        <v>#DIV/0!</v>
      </c>
      <c r="J73" s="104" t="e">
        <f t="shared" si="32"/>
        <v>#DIV/0!</v>
      </c>
      <c r="K73" s="104" t="e">
        <f t="shared" si="32"/>
        <v>#DIV/0!</v>
      </c>
      <c r="L73" s="104" t="e">
        <f t="shared" si="32"/>
        <v>#DIV/0!</v>
      </c>
      <c r="M73" s="105">
        <f t="shared" si="32"/>
        <v>0</v>
      </c>
    </row>
    <row r="74" spans="1:17" s="3" customFormat="1" ht="15.75" hidden="1" thickBot="1" x14ac:dyDescent="0.3">
      <c r="A74" s="23" t="s">
        <v>20</v>
      </c>
      <c r="B74" s="620"/>
      <c r="C74" s="158">
        <f t="shared" ref="C74:M74" si="33">SUM(C65:C69)</f>
        <v>0</v>
      </c>
      <c r="D74" s="25">
        <f t="shared" si="33"/>
        <v>0</v>
      </c>
      <c r="E74" s="25">
        <f>SUM(E65:E69)</f>
        <v>0</v>
      </c>
      <c r="F74" s="24">
        <f t="shared" si="33"/>
        <v>0</v>
      </c>
      <c r="G74" s="25">
        <f t="shared" si="33"/>
        <v>0</v>
      </c>
      <c r="H74" s="25">
        <f>SUM(H65:H69)</f>
        <v>0</v>
      </c>
      <c r="I74" s="24">
        <f t="shared" si="33"/>
        <v>0</v>
      </c>
      <c r="J74" s="26">
        <f t="shared" si="33"/>
        <v>0</v>
      </c>
      <c r="K74" s="26">
        <f t="shared" si="33"/>
        <v>0</v>
      </c>
      <c r="L74" s="26">
        <f t="shared" si="33"/>
        <v>0</v>
      </c>
      <c r="M74" s="27">
        <f t="shared" si="33"/>
        <v>0</v>
      </c>
    </row>
    <row r="75" spans="1:17" s="3" customFormat="1" ht="15.75" hidden="1" thickBot="1" x14ac:dyDescent="0.3">
      <c r="A75" s="23" t="s">
        <v>22</v>
      </c>
      <c r="B75" s="621"/>
      <c r="C75" s="159" t="e">
        <f t="shared" ref="C75:M75" si="34">AVERAGE(C65:C69)</f>
        <v>#DIV/0!</v>
      </c>
      <c r="D75" s="29" t="e">
        <f t="shared" si="34"/>
        <v>#DIV/0!</v>
      </c>
      <c r="E75" s="29" t="e">
        <f>AVERAGE(E65:E69)</f>
        <v>#DIV/0!</v>
      </c>
      <c r="F75" s="28" t="e">
        <f t="shared" si="34"/>
        <v>#DIV/0!</v>
      </c>
      <c r="G75" s="29" t="e">
        <f t="shared" si="34"/>
        <v>#DIV/0!</v>
      </c>
      <c r="H75" s="29" t="e">
        <f>AVERAGE(H65:H69)</f>
        <v>#DIV/0!</v>
      </c>
      <c r="I75" s="28" t="e">
        <f t="shared" si="34"/>
        <v>#DIV/0!</v>
      </c>
      <c r="J75" s="30" t="e">
        <f t="shared" si="34"/>
        <v>#DIV/0!</v>
      </c>
      <c r="K75" s="30" t="e">
        <f t="shared" si="34"/>
        <v>#DIV/0!</v>
      </c>
      <c r="L75" s="30" t="e">
        <f t="shared" si="34"/>
        <v>#DIV/0!</v>
      </c>
      <c r="M75" s="32">
        <f t="shared" si="34"/>
        <v>0</v>
      </c>
    </row>
    <row r="76" spans="1:17" s="3" customFormat="1" ht="21" customHeight="1" x14ac:dyDescent="0.25">
      <c r="A76" s="4"/>
      <c r="B76" s="12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23"/>
      <c r="C77" s="33"/>
      <c r="D77" s="35" t="s">
        <v>8</v>
      </c>
      <c r="E77" s="36" t="s">
        <v>87</v>
      </c>
      <c r="F77" s="36" t="s">
        <v>9</v>
      </c>
      <c r="G77" s="36" t="s">
        <v>10</v>
      </c>
    </row>
    <row r="78" spans="1:17" ht="29.25" customHeight="1" x14ac:dyDescent="0.25">
      <c r="C78" s="39" t="s">
        <v>117</v>
      </c>
      <c r="D78" s="34">
        <f>SUM(C6:E6,C61:E61, C50:E50, C39:E39, C28:E28, C17:E17, C72:E72  )</f>
        <v>17659</v>
      </c>
      <c r="E78" s="34">
        <f>SUM(,L6,L61, L50, L39, L28, L17, L72)</f>
        <v>7099</v>
      </c>
      <c r="F78" s="34">
        <f>SUM(F6:H6,F61:H61, F50:H50, F39:H39, F28:H28, F17:H17, F72:H72 )</f>
        <v>194041</v>
      </c>
      <c r="G78" s="34">
        <f>SUM(I6:K6,I17:K17,I28:K28,I39:K39,I50:K50,I61:K61, I72:K72)</f>
        <v>58836</v>
      </c>
    </row>
    <row r="79" spans="1:17" ht="29.25" customHeight="1" x14ac:dyDescent="0.25">
      <c r="C79" s="39" t="s">
        <v>30</v>
      </c>
      <c r="D79" s="34">
        <f>SUM(C63:E63, C52:E52, C41:E41, C30:E30, C19:E19, C74:E74 )</f>
        <v>15244</v>
      </c>
      <c r="E79" s="34">
        <f>SUM(L63, L52, L41, L30, L19, L74)</f>
        <v>7099</v>
      </c>
      <c r="F79" s="34">
        <f>SUM(F63:H63, F52:H52, F41:H41, F30:H30, F19:H19, F74:H74)</f>
        <v>110399</v>
      </c>
      <c r="G79" s="34">
        <f>SUM(I63:K63, I52:K52, I41:K41, I30:K30, I19:K19, I74:K74)</f>
        <v>58836</v>
      </c>
    </row>
    <row r="80" spans="1:17" ht="30" customHeight="1" x14ac:dyDescent="0.25"/>
    <row r="81" spans="3:6" ht="30" customHeight="1" x14ac:dyDescent="0.25">
      <c r="C81" s="666" t="s">
        <v>55</v>
      </c>
      <c r="D81" s="667"/>
      <c r="E81" s="667"/>
      <c r="F81" s="668"/>
    </row>
    <row r="82" spans="3:6" x14ac:dyDescent="0.25">
      <c r="C82" s="625" t="s">
        <v>117</v>
      </c>
      <c r="D82" s="626"/>
      <c r="E82" s="264"/>
      <c r="F82" s="99">
        <f>SUM(M6,M61, M50, M39, M28, M17, M72)</f>
        <v>277635</v>
      </c>
    </row>
    <row r="83" spans="3:6" x14ac:dyDescent="0.25">
      <c r="C83" s="625" t="s">
        <v>30</v>
      </c>
      <c r="D83" s="626"/>
      <c r="E83" s="264"/>
      <c r="F83" s="98">
        <f>SUM(M19, M30, M41, M52, M63, M74)</f>
        <v>191578</v>
      </c>
    </row>
    <row r="84" spans="3:6" x14ac:dyDescent="0.25">
      <c r="C84" s="625" t="s">
        <v>118</v>
      </c>
      <c r="D84" s="626"/>
      <c r="E84" s="264"/>
      <c r="F84" s="99">
        <f>AVERAGE(M6,M61, M50, M39, M28, M17, M72)</f>
        <v>39662.142857142855</v>
      </c>
    </row>
    <row r="85" spans="3:6" x14ac:dyDescent="0.25">
      <c r="C85" s="625" t="s">
        <v>22</v>
      </c>
      <c r="D85" s="626"/>
      <c r="E85" s="264"/>
      <c r="F85" s="98">
        <f>AVERAGE(M19, M30, M41, M52, M63, M74)</f>
        <v>31929.666666666668</v>
      </c>
    </row>
  </sheetData>
  <mergeCells count="29"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7"/>
  <sheetViews>
    <sheetView workbookViewId="0">
      <pane xSplit="2" ySplit="4" topLeftCell="C37" activePane="bottomRight" state="frozen"/>
      <selection pane="topRight" activeCell="C1" sqref="C1"/>
      <selection pane="bottomLeft" activeCell="A5" sqref="A5"/>
      <selection pane="bottomRight" activeCell="G77" sqref="G77"/>
    </sheetView>
  </sheetViews>
  <sheetFormatPr defaultRowHeight="15" outlineLevelRow="1" x14ac:dyDescent="0.25"/>
  <cols>
    <col min="1" max="1" width="18.7109375" style="1" bestFit="1" customWidth="1"/>
    <col min="2" max="2" width="8.7109375" style="124" bestFit="1" customWidth="1"/>
    <col min="3" max="6" width="15.7109375" style="8" customWidth="1"/>
    <col min="7" max="7" width="16" style="8" customWidth="1"/>
    <col min="8" max="8" width="18.5703125" style="8" bestFit="1" customWidth="1"/>
    <col min="9" max="16384" width="9.140625" style="8"/>
  </cols>
  <sheetData>
    <row r="1" spans="1:8" ht="14.25" customHeight="1" x14ac:dyDescent="0.25">
      <c r="A1" s="20"/>
      <c r="B1" s="160"/>
      <c r="C1" s="654" t="s">
        <v>10</v>
      </c>
      <c r="D1" s="656"/>
      <c r="E1" s="654" t="s">
        <v>14</v>
      </c>
      <c r="F1" s="656"/>
      <c r="G1" s="652" t="s">
        <v>19</v>
      </c>
    </row>
    <row r="2" spans="1:8" ht="14.25" customHeight="1" thickBot="1" x14ac:dyDescent="0.3">
      <c r="A2" s="21"/>
      <c r="B2" s="161"/>
      <c r="C2" s="685"/>
      <c r="D2" s="686"/>
      <c r="E2" s="685"/>
      <c r="F2" s="686"/>
      <c r="G2" s="653"/>
    </row>
    <row r="3" spans="1:8" ht="14.25" customHeight="1" x14ac:dyDescent="0.25">
      <c r="A3" s="611" t="s">
        <v>52</v>
      </c>
      <c r="B3" s="664" t="s">
        <v>53</v>
      </c>
      <c r="C3" s="681" t="s">
        <v>41</v>
      </c>
      <c r="D3" s="683" t="s">
        <v>42</v>
      </c>
      <c r="E3" s="681" t="s">
        <v>54</v>
      </c>
      <c r="F3" s="683" t="s">
        <v>42</v>
      </c>
      <c r="G3" s="653"/>
    </row>
    <row r="4" spans="1:8" ht="14.25" thickBot="1" x14ac:dyDescent="0.3">
      <c r="A4" s="663"/>
      <c r="B4" s="680"/>
      <c r="C4" s="682"/>
      <c r="D4" s="684"/>
      <c r="E4" s="682"/>
      <c r="F4" s="684"/>
      <c r="G4" s="653"/>
    </row>
    <row r="5" spans="1:8" s="43" customFormat="1" ht="13.5" hidden="1" x14ac:dyDescent="0.25">
      <c r="A5" s="22" t="s">
        <v>3</v>
      </c>
      <c r="B5" s="303">
        <v>43857</v>
      </c>
      <c r="C5" s="48"/>
      <c r="D5" s="49"/>
      <c r="E5" s="48"/>
      <c r="F5" s="113"/>
      <c r="G5" s="320">
        <f t="shared" ref="G5:G11" si="0">SUM(C5:F5)</f>
        <v>0</v>
      </c>
    </row>
    <row r="6" spans="1:8" s="43" customFormat="1" ht="13.5" hidden="1" x14ac:dyDescent="0.25">
      <c r="A6" s="22" t="s">
        <v>4</v>
      </c>
      <c r="B6" s="163">
        <v>43858</v>
      </c>
      <c r="C6" s="312"/>
      <c r="D6" s="353"/>
      <c r="E6" s="312"/>
      <c r="F6" s="315"/>
      <c r="G6" s="320">
        <f t="shared" si="0"/>
        <v>0</v>
      </c>
    </row>
    <row r="7" spans="1:8" s="43" customFormat="1" ht="13.5" hidden="1" x14ac:dyDescent="0.25">
      <c r="A7" s="22" t="s">
        <v>5</v>
      </c>
      <c r="B7" s="163">
        <v>43859</v>
      </c>
      <c r="C7" s="312"/>
      <c r="D7" s="353"/>
      <c r="E7" s="312"/>
      <c r="F7" s="315"/>
      <c r="G7" s="320">
        <f t="shared" si="0"/>
        <v>0</v>
      </c>
    </row>
    <row r="8" spans="1:8" s="43" customFormat="1" ht="13.5" hidden="1" x14ac:dyDescent="0.25">
      <c r="A8" s="22" t="s">
        <v>6</v>
      </c>
      <c r="B8" s="163">
        <v>43860</v>
      </c>
      <c r="C8" s="312"/>
      <c r="D8" s="353"/>
      <c r="E8" s="312"/>
      <c r="F8" s="315"/>
      <c r="G8" s="320">
        <f t="shared" si="0"/>
        <v>0</v>
      </c>
      <c r="H8" s="142"/>
    </row>
    <row r="9" spans="1:8" s="43" customFormat="1" ht="13.5" hidden="1" x14ac:dyDescent="0.25">
      <c r="A9" s="22" t="s">
        <v>0</v>
      </c>
      <c r="B9" s="170">
        <v>43861</v>
      </c>
      <c r="C9" s="312"/>
      <c r="D9" s="353"/>
      <c r="E9" s="312"/>
      <c r="F9" s="315"/>
      <c r="G9" s="320">
        <f t="shared" si="0"/>
        <v>0</v>
      </c>
      <c r="H9" s="142"/>
    </row>
    <row r="10" spans="1:8" s="43" customFormat="1" ht="13.5" outlineLevel="1" x14ac:dyDescent="0.25">
      <c r="A10" s="22" t="s">
        <v>1</v>
      </c>
      <c r="B10" s="170">
        <v>43862</v>
      </c>
      <c r="C10" s="312">
        <v>0</v>
      </c>
      <c r="D10" s="353">
        <v>339</v>
      </c>
      <c r="E10" s="312"/>
      <c r="F10" s="315">
        <v>395</v>
      </c>
      <c r="G10" s="320">
        <f t="shared" si="0"/>
        <v>734</v>
      </c>
      <c r="H10" s="142"/>
    </row>
    <row r="11" spans="1:8" s="43" customFormat="1" ht="15" customHeight="1" outlineLevel="1" thickBot="1" x14ac:dyDescent="0.3">
      <c r="A11" s="141" t="s">
        <v>2</v>
      </c>
      <c r="B11" s="170">
        <v>43863</v>
      </c>
      <c r="C11" s="312">
        <v>0</v>
      </c>
      <c r="D11" s="353">
        <v>264</v>
      </c>
      <c r="E11" s="312"/>
      <c r="F11" s="315">
        <v>311</v>
      </c>
      <c r="G11" s="320">
        <f t="shared" si="0"/>
        <v>575</v>
      </c>
      <c r="H11" s="142"/>
    </row>
    <row r="12" spans="1:8" s="44" customFormat="1" ht="15" customHeight="1" outlineLevel="1" thickBot="1" x14ac:dyDescent="0.3">
      <c r="A12" s="150" t="s">
        <v>21</v>
      </c>
      <c r="B12" s="672" t="s">
        <v>24</v>
      </c>
      <c r="C12" s="313">
        <f>SUM(C5:C11)</f>
        <v>0</v>
      </c>
      <c r="D12" s="352">
        <f>SUM(D5:D11)</f>
        <v>603</v>
      </c>
      <c r="E12" s="313">
        <f>SUM(E5:E11)</f>
        <v>0</v>
      </c>
      <c r="F12" s="316">
        <f>SUM(F5:F11)</f>
        <v>706</v>
      </c>
      <c r="G12" s="321">
        <f>SUM(G5:G11)</f>
        <v>1309</v>
      </c>
    </row>
    <row r="13" spans="1:8" s="44" customFormat="1" ht="15" customHeight="1" outlineLevel="1" thickBot="1" x14ac:dyDescent="0.3">
      <c r="A13" s="101" t="s">
        <v>23</v>
      </c>
      <c r="B13" s="672"/>
      <c r="C13" s="313">
        <f>AVERAGE(C5:C11)</f>
        <v>0</v>
      </c>
      <c r="D13" s="352">
        <f>AVERAGE(D5:D11)</f>
        <v>301.5</v>
      </c>
      <c r="E13" s="313" t="e">
        <f>AVERAGE(E5:E11)</f>
        <v>#DIV/0!</v>
      </c>
      <c r="F13" s="316">
        <f>AVERAGE(F5:F11)</f>
        <v>353</v>
      </c>
      <c r="G13" s="321">
        <f>AVERAGE(G5:G11)</f>
        <v>187</v>
      </c>
    </row>
    <row r="14" spans="1:8" s="44" customFormat="1" ht="15" customHeight="1" thickBot="1" x14ac:dyDescent="0.3">
      <c r="A14" s="23" t="s">
        <v>20</v>
      </c>
      <c r="B14" s="672"/>
      <c r="C14" s="314">
        <f>SUM(C5:C9)</f>
        <v>0</v>
      </c>
      <c r="D14" s="350">
        <f>SUM(D5:D9)</f>
        <v>0</v>
      </c>
      <c r="E14" s="314">
        <f>SUM(E5:E9)</f>
        <v>0</v>
      </c>
      <c r="F14" s="317">
        <f>SUM(F5:F9)</f>
        <v>0</v>
      </c>
      <c r="G14" s="322">
        <f>SUM(G5:G9)</f>
        <v>0</v>
      </c>
    </row>
    <row r="15" spans="1:8" s="44" customFormat="1" ht="15" customHeight="1" thickBot="1" x14ac:dyDescent="0.3">
      <c r="A15" s="23" t="s">
        <v>22</v>
      </c>
      <c r="B15" s="672"/>
      <c r="C15" s="314" t="e">
        <f>AVERAGE(C5:C9)</f>
        <v>#DIV/0!</v>
      </c>
      <c r="D15" s="350" t="e">
        <f>AVERAGE(D5:D9)</f>
        <v>#DIV/0!</v>
      </c>
      <c r="E15" s="314" t="e">
        <f>AVERAGE(E5:E9)</f>
        <v>#DIV/0!</v>
      </c>
      <c r="F15" s="317" t="e">
        <f>AVERAGE(F5:F9)</f>
        <v>#DIV/0!</v>
      </c>
      <c r="G15" s="322">
        <f>AVERAGE(G5:G9)</f>
        <v>0</v>
      </c>
    </row>
    <row r="16" spans="1:8" s="44" customFormat="1" ht="15" customHeight="1" x14ac:dyDescent="0.25">
      <c r="A16" s="22" t="s">
        <v>3</v>
      </c>
      <c r="B16" s="163">
        <v>43864</v>
      </c>
      <c r="C16" s="287">
        <v>1258</v>
      </c>
      <c r="D16" s="351">
        <v>1258</v>
      </c>
      <c r="E16" s="287">
        <v>879</v>
      </c>
      <c r="F16" s="318">
        <v>875</v>
      </c>
      <c r="G16" s="320">
        <f>SUM(C16:F16)</f>
        <v>4270</v>
      </c>
    </row>
    <row r="17" spans="1:8" s="44" customFormat="1" ht="15" customHeight="1" x14ac:dyDescent="0.25">
      <c r="A17" s="22" t="s">
        <v>4</v>
      </c>
      <c r="B17" s="163">
        <v>43865</v>
      </c>
      <c r="C17" s="287">
        <v>1320</v>
      </c>
      <c r="D17" s="351">
        <v>1372</v>
      </c>
      <c r="E17" s="287">
        <v>919</v>
      </c>
      <c r="F17" s="318">
        <v>944</v>
      </c>
      <c r="G17" s="320">
        <f t="shared" ref="G17:G22" si="1">SUM(C17:F17)</f>
        <v>4555</v>
      </c>
    </row>
    <row r="18" spans="1:8" s="44" customFormat="1" ht="15" customHeight="1" x14ac:dyDescent="0.25">
      <c r="A18" s="22" t="s">
        <v>5</v>
      </c>
      <c r="B18" s="163">
        <v>43866</v>
      </c>
      <c r="C18" s="287">
        <v>1322</v>
      </c>
      <c r="D18" s="351">
        <v>1222</v>
      </c>
      <c r="E18" s="287">
        <v>902</v>
      </c>
      <c r="F18" s="318">
        <v>937</v>
      </c>
      <c r="G18" s="320">
        <f t="shared" si="1"/>
        <v>4383</v>
      </c>
    </row>
    <row r="19" spans="1:8" s="44" customFormat="1" ht="15" customHeight="1" x14ac:dyDescent="0.25">
      <c r="A19" s="22" t="s">
        <v>6</v>
      </c>
      <c r="B19" s="163">
        <v>43867</v>
      </c>
      <c r="C19" s="287">
        <v>1277</v>
      </c>
      <c r="D19" s="351">
        <v>1142</v>
      </c>
      <c r="E19" s="287">
        <v>971</v>
      </c>
      <c r="F19" s="318">
        <v>872</v>
      </c>
      <c r="G19" s="320">
        <f t="shared" si="1"/>
        <v>4262</v>
      </c>
    </row>
    <row r="20" spans="1:8" s="44" customFormat="1" ht="15" customHeight="1" x14ac:dyDescent="0.25">
      <c r="A20" s="22" t="s">
        <v>0</v>
      </c>
      <c r="B20" s="163">
        <v>43868</v>
      </c>
      <c r="C20" s="287">
        <v>937</v>
      </c>
      <c r="D20" s="351">
        <v>956</v>
      </c>
      <c r="E20" s="287">
        <v>620</v>
      </c>
      <c r="F20" s="318">
        <v>718</v>
      </c>
      <c r="G20" s="320">
        <f t="shared" si="1"/>
        <v>3231</v>
      </c>
    </row>
    <row r="21" spans="1:8" s="44" customFormat="1" ht="15" customHeight="1" outlineLevel="1" x14ac:dyDescent="0.25">
      <c r="A21" s="22" t="s">
        <v>1</v>
      </c>
      <c r="B21" s="163">
        <v>43869</v>
      </c>
      <c r="C21" s="287">
        <v>0</v>
      </c>
      <c r="D21" s="351">
        <v>334</v>
      </c>
      <c r="E21" s="287">
        <v>0</v>
      </c>
      <c r="F21" s="318">
        <v>424</v>
      </c>
      <c r="G21" s="320">
        <f t="shared" si="1"/>
        <v>758</v>
      </c>
      <c r="H21" s="145"/>
    </row>
    <row r="22" spans="1:8" s="44" customFormat="1" ht="15" customHeight="1" outlineLevel="1" thickBot="1" x14ac:dyDescent="0.3">
      <c r="A22" s="22" t="s">
        <v>2</v>
      </c>
      <c r="B22" s="163">
        <v>43870</v>
      </c>
      <c r="C22" s="287">
        <v>0</v>
      </c>
      <c r="D22" s="351">
        <v>321</v>
      </c>
      <c r="E22" s="287">
        <v>0</v>
      </c>
      <c r="F22" s="318">
        <v>488</v>
      </c>
      <c r="G22" s="320">
        <f t="shared" si="1"/>
        <v>809</v>
      </c>
    </row>
    <row r="23" spans="1:8" s="44" customFormat="1" ht="15" customHeight="1" outlineLevel="1" thickBot="1" x14ac:dyDescent="0.3">
      <c r="A23" s="150" t="s">
        <v>21</v>
      </c>
      <c r="B23" s="672" t="s">
        <v>25</v>
      </c>
      <c r="C23" s="313">
        <f>SUM(C16:C22)</f>
        <v>6114</v>
      </c>
      <c r="D23" s="352">
        <f>SUM(D16:D22)</f>
        <v>6605</v>
      </c>
      <c r="E23" s="313">
        <f>SUM(E16:E22)</f>
        <v>4291</v>
      </c>
      <c r="F23" s="316">
        <f>SUM(F16:F22)</f>
        <v>5258</v>
      </c>
      <c r="G23" s="321">
        <f>SUM(G16:G22)</f>
        <v>22268</v>
      </c>
    </row>
    <row r="24" spans="1:8" s="44" customFormat="1" ht="15" customHeight="1" outlineLevel="1" thickBot="1" x14ac:dyDescent="0.3">
      <c r="A24" s="101" t="s">
        <v>23</v>
      </c>
      <c r="B24" s="672"/>
      <c r="C24" s="313">
        <f>AVERAGE(C16:C22)</f>
        <v>873.42857142857144</v>
      </c>
      <c r="D24" s="352">
        <f>AVERAGE(D16:D22)</f>
        <v>943.57142857142856</v>
      </c>
      <c r="E24" s="347">
        <f>AVERAGE(E16:E22)</f>
        <v>613</v>
      </c>
      <c r="F24" s="348">
        <f>AVERAGE(F16:F22)</f>
        <v>751.14285714285711</v>
      </c>
      <c r="G24" s="321">
        <f>AVERAGE(G16:G22)</f>
        <v>3181.1428571428573</v>
      </c>
    </row>
    <row r="25" spans="1:8" s="44" customFormat="1" ht="15" customHeight="1" thickBot="1" x14ac:dyDescent="0.3">
      <c r="A25" s="23" t="s">
        <v>20</v>
      </c>
      <c r="B25" s="672"/>
      <c r="C25" s="314">
        <f>SUM(C16:C20)</f>
        <v>6114</v>
      </c>
      <c r="D25" s="350">
        <f>SUM(D16:D20)</f>
        <v>5950</v>
      </c>
      <c r="E25" s="349">
        <f>SUM(E16:E20)</f>
        <v>4291</v>
      </c>
      <c r="F25" s="355">
        <f>SUM(F16:F20)</f>
        <v>4346</v>
      </c>
      <c r="G25" s="322">
        <f>SUM(G16:G20)</f>
        <v>20701</v>
      </c>
    </row>
    <row r="26" spans="1:8" s="44" customFormat="1" ht="15" customHeight="1" thickBot="1" x14ac:dyDescent="0.3">
      <c r="A26" s="23" t="s">
        <v>22</v>
      </c>
      <c r="B26" s="672"/>
      <c r="C26" s="314">
        <f>AVERAGE(C16:C20)</f>
        <v>1222.8</v>
      </c>
      <c r="D26" s="350">
        <f>AVERAGE(D16:D20)</f>
        <v>1190</v>
      </c>
      <c r="E26" s="314">
        <f>AVERAGE(E16:E20)</f>
        <v>858.2</v>
      </c>
      <c r="F26" s="317">
        <f>AVERAGE(F16:F20)</f>
        <v>869.2</v>
      </c>
      <c r="G26" s="322">
        <f>AVERAGE(G16:G20)</f>
        <v>4140.2</v>
      </c>
    </row>
    <row r="27" spans="1:8" s="44" customFormat="1" ht="15" customHeight="1" x14ac:dyDescent="0.25">
      <c r="A27" s="22" t="s">
        <v>3</v>
      </c>
      <c r="B27" s="166">
        <f>B22+1</f>
        <v>43871</v>
      </c>
      <c r="C27" s="287">
        <v>1153</v>
      </c>
      <c r="D27" s="351">
        <v>1209</v>
      </c>
      <c r="E27" s="287">
        <v>757</v>
      </c>
      <c r="F27" s="318">
        <v>822</v>
      </c>
      <c r="G27" s="320">
        <f>SUM(C27:F27)</f>
        <v>3941</v>
      </c>
    </row>
    <row r="28" spans="1:8" s="44" customFormat="1" ht="15" customHeight="1" x14ac:dyDescent="0.25">
      <c r="A28" s="22" t="s">
        <v>4</v>
      </c>
      <c r="B28" s="166">
        <f t="shared" ref="B28:B33" si="2">B27+1</f>
        <v>43872</v>
      </c>
      <c r="C28" s="287">
        <v>1179</v>
      </c>
      <c r="D28" s="351">
        <v>1214</v>
      </c>
      <c r="E28" s="287">
        <v>862</v>
      </c>
      <c r="F28" s="318">
        <v>904</v>
      </c>
      <c r="G28" s="320">
        <f t="shared" ref="G28:G33" si="3">SUM(C28:F28)</f>
        <v>4159</v>
      </c>
    </row>
    <row r="29" spans="1:8" s="44" customFormat="1" ht="15" customHeight="1" x14ac:dyDescent="0.25">
      <c r="A29" s="22" t="s">
        <v>5</v>
      </c>
      <c r="B29" s="166">
        <f t="shared" si="2"/>
        <v>43873</v>
      </c>
      <c r="C29" s="287">
        <v>1229</v>
      </c>
      <c r="D29" s="351">
        <v>1281</v>
      </c>
      <c r="E29" s="287">
        <v>914</v>
      </c>
      <c r="F29" s="318">
        <v>915</v>
      </c>
      <c r="G29" s="320">
        <f t="shared" si="3"/>
        <v>4339</v>
      </c>
    </row>
    <row r="30" spans="1:8" s="44" customFormat="1" ht="15" customHeight="1" x14ac:dyDescent="0.25">
      <c r="A30" s="22" t="s">
        <v>6</v>
      </c>
      <c r="B30" s="166">
        <f t="shared" si="2"/>
        <v>43874</v>
      </c>
      <c r="C30" s="312">
        <v>1290</v>
      </c>
      <c r="D30" s="351">
        <v>1323</v>
      </c>
      <c r="E30" s="312">
        <v>882</v>
      </c>
      <c r="F30" s="318">
        <v>892</v>
      </c>
      <c r="G30" s="320">
        <f t="shared" si="3"/>
        <v>4387</v>
      </c>
    </row>
    <row r="31" spans="1:8" s="44" customFormat="1" ht="15" customHeight="1" x14ac:dyDescent="0.25">
      <c r="A31" s="22" t="s">
        <v>0</v>
      </c>
      <c r="B31" s="166">
        <f t="shared" si="2"/>
        <v>43875</v>
      </c>
      <c r="C31" s="312">
        <v>950</v>
      </c>
      <c r="D31" s="351">
        <v>892</v>
      </c>
      <c r="E31" s="312">
        <v>722</v>
      </c>
      <c r="F31" s="318">
        <v>736</v>
      </c>
      <c r="G31" s="320">
        <f t="shared" si="3"/>
        <v>3300</v>
      </c>
    </row>
    <row r="32" spans="1:8" s="44" customFormat="1" ht="15" customHeight="1" outlineLevel="1" x14ac:dyDescent="0.25">
      <c r="A32" s="22" t="s">
        <v>1</v>
      </c>
      <c r="B32" s="166">
        <f t="shared" si="2"/>
        <v>43876</v>
      </c>
      <c r="C32" s="312">
        <v>0</v>
      </c>
      <c r="D32" s="351">
        <v>298</v>
      </c>
      <c r="E32" s="312">
        <v>0</v>
      </c>
      <c r="F32" s="318">
        <v>441</v>
      </c>
      <c r="G32" s="320">
        <f t="shared" si="3"/>
        <v>739</v>
      </c>
    </row>
    <row r="33" spans="1:8" s="44" customFormat="1" ht="15" customHeight="1" outlineLevel="1" thickBot="1" x14ac:dyDescent="0.3">
      <c r="A33" s="22" t="s">
        <v>2</v>
      </c>
      <c r="B33" s="166">
        <f t="shared" si="2"/>
        <v>43877</v>
      </c>
      <c r="C33" s="312">
        <v>0</v>
      </c>
      <c r="D33" s="351">
        <v>387</v>
      </c>
      <c r="E33" s="312">
        <v>0</v>
      </c>
      <c r="F33" s="318">
        <v>417</v>
      </c>
      <c r="G33" s="320">
        <f t="shared" si="3"/>
        <v>804</v>
      </c>
      <c r="H33" s="145"/>
    </row>
    <row r="34" spans="1:8" s="44" customFormat="1" ht="15" customHeight="1" outlineLevel="1" thickBot="1" x14ac:dyDescent="0.3">
      <c r="A34" s="150" t="s">
        <v>21</v>
      </c>
      <c r="B34" s="672" t="s">
        <v>26</v>
      </c>
      <c r="C34" s="313">
        <f>SUM(C27:C33)</f>
        <v>5801</v>
      </c>
      <c r="D34" s="352">
        <f>SUM(D27:D33)</f>
        <v>6604</v>
      </c>
      <c r="E34" s="313">
        <f>SUM(E27:E33)</f>
        <v>4137</v>
      </c>
      <c r="F34" s="316">
        <f>SUM(F27:F33)</f>
        <v>5127</v>
      </c>
      <c r="G34" s="321">
        <f>SUM(G27:G33)</f>
        <v>21669</v>
      </c>
    </row>
    <row r="35" spans="1:8" s="44" customFormat="1" ht="15" customHeight="1" outlineLevel="1" thickBot="1" x14ac:dyDescent="0.3">
      <c r="A35" s="101" t="s">
        <v>23</v>
      </c>
      <c r="B35" s="672"/>
      <c r="C35" s="313">
        <f>AVERAGE(C27:C33)</f>
        <v>828.71428571428567</v>
      </c>
      <c r="D35" s="352">
        <f>AVERAGE(D27:D33)</f>
        <v>943.42857142857144</v>
      </c>
      <c r="E35" s="313">
        <f>AVERAGE(E27:E33)</f>
        <v>591</v>
      </c>
      <c r="F35" s="316">
        <f>AVERAGE(F27:F33)</f>
        <v>732.42857142857144</v>
      </c>
      <c r="G35" s="321">
        <f>AVERAGE(G27:G33)</f>
        <v>3095.5714285714284</v>
      </c>
    </row>
    <row r="36" spans="1:8" s="44" customFormat="1" ht="15" customHeight="1" thickBot="1" x14ac:dyDescent="0.3">
      <c r="A36" s="23" t="s">
        <v>20</v>
      </c>
      <c r="B36" s="672"/>
      <c r="C36" s="314">
        <f>SUM(C27:C31)</f>
        <v>5801</v>
      </c>
      <c r="D36" s="350">
        <f>SUM(D27:D31)</f>
        <v>5919</v>
      </c>
      <c r="E36" s="314">
        <f>SUM(E27:E31)</f>
        <v>4137</v>
      </c>
      <c r="F36" s="317">
        <f>SUM(F27:F31)</f>
        <v>4269</v>
      </c>
      <c r="G36" s="322">
        <f>SUM(G27:G31)</f>
        <v>20126</v>
      </c>
    </row>
    <row r="37" spans="1:8" s="44" customFormat="1" ht="15" customHeight="1" thickBot="1" x14ac:dyDescent="0.3">
      <c r="A37" s="23" t="s">
        <v>22</v>
      </c>
      <c r="B37" s="672"/>
      <c r="C37" s="314">
        <f>AVERAGE(C27:C31)</f>
        <v>1160.2</v>
      </c>
      <c r="D37" s="350">
        <f>AVERAGE(D27:D31)</f>
        <v>1183.8</v>
      </c>
      <c r="E37" s="314">
        <f>AVERAGE(E27:E31)</f>
        <v>827.4</v>
      </c>
      <c r="F37" s="317">
        <f>AVERAGE(F27:F31)</f>
        <v>853.8</v>
      </c>
      <c r="G37" s="322">
        <f>AVERAGE(G27:G31)</f>
        <v>4025.2</v>
      </c>
    </row>
    <row r="38" spans="1:8" s="44" customFormat="1" ht="15" customHeight="1" x14ac:dyDescent="0.25">
      <c r="A38" s="22" t="s">
        <v>3</v>
      </c>
      <c r="B38" s="168">
        <f>B33+1</f>
        <v>43878</v>
      </c>
      <c r="C38" s="312">
        <v>0</v>
      </c>
      <c r="D38" s="351">
        <v>554</v>
      </c>
      <c r="E38" s="312">
        <v>0</v>
      </c>
      <c r="F38" s="318">
        <v>473</v>
      </c>
      <c r="G38" s="320">
        <f t="shared" ref="G38:G44" si="4">SUM(C38:F38)</f>
        <v>1027</v>
      </c>
      <c r="H38" s="145"/>
    </row>
    <row r="39" spans="1:8" s="44" customFormat="1" ht="15" customHeight="1" x14ac:dyDescent="0.25">
      <c r="A39" s="22" t="s">
        <v>4</v>
      </c>
      <c r="B39" s="168">
        <f t="shared" ref="B39:B44" si="5">B38+1</f>
        <v>43879</v>
      </c>
      <c r="C39" s="312">
        <v>1323</v>
      </c>
      <c r="D39" s="351">
        <v>1406</v>
      </c>
      <c r="E39" s="312">
        <v>909</v>
      </c>
      <c r="F39" s="318">
        <v>1048</v>
      </c>
      <c r="G39" s="320">
        <f t="shared" si="4"/>
        <v>4686</v>
      </c>
      <c r="H39" s="145"/>
    </row>
    <row r="40" spans="1:8" s="44" customFormat="1" ht="15" customHeight="1" x14ac:dyDescent="0.25">
      <c r="A40" s="22" t="s">
        <v>5</v>
      </c>
      <c r="B40" s="168">
        <f t="shared" si="5"/>
        <v>43880</v>
      </c>
      <c r="C40" s="312">
        <v>1297</v>
      </c>
      <c r="D40" s="351">
        <v>1365</v>
      </c>
      <c r="E40" s="312">
        <v>869</v>
      </c>
      <c r="F40" s="318">
        <v>1026</v>
      </c>
      <c r="G40" s="320">
        <f t="shared" si="4"/>
        <v>4557</v>
      </c>
      <c r="H40" s="145"/>
    </row>
    <row r="41" spans="1:8" s="44" customFormat="1" ht="15" customHeight="1" x14ac:dyDescent="0.25">
      <c r="A41" s="22" t="s">
        <v>6</v>
      </c>
      <c r="B41" s="168">
        <f t="shared" si="5"/>
        <v>43881</v>
      </c>
      <c r="C41" s="312">
        <v>1267</v>
      </c>
      <c r="D41" s="351">
        <v>1421</v>
      </c>
      <c r="E41" s="287">
        <v>875</v>
      </c>
      <c r="F41" s="318">
        <v>954</v>
      </c>
      <c r="G41" s="320">
        <f t="shared" si="4"/>
        <v>4517</v>
      </c>
      <c r="H41" s="145"/>
    </row>
    <row r="42" spans="1:8" s="44" customFormat="1" ht="15" customHeight="1" x14ac:dyDescent="0.25">
      <c r="A42" s="22" t="s">
        <v>0</v>
      </c>
      <c r="B42" s="168">
        <f t="shared" si="5"/>
        <v>43882</v>
      </c>
      <c r="C42" s="312">
        <v>975</v>
      </c>
      <c r="D42" s="351">
        <v>1096</v>
      </c>
      <c r="E42" s="287">
        <v>694</v>
      </c>
      <c r="F42" s="318">
        <v>801</v>
      </c>
      <c r="G42" s="320">
        <f t="shared" si="4"/>
        <v>3566</v>
      </c>
      <c r="H42" s="145"/>
    </row>
    <row r="43" spans="1:8" s="44" customFormat="1" ht="15" customHeight="1" outlineLevel="1" x14ac:dyDescent="0.25">
      <c r="A43" s="22" t="s">
        <v>1</v>
      </c>
      <c r="B43" s="168">
        <f t="shared" si="5"/>
        <v>43883</v>
      </c>
      <c r="C43" s="312">
        <v>0</v>
      </c>
      <c r="D43" s="351">
        <v>385</v>
      </c>
      <c r="E43" s="312">
        <v>0</v>
      </c>
      <c r="F43" s="318">
        <v>458</v>
      </c>
      <c r="G43" s="320">
        <f t="shared" si="4"/>
        <v>843</v>
      </c>
      <c r="H43" s="145"/>
    </row>
    <row r="44" spans="1:8" s="44" customFormat="1" ht="15" customHeight="1" outlineLevel="1" thickBot="1" x14ac:dyDescent="0.3">
      <c r="A44" s="22" t="s">
        <v>2</v>
      </c>
      <c r="B44" s="168">
        <f t="shared" si="5"/>
        <v>43884</v>
      </c>
      <c r="C44" s="312">
        <v>0</v>
      </c>
      <c r="D44" s="351">
        <v>407</v>
      </c>
      <c r="E44" s="312">
        <v>0</v>
      </c>
      <c r="F44" s="318">
        <v>401</v>
      </c>
      <c r="G44" s="320">
        <f t="shared" si="4"/>
        <v>808</v>
      </c>
      <c r="H44" s="145"/>
    </row>
    <row r="45" spans="1:8" s="44" customFormat="1" ht="15" customHeight="1" outlineLevel="1" thickBot="1" x14ac:dyDescent="0.3">
      <c r="A45" s="150" t="s">
        <v>21</v>
      </c>
      <c r="B45" s="672" t="s">
        <v>27</v>
      </c>
      <c r="C45" s="313">
        <f>SUM(C38:C44)</f>
        <v>4862</v>
      </c>
      <c r="D45" s="352">
        <f>SUM(D38:D44)</f>
        <v>6634</v>
      </c>
      <c r="E45" s="313">
        <f>SUM(E38:E44)</f>
        <v>3347</v>
      </c>
      <c r="F45" s="316">
        <f>SUM(F38:F44)</f>
        <v>5161</v>
      </c>
      <c r="G45" s="321">
        <f>SUM(G38:G44)</f>
        <v>20004</v>
      </c>
    </row>
    <row r="46" spans="1:8" s="44" customFormat="1" ht="15" customHeight="1" outlineLevel="1" thickBot="1" x14ac:dyDescent="0.3">
      <c r="A46" s="101" t="s">
        <v>23</v>
      </c>
      <c r="B46" s="672"/>
      <c r="C46" s="313">
        <f>AVERAGE(C38:C44)</f>
        <v>694.57142857142856</v>
      </c>
      <c r="D46" s="352">
        <f>AVERAGE(D38:D44)</f>
        <v>947.71428571428567</v>
      </c>
      <c r="E46" s="313">
        <f>AVERAGE(E38:E44)</f>
        <v>478.14285714285717</v>
      </c>
      <c r="F46" s="316">
        <f>AVERAGE(F38:F44)</f>
        <v>737.28571428571433</v>
      </c>
      <c r="G46" s="321">
        <f>AVERAGE(G38:G44)</f>
        <v>2857.7142857142858</v>
      </c>
    </row>
    <row r="47" spans="1:8" s="44" customFormat="1" ht="15" customHeight="1" thickBot="1" x14ac:dyDescent="0.3">
      <c r="A47" s="23" t="s">
        <v>20</v>
      </c>
      <c r="B47" s="672"/>
      <c r="C47" s="314">
        <f>SUM(C38:C42)</f>
        <v>4862</v>
      </c>
      <c r="D47" s="350">
        <f>SUM(D38:D42)</f>
        <v>5842</v>
      </c>
      <c r="E47" s="314">
        <f>SUM(E38:E42)</f>
        <v>3347</v>
      </c>
      <c r="F47" s="317">
        <f>SUM(F38:F42)</f>
        <v>4302</v>
      </c>
      <c r="G47" s="322">
        <f>SUM(G38:G42)</f>
        <v>18353</v>
      </c>
    </row>
    <row r="48" spans="1:8" s="44" customFormat="1" ht="15" customHeight="1" thickBot="1" x14ac:dyDescent="0.3">
      <c r="A48" s="23" t="s">
        <v>22</v>
      </c>
      <c r="B48" s="672"/>
      <c r="C48" s="314">
        <f>AVERAGE(C38:C42)</f>
        <v>972.4</v>
      </c>
      <c r="D48" s="350">
        <f>AVERAGE(D38:D42)</f>
        <v>1168.4000000000001</v>
      </c>
      <c r="E48" s="314">
        <f>AVERAGE(E38:E42)</f>
        <v>669.4</v>
      </c>
      <c r="F48" s="317">
        <f>AVERAGE(F38:F42)</f>
        <v>860.4</v>
      </c>
      <c r="G48" s="322">
        <f>AVERAGE(G38:G42)</f>
        <v>3670.6</v>
      </c>
    </row>
    <row r="49" spans="1:8" s="44" customFormat="1" ht="15" customHeight="1" x14ac:dyDescent="0.25">
      <c r="A49" s="22" t="s">
        <v>3</v>
      </c>
      <c r="B49" s="168">
        <f>B44+1</f>
        <v>43885</v>
      </c>
      <c r="C49" s="287">
        <v>1183</v>
      </c>
      <c r="D49" s="351">
        <v>1370</v>
      </c>
      <c r="E49" s="287">
        <v>955</v>
      </c>
      <c r="F49" s="318">
        <v>897</v>
      </c>
      <c r="G49" s="320">
        <f t="shared" ref="G49:G55" si="6">SUM(C49:F49)</f>
        <v>4405</v>
      </c>
      <c r="H49" s="145"/>
    </row>
    <row r="50" spans="1:8" s="44" customFormat="1" ht="15" customHeight="1" x14ac:dyDescent="0.25">
      <c r="A50" s="141" t="s">
        <v>4</v>
      </c>
      <c r="B50" s="168">
        <f t="shared" ref="B50:B55" si="7">B49+1</f>
        <v>43886</v>
      </c>
      <c r="C50" s="287">
        <v>1223</v>
      </c>
      <c r="D50" s="351">
        <v>1293</v>
      </c>
      <c r="E50" s="287">
        <v>955</v>
      </c>
      <c r="F50" s="318">
        <v>944</v>
      </c>
      <c r="G50" s="320">
        <f t="shared" si="6"/>
        <v>4415</v>
      </c>
      <c r="H50" s="145"/>
    </row>
    <row r="51" spans="1:8" s="44" customFormat="1" ht="15" customHeight="1" x14ac:dyDescent="0.25">
      <c r="A51" s="141" t="s">
        <v>5</v>
      </c>
      <c r="B51" s="168">
        <f t="shared" si="7"/>
        <v>43887</v>
      </c>
      <c r="C51" s="287">
        <v>1130</v>
      </c>
      <c r="D51" s="351">
        <v>1300</v>
      </c>
      <c r="E51" s="287">
        <v>872</v>
      </c>
      <c r="F51" s="318">
        <v>979</v>
      </c>
      <c r="G51" s="320">
        <f t="shared" si="6"/>
        <v>4281</v>
      </c>
      <c r="H51" s="145"/>
    </row>
    <row r="52" spans="1:8" s="44" customFormat="1" ht="13.5" x14ac:dyDescent="0.25">
      <c r="A52" s="141" t="s">
        <v>6</v>
      </c>
      <c r="B52" s="168">
        <f t="shared" si="7"/>
        <v>43888</v>
      </c>
      <c r="C52" s="312">
        <v>1209</v>
      </c>
      <c r="D52" s="353">
        <v>1253</v>
      </c>
      <c r="E52" s="312">
        <v>806</v>
      </c>
      <c r="F52" s="315">
        <v>843</v>
      </c>
      <c r="G52" s="320">
        <f t="shared" si="6"/>
        <v>4111</v>
      </c>
      <c r="H52" s="145"/>
    </row>
    <row r="53" spans="1:8" s="44" customFormat="1" ht="13.5" x14ac:dyDescent="0.25">
      <c r="A53" s="22" t="s">
        <v>0</v>
      </c>
      <c r="B53" s="170">
        <f t="shared" si="7"/>
        <v>43889</v>
      </c>
      <c r="C53" s="312">
        <v>882</v>
      </c>
      <c r="D53" s="353">
        <v>1052</v>
      </c>
      <c r="E53" s="312">
        <v>655</v>
      </c>
      <c r="F53" s="315">
        <v>887</v>
      </c>
      <c r="G53" s="320">
        <f t="shared" si="6"/>
        <v>3476</v>
      </c>
      <c r="H53" s="145"/>
    </row>
    <row r="54" spans="1:8" s="44" customFormat="1" ht="14.25" outlineLevel="1" thickBot="1" x14ac:dyDescent="0.3">
      <c r="A54" s="22" t="s">
        <v>1</v>
      </c>
      <c r="B54" s="170">
        <f t="shared" si="7"/>
        <v>43890</v>
      </c>
      <c r="C54" s="312">
        <v>0</v>
      </c>
      <c r="D54" s="353">
        <v>397</v>
      </c>
      <c r="E54" s="312">
        <v>0</v>
      </c>
      <c r="F54" s="315">
        <v>395</v>
      </c>
      <c r="G54" s="320">
        <f t="shared" si="6"/>
        <v>792</v>
      </c>
      <c r="H54" s="145"/>
    </row>
    <row r="55" spans="1:8" s="44" customFormat="1" ht="14.25" hidden="1" outlineLevel="1" thickBot="1" x14ac:dyDescent="0.3">
      <c r="A55" s="141" t="s">
        <v>2</v>
      </c>
      <c r="B55" s="356">
        <f t="shared" si="7"/>
        <v>43891</v>
      </c>
      <c r="C55" s="312"/>
      <c r="D55" s="353"/>
      <c r="E55" s="312"/>
      <c r="F55" s="315"/>
      <c r="G55" s="320">
        <f t="shared" si="6"/>
        <v>0</v>
      </c>
    </row>
    <row r="56" spans="1:8" s="44" customFormat="1" ht="15" customHeight="1" outlineLevel="1" thickBot="1" x14ac:dyDescent="0.3">
      <c r="A56" s="150" t="s">
        <v>21</v>
      </c>
      <c r="B56" s="620" t="s">
        <v>28</v>
      </c>
      <c r="C56" s="313">
        <f>SUM(C49:C55)</f>
        <v>5627</v>
      </c>
      <c r="D56" s="352">
        <f>SUM(D49:D55)</f>
        <v>6665</v>
      </c>
      <c r="E56" s="313">
        <f>SUM(E49:E55)</f>
        <v>4243</v>
      </c>
      <c r="F56" s="316">
        <f>SUM(F49:F55)</f>
        <v>4945</v>
      </c>
      <c r="G56" s="321">
        <f>SUM(G49:G55)</f>
        <v>21480</v>
      </c>
    </row>
    <row r="57" spans="1:8" s="44" customFormat="1" ht="15" customHeight="1" outlineLevel="1" thickBot="1" x14ac:dyDescent="0.3">
      <c r="A57" s="101" t="s">
        <v>23</v>
      </c>
      <c r="B57" s="620"/>
      <c r="C57" s="313">
        <f>AVERAGE(C49:C55)</f>
        <v>937.83333333333337</v>
      </c>
      <c r="D57" s="352">
        <f>AVERAGE(D49:D55)</f>
        <v>1110.8333333333333</v>
      </c>
      <c r="E57" s="313">
        <f>AVERAGE(E49:E55)</f>
        <v>707.16666666666663</v>
      </c>
      <c r="F57" s="316">
        <f>AVERAGE(F49:F55)</f>
        <v>824.16666666666663</v>
      </c>
      <c r="G57" s="321">
        <f>AVERAGE(G49:G55)</f>
        <v>3068.5714285714284</v>
      </c>
    </row>
    <row r="58" spans="1:8" s="44" customFormat="1" ht="15" customHeight="1" thickBot="1" x14ac:dyDescent="0.3">
      <c r="A58" s="23" t="s">
        <v>20</v>
      </c>
      <c r="B58" s="620"/>
      <c r="C58" s="314">
        <f>SUM(C49:C53)</f>
        <v>5627</v>
      </c>
      <c r="D58" s="350">
        <f>SUM(D49:D53)</f>
        <v>6268</v>
      </c>
      <c r="E58" s="314">
        <f>SUM(E49:E53)</f>
        <v>4243</v>
      </c>
      <c r="F58" s="317">
        <f>SUM(F49:F53)</f>
        <v>4550</v>
      </c>
      <c r="G58" s="322">
        <f>SUM(G49:G53)</f>
        <v>20688</v>
      </c>
    </row>
    <row r="59" spans="1:8" s="44" customFormat="1" ht="14.25" thickBot="1" x14ac:dyDescent="0.3">
      <c r="A59" s="23" t="s">
        <v>22</v>
      </c>
      <c r="B59" s="621"/>
      <c r="C59" s="286">
        <f>AVERAGE(C49:C53)</f>
        <v>1125.4000000000001</v>
      </c>
      <c r="D59" s="354">
        <f>AVERAGE(D49:D53)</f>
        <v>1253.5999999999999</v>
      </c>
      <c r="E59" s="286">
        <f>AVERAGE(E49:E53)</f>
        <v>848.6</v>
      </c>
      <c r="F59" s="319">
        <f>AVERAGE(F49:F53)</f>
        <v>910</v>
      </c>
      <c r="G59" s="323">
        <f>AVERAGE(G49:G53)</f>
        <v>4137.6000000000004</v>
      </c>
    </row>
    <row r="60" spans="1:8" s="44" customFormat="1" ht="14.25" hidden="1" thickBot="1" x14ac:dyDescent="0.3">
      <c r="A60" s="141" t="s">
        <v>3</v>
      </c>
      <c r="B60" s="167">
        <f>B55+1</f>
        <v>43892</v>
      </c>
      <c r="C60" s="9"/>
      <c r="D60" s="60"/>
      <c r="E60" s="9"/>
      <c r="F60" s="10"/>
      <c r="G60" s="13">
        <f>SUM(C60:F60)</f>
        <v>0</v>
      </c>
    </row>
    <row r="61" spans="1:8" s="44" customFormat="1" ht="14.25" hidden="1" thickBot="1" x14ac:dyDescent="0.3">
      <c r="A61" s="141" t="s">
        <v>4</v>
      </c>
      <c r="B61" s="168">
        <f t="shared" ref="B61:B66" si="8">B60+1</f>
        <v>43893</v>
      </c>
      <c r="C61" s="9"/>
      <c r="D61" s="60"/>
      <c r="E61" s="15"/>
      <c r="F61" s="16"/>
      <c r="G61" s="14">
        <f>SUM(C61:F61)</f>
        <v>0</v>
      </c>
    </row>
    <row r="62" spans="1:8" s="44" customFormat="1" ht="14.25" hidden="1" thickBot="1" x14ac:dyDescent="0.3">
      <c r="A62" s="141"/>
      <c r="B62" s="168">
        <f t="shared" si="8"/>
        <v>43894</v>
      </c>
      <c r="C62" s="9"/>
      <c r="D62" s="60"/>
      <c r="E62" s="15"/>
      <c r="F62" s="16"/>
      <c r="G62" s="14"/>
    </row>
    <row r="63" spans="1:8" s="44" customFormat="1" ht="14.25" hidden="1" thickBot="1" x14ac:dyDescent="0.3">
      <c r="A63" s="141"/>
      <c r="B63" s="168">
        <f t="shared" si="8"/>
        <v>43895</v>
      </c>
      <c r="C63" s="9"/>
      <c r="D63" s="60"/>
      <c r="E63" s="15"/>
      <c r="F63" s="16"/>
      <c r="G63" s="14"/>
    </row>
    <row r="64" spans="1:8" s="44" customFormat="1" ht="14.25" hidden="1" thickBot="1" x14ac:dyDescent="0.3">
      <c r="A64" s="22"/>
      <c r="B64" s="168">
        <f t="shared" si="8"/>
        <v>43896</v>
      </c>
      <c r="C64" s="9"/>
      <c r="D64" s="60"/>
      <c r="E64" s="15"/>
      <c r="F64" s="16"/>
      <c r="G64" s="14"/>
    </row>
    <row r="65" spans="1:7" s="44" customFormat="1" ht="14.25" hidden="1" outlineLevel="1" thickBot="1" x14ac:dyDescent="0.3">
      <c r="A65" s="22"/>
      <c r="B65" s="168">
        <f t="shared" si="8"/>
        <v>43897</v>
      </c>
      <c r="C65" s="15"/>
      <c r="D65" s="61"/>
      <c r="E65" s="15"/>
      <c r="F65" s="16"/>
      <c r="G65" s="14"/>
    </row>
    <row r="66" spans="1:7" s="44" customFormat="1" ht="14.25" hidden="1" outlineLevel="1" thickBot="1" x14ac:dyDescent="0.3">
      <c r="A66" s="22"/>
      <c r="B66" s="168">
        <f t="shared" si="8"/>
        <v>43898</v>
      </c>
      <c r="C66" s="18"/>
      <c r="D66" s="62"/>
      <c r="E66" s="18"/>
      <c r="F66" s="19"/>
      <c r="G66" s="63"/>
    </row>
    <row r="67" spans="1:7" s="44" customFormat="1" ht="14.25" hidden="1" outlineLevel="1" thickBot="1" x14ac:dyDescent="0.3">
      <c r="A67" s="150" t="s">
        <v>21</v>
      </c>
      <c r="B67" s="619" t="s">
        <v>32</v>
      </c>
      <c r="C67" s="106">
        <f>SUM(C60:C66)</f>
        <v>0</v>
      </c>
      <c r="D67" s="106">
        <f>SUM(D60:D66)</f>
        <v>0</v>
      </c>
      <c r="E67" s="106">
        <f>SUM(E60:E66)</f>
        <v>0</v>
      </c>
      <c r="F67" s="106">
        <f>SUM(F60:F66)</f>
        <v>0</v>
      </c>
      <c r="G67" s="106">
        <f>SUM(G60:G66)</f>
        <v>0</v>
      </c>
    </row>
    <row r="68" spans="1:7" s="44" customFormat="1" ht="14.25" hidden="1" outlineLevel="1" thickBot="1" x14ac:dyDescent="0.3">
      <c r="A68" s="101" t="s">
        <v>23</v>
      </c>
      <c r="B68" s="620"/>
      <c r="C68" s="102" t="e">
        <f>AVERAGE(C60:C66)</f>
        <v>#DIV/0!</v>
      </c>
      <c r="D68" s="102" t="e">
        <f>AVERAGE(D60:D66)</f>
        <v>#DIV/0!</v>
      </c>
      <c r="E68" s="102" t="e">
        <f>AVERAGE(E60:E66)</f>
        <v>#DIV/0!</v>
      </c>
      <c r="F68" s="102" t="e">
        <f>AVERAGE(F60:F66)</f>
        <v>#DIV/0!</v>
      </c>
      <c r="G68" s="102">
        <f>AVERAGE(G60:G66)</f>
        <v>0</v>
      </c>
    </row>
    <row r="69" spans="1:7" s="44" customFormat="1" ht="14.25" hidden="1" thickBot="1" x14ac:dyDescent="0.3">
      <c r="A69" s="23" t="s">
        <v>20</v>
      </c>
      <c r="B69" s="620"/>
      <c r="C69" s="24">
        <f>SUM(C60:C64)</f>
        <v>0</v>
      </c>
      <c r="D69" s="24">
        <f>SUM(D60:D64)</f>
        <v>0</v>
      </c>
      <c r="E69" s="24">
        <f>SUM(E60:E64)</f>
        <v>0</v>
      </c>
      <c r="F69" s="24">
        <f>SUM(F60:F64)</f>
        <v>0</v>
      </c>
      <c r="G69" s="24">
        <f>SUM(G60:G64)</f>
        <v>0</v>
      </c>
    </row>
    <row r="70" spans="1:7" s="44" customFormat="1" ht="14.25" hidden="1" thickBot="1" x14ac:dyDescent="0.3">
      <c r="A70" s="23" t="s">
        <v>22</v>
      </c>
      <c r="B70" s="621"/>
      <c r="C70" s="28" t="e">
        <f>AVERAGE(C60:C64)</f>
        <v>#DIV/0!</v>
      </c>
      <c r="D70" s="28" t="e">
        <f>AVERAGE(D60:D64)</f>
        <v>#DIV/0!</v>
      </c>
      <c r="E70" s="28" t="e">
        <f>AVERAGE(E60:E64)</f>
        <v>#DIV/0!</v>
      </c>
      <c r="F70" s="28" t="e">
        <f>AVERAGE(F60:F64)</f>
        <v>#DIV/0!</v>
      </c>
      <c r="G70" s="28">
        <f>AVERAGE(G60:G64)</f>
        <v>0</v>
      </c>
    </row>
    <row r="71" spans="1:7" s="44" customFormat="1" ht="15" customHeight="1" x14ac:dyDescent="0.25">
      <c r="A71" s="4"/>
      <c r="B71" s="123"/>
      <c r="C71" s="47"/>
      <c r="D71" s="47"/>
      <c r="E71" s="47"/>
      <c r="F71" s="47"/>
      <c r="G71" s="47"/>
    </row>
    <row r="72" spans="1:7" s="44" customFormat="1" ht="30" customHeight="1" x14ac:dyDescent="0.25">
      <c r="A72" s="179"/>
      <c r="B72" s="36" t="s">
        <v>10</v>
      </c>
      <c r="C72" s="36" t="s">
        <v>14</v>
      </c>
      <c r="D72" s="47"/>
      <c r="E72" s="666" t="s">
        <v>59</v>
      </c>
      <c r="F72" s="667"/>
      <c r="G72" s="668"/>
    </row>
    <row r="73" spans="1:7" ht="30" customHeight="1" x14ac:dyDescent="0.25">
      <c r="A73" s="39" t="s">
        <v>117</v>
      </c>
      <c r="B73" s="180">
        <f>SUM(,,C56:D56, C45:D45, C34:D34, C23:D23, C12:D12, C67:D67)</f>
        <v>49515</v>
      </c>
      <c r="C73" s="34">
        <f>SUM(,,E67:F67, E56:F56, E45:F45, E34:F34, E23:F23, E12:F12)</f>
        <v>37215</v>
      </c>
      <c r="D73" s="110"/>
      <c r="E73" s="625" t="s">
        <v>30</v>
      </c>
      <c r="F73" s="626"/>
      <c r="G73" s="98">
        <f>SUM(G14, G25, G36, G47, G58, G69)</f>
        <v>79868</v>
      </c>
    </row>
    <row r="74" spans="1:7" ht="30" customHeight="1" x14ac:dyDescent="0.25">
      <c r="A74" s="39" t="s">
        <v>30</v>
      </c>
      <c r="B74" s="180">
        <f>SUM(,C58:D58, C47:D47, C36:D36, C25:D25, C14:D14, C69:D69)</f>
        <v>46383</v>
      </c>
      <c r="C74" s="34">
        <f>SUM(E69:F69, E58:F58, E47:F47, E36:F36, E25:F25, E14:F14)</f>
        <v>33485</v>
      </c>
      <c r="D74" s="110"/>
      <c r="E74" s="625" t="s">
        <v>117</v>
      </c>
      <c r="F74" s="626"/>
      <c r="G74" s="99">
        <f>SUM(,,G56, G45, G34, G23, G12, G67)</f>
        <v>86730</v>
      </c>
    </row>
    <row r="75" spans="1:7" ht="30" customHeight="1" x14ac:dyDescent="0.25">
      <c r="E75" s="625" t="s">
        <v>22</v>
      </c>
      <c r="F75" s="626"/>
      <c r="G75" s="99">
        <f>AVERAGE(G14, G25, G36, G47, G58, G69)</f>
        <v>13311.333333333334</v>
      </c>
    </row>
    <row r="76" spans="1:7" x14ac:dyDescent="0.25">
      <c r="E76" s="625" t="s">
        <v>118</v>
      </c>
      <c r="F76" s="626"/>
      <c r="G76" s="98">
        <f>AVERAGE(,G56, G45, G34, G23, G12, G67)</f>
        <v>12390</v>
      </c>
    </row>
    <row r="77" spans="1:7" x14ac:dyDescent="0.25">
      <c r="C77" s="143"/>
    </row>
  </sheetData>
  <mergeCells count="20">
    <mergeCell ref="G1:G4"/>
    <mergeCell ref="E1:F2"/>
    <mergeCell ref="C1:D2"/>
    <mergeCell ref="E72:G72"/>
    <mergeCell ref="A3:A4"/>
    <mergeCell ref="B3:B4"/>
    <mergeCell ref="E3:E4"/>
    <mergeCell ref="F3:F4"/>
    <mergeCell ref="C3:C4"/>
    <mergeCell ref="D3:D4"/>
    <mergeCell ref="E75:F75"/>
    <mergeCell ref="E76:F76"/>
    <mergeCell ref="B12:B15"/>
    <mergeCell ref="B23:B26"/>
    <mergeCell ref="B34:B37"/>
    <mergeCell ref="B45:B48"/>
    <mergeCell ref="B56:B59"/>
    <mergeCell ref="E74:F74"/>
    <mergeCell ref="E73:F73"/>
    <mergeCell ref="B67:B70"/>
  </mergeCells>
  <pageMargins left="0.7" right="0.7" top="0.75" bottom="0.75" header="0.3" footer="0.3"/>
  <pageSetup scale="73" orientation="portrait" r:id="rId1"/>
  <ignoredErrors>
    <ignoredError sqref="C24" emptyCellReference="1"/>
    <ignoredError sqref="C13 E13:F13" evalError="1" emptyCellReference="1"/>
    <ignoredError sqref="D34:F34 G24 C34 G26" formulaRange="1" emptyCellReference="1"/>
    <ignoredError sqref="G59 F26" formulaRange="1"/>
    <ignoredError sqref="D59:F59 D35:F35 G35 D46:F46 D57:F57 D15 G13 G46 C46 C57 C35 C59 G15 C37 D37:F37 G37 C48 D48:F48 G48" evalError="1" formulaRange="1" emptyCellReference="1"/>
    <ignoredError sqref="G57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56" sqref="K56"/>
    </sheetView>
  </sheetViews>
  <sheetFormatPr defaultRowHeight="15" outlineLevelRow="1" x14ac:dyDescent="0.25"/>
  <cols>
    <col min="1" max="1" width="18.7109375" style="1" bestFit="1" customWidth="1"/>
    <col min="2" max="2" width="16.28515625" style="124" customWidth="1"/>
    <col min="3" max="3" width="16.28515625" style="384" customWidth="1"/>
    <col min="4" max="11" width="15.7109375" style="8" customWidth="1"/>
    <col min="12" max="12" width="18.7109375" style="8" bestFit="1" customWidth="1"/>
    <col min="13" max="13" width="31.5703125" style="8" customWidth="1"/>
    <col min="14" max="16384" width="9.140625" style="8"/>
  </cols>
  <sheetData>
    <row r="1" spans="1:13" ht="15" customHeight="1" x14ac:dyDescent="0.25">
      <c r="A1" s="20"/>
      <c r="B1" s="160"/>
      <c r="C1" s="654" t="s">
        <v>97</v>
      </c>
      <c r="D1" s="655"/>
      <c r="E1" s="655"/>
      <c r="F1" s="655"/>
      <c r="G1" s="656"/>
      <c r="H1" s="654" t="s">
        <v>94</v>
      </c>
      <c r="I1" s="656"/>
      <c r="J1" s="654" t="s">
        <v>95</v>
      </c>
      <c r="K1" s="656"/>
      <c r="L1" s="652" t="s">
        <v>19</v>
      </c>
    </row>
    <row r="2" spans="1:13" ht="15" customHeight="1" thickBot="1" x14ac:dyDescent="0.3">
      <c r="A2" s="21"/>
      <c r="B2" s="161"/>
      <c r="C2" s="657"/>
      <c r="D2" s="658"/>
      <c r="E2" s="658"/>
      <c r="F2" s="658"/>
      <c r="G2" s="659"/>
      <c r="H2" s="657"/>
      <c r="I2" s="659"/>
      <c r="J2" s="657"/>
      <c r="K2" s="659"/>
      <c r="L2" s="653"/>
    </row>
    <row r="3" spans="1:13" ht="13.5" customHeight="1" x14ac:dyDescent="0.25">
      <c r="A3" s="611" t="s">
        <v>52</v>
      </c>
      <c r="B3" s="664" t="s">
        <v>53</v>
      </c>
      <c r="C3" s="694" t="s">
        <v>104</v>
      </c>
      <c r="D3" s="599" t="s">
        <v>7</v>
      </c>
      <c r="E3" s="599" t="s">
        <v>91</v>
      </c>
      <c r="F3" s="599" t="s">
        <v>92</v>
      </c>
      <c r="G3" s="692" t="s">
        <v>93</v>
      </c>
      <c r="H3" s="690" t="s">
        <v>88</v>
      </c>
      <c r="I3" s="504" t="s">
        <v>107</v>
      </c>
      <c r="J3" s="690" t="s">
        <v>10</v>
      </c>
      <c r="K3" s="692" t="s">
        <v>102</v>
      </c>
      <c r="L3" s="644"/>
    </row>
    <row r="4" spans="1:13" ht="15" customHeight="1" thickBot="1" x14ac:dyDescent="0.3">
      <c r="A4" s="663"/>
      <c r="B4" s="680"/>
      <c r="C4" s="695"/>
      <c r="D4" s="689"/>
      <c r="E4" s="689"/>
      <c r="F4" s="689"/>
      <c r="G4" s="693"/>
      <c r="H4" s="691"/>
      <c r="I4" s="505" t="s">
        <v>101</v>
      </c>
      <c r="J4" s="691"/>
      <c r="K4" s="693"/>
      <c r="L4" s="644"/>
    </row>
    <row r="5" spans="1:13" s="43" customFormat="1" ht="14.25" hidden="1" thickBot="1" x14ac:dyDescent="0.3">
      <c r="A5" s="22" t="s">
        <v>3</v>
      </c>
      <c r="B5" s="309">
        <v>43857</v>
      </c>
      <c r="C5" s="511"/>
      <c r="D5" s="280"/>
      <c r="E5" s="280"/>
      <c r="F5" s="50"/>
      <c r="G5" s="113"/>
      <c r="H5" s="427"/>
      <c r="I5" s="428"/>
      <c r="J5" s="512"/>
      <c r="K5" s="49"/>
      <c r="L5" s="52">
        <f>SUM(C5:K5)</f>
        <v>0</v>
      </c>
    </row>
    <row r="6" spans="1:13" s="43" customFormat="1" ht="14.25" hidden="1" thickBot="1" x14ac:dyDescent="0.3">
      <c r="A6" s="22" t="s">
        <v>4</v>
      </c>
      <c r="B6" s="267">
        <v>43858</v>
      </c>
      <c r="C6" s="374"/>
      <c r="D6" s="275"/>
      <c r="E6" s="275"/>
      <c r="F6" s="17"/>
      <c r="G6" s="61"/>
      <c r="H6" s="429"/>
      <c r="I6" s="285"/>
      <c r="J6" s="133"/>
      <c r="K6" s="16"/>
      <c r="L6" s="52">
        <f t="shared" ref="L6:L11" si="0">SUM(C6:K6)</f>
        <v>0</v>
      </c>
    </row>
    <row r="7" spans="1:13" s="43" customFormat="1" ht="14.25" hidden="1" thickBot="1" x14ac:dyDescent="0.3">
      <c r="A7" s="22" t="s">
        <v>5</v>
      </c>
      <c r="B7" s="267">
        <v>43859</v>
      </c>
      <c r="C7" s="374"/>
      <c r="D7" s="276"/>
      <c r="E7" s="275"/>
      <c r="F7" s="17"/>
      <c r="G7" s="61"/>
      <c r="H7" s="429"/>
      <c r="I7" s="285"/>
      <c r="J7" s="133"/>
      <c r="K7" s="16"/>
      <c r="L7" s="52">
        <f t="shared" si="0"/>
        <v>0</v>
      </c>
    </row>
    <row r="8" spans="1:13" s="43" customFormat="1" ht="14.25" hidden="1" thickBot="1" x14ac:dyDescent="0.3">
      <c r="A8" s="22" t="s">
        <v>6</v>
      </c>
      <c r="B8" s="267">
        <v>43860</v>
      </c>
      <c r="C8" s="374"/>
      <c r="D8" s="277"/>
      <c r="E8" s="276"/>
      <c r="F8" s="17"/>
      <c r="G8" s="61"/>
      <c r="H8" s="429"/>
      <c r="I8" s="285"/>
      <c r="J8" s="133"/>
      <c r="K8" s="16"/>
      <c r="L8" s="52">
        <f t="shared" si="0"/>
        <v>0</v>
      </c>
      <c r="M8" s="142"/>
    </row>
    <row r="9" spans="1:13" s="43" customFormat="1" ht="14.25" hidden="1" thickBot="1" x14ac:dyDescent="0.3">
      <c r="A9" s="22" t="s">
        <v>0</v>
      </c>
      <c r="B9" s="267">
        <v>43861</v>
      </c>
      <c r="C9" s="374"/>
      <c r="D9" s="275"/>
      <c r="E9" s="276"/>
      <c r="F9" s="17"/>
      <c r="G9" s="61"/>
      <c r="H9" s="429"/>
      <c r="I9" s="285"/>
      <c r="J9" s="133"/>
      <c r="K9" s="16"/>
      <c r="L9" s="52">
        <f t="shared" si="0"/>
        <v>0</v>
      </c>
      <c r="M9" s="142"/>
    </row>
    <row r="10" spans="1:13" s="43" customFormat="1" ht="14.25" outlineLevel="1" thickBot="1" x14ac:dyDescent="0.3">
      <c r="A10" s="22" t="s">
        <v>1</v>
      </c>
      <c r="B10" s="267">
        <v>43862</v>
      </c>
      <c r="C10" s="374"/>
      <c r="D10" s="275">
        <v>171</v>
      </c>
      <c r="E10" s="276">
        <v>51</v>
      </c>
      <c r="F10" s="17">
        <v>236</v>
      </c>
      <c r="G10" s="61">
        <v>80</v>
      </c>
      <c r="H10" s="429"/>
      <c r="I10" s="285"/>
      <c r="J10" s="133">
        <v>369</v>
      </c>
      <c r="K10" s="16">
        <v>281</v>
      </c>
      <c r="L10" s="52">
        <f t="shared" si="0"/>
        <v>1188</v>
      </c>
      <c r="M10" s="142"/>
    </row>
    <row r="11" spans="1:13" s="43" customFormat="1" ht="15" customHeight="1" outlineLevel="1" thickBot="1" x14ac:dyDescent="0.3">
      <c r="A11" s="22" t="s">
        <v>2</v>
      </c>
      <c r="B11" s="267">
        <v>43863</v>
      </c>
      <c r="C11" s="433"/>
      <c r="D11" s="434">
        <v>118</v>
      </c>
      <c r="E11" s="435">
        <v>38</v>
      </c>
      <c r="F11" s="55">
        <v>207</v>
      </c>
      <c r="G11" s="332">
        <v>70</v>
      </c>
      <c r="H11" s="436"/>
      <c r="I11" s="437"/>
      <c r="J11" s="155">
        <v>276</v>
      </c>
      <c r="K11" s="54">
        <v>234</v>
      </c>
      <c r="L11" s="52">
        <f t="shared" si="0"/>
        <v>943</v>
      </c>
      <c r="M11" s="142"/>
    </row>
    <row r="12" spans="1:13" s="44" customFormat="1" ht="15" customHeight="1" outlineLevel="1" thickBot="1" x14ac:dyDescent="0.3">
      <c r="A12" s="150" t="s">
        <v>21</v>
      </c>
      <c r="B12" s="619" t="s">
        <v>24</v>
      </c>
      <c r="C12" s="506">
        <f t="shared" ref="C12:L12" si="1">SUM(C5:C11)</f>
        <v>0</v>
      </c>
      <c r="D12" s="430">
        <f t="shared" si="1"/>
        <v>289</v>
      </c>
      <c r="E12" s="430">
        <f t="shared" si="1"/>
        <v>89</v>
      </c>
      <c r="F12" s="430">
        <f>SUM(F5:F11)</f>
        <v>443</v>
      </c>
      <c r="G12" s="430">
        <f>SUM(G5:G11)</f>
        <v>150</v>
      </c>
      <c r="H12" s="324">
        <f t="shared" si="1"/>
        <v>0</v>
      </c>
      <c r="I12" s="343">
        <f t="shared" si="1"/>
        <v>0</v>
      </c>
      <c r="J12" s="345">
        <f t="shared" si="1"/>
        <v>645</v>
      </c>
      <c r="K12" s="334">
        <f t="shared" si="1"/>
        <v>515</v>
      </c>
      <c r="L12" s="109">
        <f t="shared" si="1"/>
        <v>2131</v>
      </c>
    </row>
    <row r="13" spans="1:13" s="44" customFormat="1" ht="15" customHeight="1" outlineLevel="1" thickBot="1" x14ac:dyDescent="0.3">
      <c r="A13" s="101" t="s">
        <v>23</v>
      </c>
      <c r="B13" s="620"/>
      <c r="C13" s="507" t="e">
        <f>AVERAGE(C5:C11)</f>
        <v>#DIV/0!</v>
      </c>
      <c r="D13" s="278">
        <f t="shared" ref="D13:K13" si="2">AVERAGE(D5:D11)</f>
        <v>144.5</v>
      </c>
      <c r="E13" s="278">
        <f t="shared" si="2"/>
        <v>44.5</v>
      </c>
      <c r="F13" s="278">
        <f t="shared" si="2"/>
        <v>221.5</v>
      </c>
      <c r="G13" s="419">
        <f t="shared" si="2"/>
        <v>75</v>
      </c>
      <c r="H13" s="281" t="e">
        <f t="shared" si="2"/>
        <v>#DIV/0!</v>
      </c>
      <c r="I13" s="282" t="e">
        <f>AVERAGE(I9:I11)</f>
        <v>#DIV/0!</v>
      </c>
      <c r="J13" s="338">
        <f t="shared" si="2"/>
        <v>322.5</v>
      </c>
      <c r="K13" s="300">
        <f t="shared" si="2"/>
        <v>257.5</v>
      </c>
      <c r="L13" s="105">
        <f>AVERAGE(L5:L11)</f>
        <v>304.42857142857144</v>
      </c>
    </row>
    <row r="14" spans="1:13" s="44" customFormat="1" ht="15" customHeight="1" thickBot="1" x14ac:dyDescent="0.3">
      <c r="A14" s="23" t="s">
        <v>20</v>
      </c>
      <c r="B14" s="620"/>
      <c r="C14" s="508">
        <f t="shared" ref="C14:L14" si="3">SUM(C5:C9)</f>
        <v>0</v>
      </c>
      <c r="D14" s="279">
        <f t="shared" si="3"/>
        <v>0</v>
      </c>
      <c r="E14" s="279">
        <f t="shared" si="3"/>
        <v>0</v>
      </c>
      <c r="F14" s="279">
        <f t="shared" si="3"/>
        <v>0</v>
      </c>
      <c r="G14" s="420">
        <f t="shared" si="3"/>
        <v>0</v>
      </c>
      <c r="H14" s="283">
        <f t="shared" si="3"/>
        <v>0</v>
      </c>
      <c r="I14" s="284">
        <f t="shared" si="3"/>
        <v>0</v>
      </c>
      <c r="J14" s="339">
        <f t="shared" si="3"/>
        <v>0</v>
      </c>
      <c r="K14" s="301">
        <f t="shared" si="3"/>
        <v>0</v>
      </c>
      <c r="L14" s="27">
        <f t="shared" si="3"/>
        <v>0</v>
      </c>
    </row>
    <row r="15" spans="1:13" s="44" customFormat="1" ht="15" customHeight="1" thickBot="1" x14ac:dyDescent="0.3">
      <c r="A15" s="23" t="s">
        <v>22</v>
      </c>
      <c r="B15" s="621"/>
      <c r="C15" s="509" t="e">
        <f>AVERAGE(C5:C9)</f>
        <v>#DIV/0!</v>
      </c>
      <c r="D15" s="438" t="e">
        <f t="shared" ref="D15:K15" si="4">AVERAGE(D5:D9)</f>
        <v>#DIV/0!</v>
      </c>
      <c r="E15" s="438" t="e">
        <f t="shared" si="4"/>
        <v>#DIV/0!</v>
      </c>
      <c r="F15" s="438" t="e">
        <f t="shared" si="4"/>
        <v>#DIV/0!</v>
      </c>
      <c r="G15" s="439" t="e">
        <f t="shared" si="4"/>
        <v>#DIV/0!</v>
      </c>
      <c r="H15" s="440" t="e">
        <f t="shared" si="4"/>
        <v>#DIV/0!</v>
      </c>
      <c r="I15" s="441" t="e">
        <f>AVERAGE(I9)</f>
        <v>#DIV/0!</v>
      </c>
      <c r="J15" s="442" t="e">
        <f t="shared" si="4"/>
        <v>#DIV/0!</v>
      </c>
      <c r="K15" s="443" t="e">
        <f t="shared" si="4"/>
        <v>#DIV/0!</v>
      </c>
      <c r="L15" s="32">
        <f>AVERAGE(L5:L9)</f>
        <v>0</v>
      </c>
    </row>
    <row r="16" spans="1:13" s="44" customFormat="1" ht="15" customHeight="1" thickBot="1" x14ac:dyDescent="0.3">
      <c r="A16" s="22" t="s">
        <v>3</v>
      </c>
      <c r="B16" s="268">
        <f>B11+1</f>
        <v>43864</v>
      </c>
      <c r="C16" s="432"/>
      <c r="D16" s="280">
        <v>144</v>
      </c>
      <c r="E16" s="280">
        <v>30</v>
      </c>
      <c r="F16" s="444">
        <v>93</v>
      </c>
      <c r="G16" s="445">
        <v>83</v>
      </c>
      <c r="H16" s="427">
        <v>179</v>
      </c>
      <c r="I16" s="428">
        <v>179</v>
      </c>
      <c r="J16" s="446">
        <v>77</v>
      </c>
      <c r="K16" s="447">
        <v>62</v>
      </c>
      <c r="L16" s="13">
        <f t="shared" ref="L16:L22" si="5">SUM(C16:K16)</f>
        <v>847</v>
      </c>
    </row>
    <row r="17" spans="1:12" s="44" customFormat="1" ht="15" customHeight="1" thickBot="1" x14ac:dyDescent="0.3">
      <c r="A17" s="22" t="s">
        <v>4</v>
      </c>
      <c r="B17" s="269">
        <f t="shared" ref="B17:B22" si="6">B16+1</f>
        <v>43865</v>
      </c>
      <c r="C17" s="374"/>
      <c r="D17" s="275"/>
      <c r="E17" s="275"/>
      <c r="F17" s="33"/>
      <c r="G17" s="299"/>
      <c r="H17" s="429">
        <v>197</v>
      </c>
      <c r="I17" s="285">
        <v>217</v>
      </c>
      <c r="J17" s="340">
        <v>41</v>
      </c>
      <c r="K17" s="357">
        <v>34</v>
      </c>
      <c r="L17" s="14">
        <f t="shared" si="5"/>
        <v>489</v>
      </c>
    </row>
    <row r="18" spans="1:12" s="44" customFormat="1" ht="15" customHeight="1" thickBot="1" x14ac:dyDescent="0.3">
      <c r="A18" s="22" t="s">
        <v>5</v>
      </c>
      <c r="B18" s="269">
        <f t="shared" si="6"/>
        <v>43866</v>
      </c>
      <c r="C18" s="374"/>
      <c r="D18" s="275"/>
      <c r="E18" s="275"/>
      <c r="F18" s="33"/>
      <c r="G18" s="299"/>
      <c r="H18" s="429">
        <v>210</v>
      </c>
      <c r="I18" s="285">
        <v>208</v>
      </c>
      <c r="J18" s="340">
        <v>25</v>
      </c>
      <c r="K18" s="357">
        <v>20</v>
      </c>
      <c r="L18" s="14">
        <f t="shared" si="5"/>
        <v>463</v>
      </c>
    </row>
    <row r="19" spans="1:12" s="44" customFormat="1" ht="15" customHeight="1" thickBot="1" x14ac:dyDescent="0.3">
      <c r="A19" s="22" t="s">
        <v>6</v>
      </c>
      <c r="B19" s="270">
        <f t="shared" si="6"/>
        <v>43867</v>
      </c>
      <c r="C19" s="374"/>
      <c r="D19" s="275">
        <v>61</v>
      </c>
      <c r="E19" s="275">
        <v>24</v>
      </c>
      <c r="F19" s="266">
        <v>62</v>
      </c>
      <c r="G19" s="61">
        <v>49</v>
      </c>
      <c r="H19" s="429">
        <v>195</v>
      </c>
      <c r="I19" s="285">
        <v>188</v>
      </c>
      <c r="J19" s="128">
        <v>29</v>
      </c>
      <c r="K19" s="16">
        <v>18</v>
      </c>
      <c r="L19" s="14">
        <f t="shared" si="5"/>
        <v>626</v>
      </c>
    </row>
    <row r="20" spans="1:12" s="44" customFormat="1" ht="15" customHeight="1" thickBot="1" x14ac:dyDescent="0.3">
      <c r="A20" s="22" t="s">
        <v>0</v>
      </c>
      <c r="B20" s="270">
        <f t="shared" si="6"/>
        <v>43868</v>
      </c>
      <c r="C20" s="374"/>
      <c r="D20" s="275">
        <v>0</v>
      </c>
      <c r="E20" s="275">
        <v>3</v>
      </c>
      <c r="F20" s="266">
        <v>41</v>
      </c>
      <c r="G20" s="61">
        <v>42</v>
      </c>
      <c r="H20" s="429">
        <v>172</v>
      </c>
      <c r="I20" s="285">
        <v>163</v>
      </c>
      <c r="J20" s="128">
        <v>32</v>
      </c>
      <c r="K20" s="16">
        <v>19</v>
      </c>
      <c r="L20" s="14">
        <f t="shared" si="5"/>
        <v>472</v>
      </c>
    </row>
    <row r="21" spans="1:12" s="44" customFormat="1" ht="15" customHeight="1" outlineLevel="1" thickBot="1" x14ac:dyDescent="0.3">
      <c r="A21" s="22" t="s">
        <v>1</v>
      </c>
      <c r="B21" s="267">
        <f t="shared" si="6"/>
        <v>43869</v>
      </c>
      <c r="C21" s="374"/>
      <c r="D21" s="277">
        <v>156</v>
      </c>
      <c r="E21" s="275">
        <v>35</v>
      </c>
      <c r="F21" s="266">
        <v>262</v>
      </c>
      <c r="G21" s="61">
        <v>145</v>
      </c>
      <c r="H21" s="429"/>
      <c r="I21" s="285"/>
      <c r="J21" s="128">
        <v>332</v>
      </c>
      <c r="K21" s="16">
        <v>211</v>
      </c>
      <c r="L21" s="14">
        <f t="shared" si="5"/>
        <v>1141</v>
      </c>
    </row>
    <row r="22" spans="1:12" s="44" customFormat="1" ht="15" customHeight="1" outlineLevel="1" thickBot="1" x14ac:dyDescent="0.3">
      <c r="A22" s="22" t="s">
        <v>2</v>
      </c>
      <c r="B22" s="269">
        <f t="shared" si="6"/>
        <v>43870</v>
      </c>
      <c r="C22" s="433"/>
      <c r="D22" s="434">
        <v>132</v>
      </c>
      <c r="E22" s="434">
        <v>18</v>
      </c>
      <c r="F22" s="448">
        <v>179</v>
      </c>
      <c r="G22" s="332">
        <v>55</v>
      </c>
      <c r="H22" s="436"/>
      <c r="I22" s="437"/>
      <c r="J22" s="265">
        <v>369</v>
      </c>
      <c r="K22" s="54">
        <v>316</v>
      </c>
      <c r="L22" s="14">
        <f t="shared" si="5"/>
        <v>1069</v>
      </c>
    </row>
    <row r="23" spans="1:12" s="44" customFormat="1" ht="15" customHeight="1" outlineLevel="1" thickBot="1" x14ac:dyDescent="0.3">
      <c r="A23" s="150" t="s">
        <v>21</v>
      </c>
      <c r="B23" s="619" t="s">
        <v>25</v>
      </c>
      <c r="C23" s="506">
        <f t="shared" ref="C23:L23" si="7">SUM(C16:C22)</f>
        <v>0</v>
      </c>
      <c r="D23" s="430">
        <f t="shared" si="7"/>
        <v>493</v>
      </c>
      <c r="E23" s="430">
        <f t="shared" si="7"/>
        <v>110</v>
      </c>
      <c r="F23" s="430">
        <f t="shared" si="7"/>
        <v>637</v>
      </c>
      <c r="G23" s="431">
        <f t="shared" si="7"/>
        <v>374</v>
      </c>
      <c r="H23" s="324">
        <f t="shared" si="7"/>
        <v>953</v>
      </c>
      <c r="I23" s="343">
        <f t="shared" si="7"/>
        <v>955</v>
      </c>
      <c r="J23" s="345">
        <f t="shared" si="7"/>
        <v>905</v>
      </c>
      <c r="K23" s="334">
        <f t="shared" si="7"/>
        <v>680</v>
      </c>
      <c r="L23" s="109">
        <f t="shared" si="7"/>
        <v>5107</v>
      </c>
    </row>
    <row r="24" spans="1:12" s="44" customFormat="1" ht="15" customHeight="1" outlineLevel="1" thickBot="1" x14ac:dyDescent="0.3">
      <c r="A24" s="101" t="s">
        <v>23</v>
      </c>
      <c r="B24" s="620"/>
      <c r="C24" s="507" t="e">
        <f>AVERAGE(C16:C22)</f>
        <v>#DIV/0!</v>
      </c>
      <c r="D24" s="278">
        <f>AVERAGE(D16:D22)</f>
        <v>98.6</v>
      </c>
      <c r="E24" s="278">
        <f t="shared" ref="E24:J24" si="8">AVERAGE(E16:E22)</f>
        <v>22</v>
      </c>
      <c r="F24" s="278">
        <f>AVERAGE(F16:F22)</f>
        <v>127.4</v>
      </c>
      <c r="G24" s="419">
        <f>AVERAGE(G16:G22)</f>
        <v>74.8</v>
      </c>
      <c r="H24" s="281">
        <f t="shared" si="8"/>
        <v>190.6</v>
      </c>
      <c r="I24" s="282">
        <f>AVERAGE(I16:I22)</f>
        <v>191</v>
      </c>
      <c r="J24" s="338">
        <f t="shared" si="8"/>
        <v>129.28571428571428</v>
      </c>
      <c r="K24" s="300">
        <f>AVERAGE(K16:K22)</f>
        <v>97.142857142857139</v>
      </c>
      <c r="L24" s="105">
        <f>AVERAGE(L16:L22)</f>
        <v>729.57142857142856</v>
      </c>
    </row>
    <row r="25" spans="1:12" s="44" customFormat="1" ht="15" customHeight="1" thickBot="1" x14ac:dyDescent="0.3">
      <c r="A25" s="23" t="s">
        <v>20</v>
      </c>
      <c r="B25" s="620"/>
      <c r="C25" s="508">
        <f>SUM(C16:C20)</f>
        <v>0</v>
      </c>
      <c r="D25" s="279">
        <f t="shared" ref="D25:J25" si="9">SUM(D16:D20)</f>
        <v>205</v>
      </c>
      <c r="E25" s="279">
        <f t="shared" si="9"/>
        <v>57</v>
      </c>
      <c r="F25" s="279">
        <f t="shared" si="9"/>
        <v>196</v>
      </c>
      <c r="G25" s="420">
        <f t="shared" si="9"/>
        <v>174</v>
      </c>
      <c r="H25" s="283">
        <f t="shared" si="9"/>
        <v>953</v>
      </c>
      <c r="I25" s="284">
        <f>SUM(I16:I20)</f>
        <v>955</v>
      </c>
      <c r="J25" s="339">
        <f t="shared" si="9"/>
        <v>204</v>
      </c>
      <c r="K25" s="301">
        <f>SUM(K16:K20)</f>
        <v>153</v>
      </c>
      <c r="L25" s="27">
        <f>SUM(L16:L20)</f>
        <v>2897</v>
      </c>
    </row>
    <row r="26" spans="1:12" s="44" customFormat="1" ht="15" customHeight="1" thickBot="1" x14ac:dyDescent="0.3">
      <c r="A26" s="23" t="s">
        <v>22</v>
      </c>
      <c r="B26" s="621"/>
      <c r="C26" s="509" t="e">
        <f>AVERAGE(C16:C20)</f>
        <v>#DIV/0!</v>
      </c>
      <c r="D26" s="438">
        <f t="shared" ref="D26:J26" si="10">AVERAGE(D16:D20)</f>
        <v>68.333333333333329</v>
      </c>
      <c r="E26" s="438">
        <f t="shared" si="10"/>
        <v>19</v>
      </c>
      <c r="F26" s="438">
        <f t="shared" si="10"/>
        <v>65.333333333333329</v>
      </c>
      <c r="G26" s="439">
        <f t="shared" si="10"/>
        <v>58</v>
      </c>
      <c r="H26" s="440">
        <f t="shared" si="10"/>
        <v>190.6</v>
      </c>
      <c r="I26" s="441">
        <f>AVERAGE(I16:I20)</f>
        <v>191</v>
      </c>
      <c r="J26" s="442">
        <f t="shared" si="10"/>
        <v>40.799999999999997</v>
      </c>
      <c r="K26" s="443">
        <f>AVERAGE(K16:K20)</f>
        <v>30.6</v>
      </c>
      <c r="L26" s="337">
        <f>AVERAGE(L16:L20)</f>
        <v>579.4</v>
      </c>
    </row>
    <row r="27" spans="1:12" s="44" customFormat="1" ht="15" customHeight="1" thickBot="1" x14ac:dyDescent="0.3">
      <c r="A27" s="22" t="s">
        <v>3</v>
      </c>
      <c r="B27" s="271">
        <f>B22+1</f>
        <v>43871</v>
      </c>
      <c r="C27" s="449"/>
      <c r="D27" s="280">
        <v>15</v>
      </c>
      <c r="E27" s="280">
        <v>21</v>
      </c>
      <c r="F27" s="444">
        <v>74</v>
      </c>
      <c r="G27" s="445">
        <v>45</v>
      </c>
      <c r="H27" s="427">
        <v>173</v>
      </c>
      <c r="I27" s="428">
        <v>182</v>
      </c>
      <c r="J27" s="446">
        <v>22</v>
      </c>
      <c r="K27" s="447">
        <v>14</v>
      </c>
      <c r="L27" s="13">
        <f t="shared" ref="L27:L31" si="11">SUM(C27:K27)</f>
        <v>546</v>
      </c>
    </row>
    <row r="28" spans="1:12" s="44" customFormat="1" ht="15" customHeight="1" thickBot="1" x14ac:dyDescent="0.3">
      <c r="A28" s="22" t="s">
        <v>4</v>
      </c>
      <c r="B28" s="262">
        <f t="shared" ref="B28:B33" si="12">B27+1</f>
        <v>43872</v>
      </c>
      <c r="C28" s="375"/>
      <c r="D28" s="275"/>
      <c r="E28" s="275"/>
      <c r="F28" s="33"/>
      <c r="G28" s="299"/>
      <c r="H28" s="429">
        <v>221</v>
      </c>
      <c r="I28" s="285">
        <v>214</v>
      </c>
      <c r="J28" s="340">
        <v>44</v>
      </c>
      <c r="K28" s="357">
        <v>31</v>
      </c>
      <c r="L28" s="14">
        <f t="shared" si="11"/>
        <v>510</v>
      </c>
    </row>
    <row r="29" spans="1:12" s="44" customFormat="1" ht="15" customHeight="1" thickBot="1" x14ac:dyDescent="0.3">
      <c r="A29" s="22" t="s">
        <v>5</v>
      </c>
      <c r="B29" s="262">
        <f t="shared" si="12"/>
        <v>43873</v>
      </c>
      <c r="C29" s="375"/>
      <c r="D29" s="275"/>
      <c r="E29" s="275"/>
      <c r="F29" s="33"/>
      <c r="G29" s="299"/>
      <c r="H29" s="429">
        <v>210</v>
      </c>
      <c r="I29" s="285">
        <v>211</v>
      </c>
      <c r="J29" s="340">
        <v>42</v>
      </c>
      <c r="K29" s="357">
        <v>40</v>
      </c>
      <c r="L29" s="14">
        <f t="shared" si="11"/>
        <v>503</v>
      </c>
    </row>
    <row r="30" spans="1:12" s="44" customFormat="1" ht="15" customHeight="1" thickBot="1" x14ac:dyDescent="0.3">
      <c r="A30" s="22" t="s">
        <v>6</v>
      </c>
      <c r="B30" s="262">
        <f t="shared" si="12"/>
        <v>43874</v>
      </c>
      <c r="C30" s="375"/>
      <c r="D30" s="275">
        <v>34</v>
      </c>
      <c r="E30" s="275">
        <v>21</v>
      </c>
      <c r="F30" s="17">
        <v>73</v>
      </c>
      <c r="G30" s="61">
        <v>44</v>
      </c>
      <c r="H30" s="429">
        <v>208</v>
      </c>
      <c r="I30" s="285">
        <v>199</v>
      </c>
      <c r="J30" s="128">
        <v>27</v>
      </c>
      <c r="K30" s="16">
        <v>13</v>
      </c>
      <c r="L30" s="14">
        <f t="shared" si="11"/>
        <v>619</v>
      </c>
    </row>
    <row r="31" spans="1:12" s="44" customFormat="1" ht="15" customHeight="1" thickBot="1" x14ac:dyDescent="0.3">
      <c r="A31" s="22" t="s">
        <v>0</v>
      </c>
      <c r="B31" s="262">
        <f t="shared" si="12"/>
        <v>43875</v>
      </c>
      <c r="C31" s="375"/>
      <c r="D31" s="275">
        <v>120</v>
      </c>
      <c r="E31" s="275">
        <v>36</v>
      </c>
      <c r="F31" s="17">
        <v>105</v>
      </c>
      <c r="G31" s="61">
        <v>69</v>
      </c>
      <c r="H31" s="429">
        <v>160</v>
      </c>
      <c r="I31" s="285">
        <v>161</v>
      </c>
      <c r="J31" s="128">
        <v>39</v>
      </c>
      <c r="K31" s="16">
        <v>29</v>
      </c>
      <c r="L31" s="14">
        <f t="shared" si="11"/>
        <v>719</v>
      </c>
    </row>
    <row r="32" spans="1:12" s="44" customFormat="1" ht="15" customHeight="1" outlineLevel="1" thickBot="1" x14ac:dyDescent="0.3">
      <c r="A32" s="22" t="s">
        <v>1</v>
      </c>
      <c r="B32" s="262">
        <f t="shared" si="12"/>
        <v>43876</v>
      </c>
      <c r="C32" s="375"/>
      <c r="D32" s="275">
        <v>175</v>
      </c>
      <c r="E32" s="275">
        <v>31</v>
      </c>
      <c r="F32" s="17">
        <v>147</v>
      </c>
      <c r="G32" s="61">
        <v>100</v>
      </c>
      <c r="H32" s="429"/>
      <c r="I32" s="285"/>
      <c r="J32" s="128">
        <v>285</v>
      </c>
      <c r="K32" s="16">
        <v>255</v>
      </c>
      <c r="L32" s="14">
        <f>SUM(C32:K32)</f>
        <v>993</v>
      </c>
    </row>
    <row r="33" spans="1:13" s="44" customFormat="1" ht="15" customHeight="1" outlineLevel="1" thickBot="1" x14ac:dyDescent="0.3">
      <c r="A33" s="22" t="s">
        <v>2</v>
      </c>
      <c r="B33" s="262">
        <f t="shared" si="12"/>
        <v>43877</v>
      </c>
      <c r="C33" s="450"/>
      <c r="D33" s="434">
        <v>154</v>
      </c>
      <c r="E33" s="434">
        <v>36</v>
      </c>
      <c r="F33" s="55">
        <v>204</v>
      </c>
      <c r="G33" s="332">
        <v>189</v>
      </c>
      <c r="H33" s="436"/>
      <c r="I33" s="437"/>
      <c r="J33" s="265">
        <v>453</v>
      </c>
      <c r="K33" s="54">
        <v>450</v>
      </c>
      <c r="L33" s="63">
        <f>SUM(C33:K33)</f>
        <v>1486</v>
      </c>
    </row>
    <row r="34" spans="1:13" s="44" customFormat="1" ht="15" customHeight="1" outlineLevel="1" thickBot="1" x14ac:dyDescent="0.3">
      <c r="A34" s="150" t="s">
        <v>21</v>
      </c>
      <c r="B34" s="619" t="s">
        <v>26</v>
      </c>
      <c r="C34" s="506">
        <f t="shared" ref="C34:L34" si="13">SUM(C27:C33)</f>
        <v>0</v>
      </c>
      <c r="D34" s="430">
        <f>SUM(D27:D33)</f>
        <v>498</v>
      </c>
      <c r="E34" s="430">
        <f>SUM(E27:E33)</f>
        <v>145</v>
      </c>
      <c r="F34" s="430">
        <f>SUM(F27:F33)</f>
        <v>603</v>
      </c>
      <c r="G34" s="430">
        <f>SUM(G27:G33)</f>
        <v>447</v>
      </c>
      <c r="H34" s="324">
        <f t="shared" si="13"/>
        <v>972</v>
      </c>
      <c r="I34" s="343">
        <f t="shared" si="13"/>
        <v>967</v>
      </c>
      <c r="J34" s="345">
        <f t="shared" si="13"/>
        <v>912</v>
      </c>
      <c r="K34" s="334">
        <f t="shared" si="13"/>
        <v>832</v>
      </c>
      <c r="L34" s="109">
        <f t="shared" si="13"/>
        <v>5376</v>
      </c>
    </row>
    <row r="35" spans="1:13" s="44" customFormat="1" ht="15" customHeight="1" outlineLevel="1" thickBot="1" x14ac:dyDescent="0.3">
      <c r="A35" s="101" t="s">
        <v>23</v>
      </c>
      <c r="B35" s="620"/>
      <c r="C35" s="507" t="e">
        <f t="shared" ref="C35:L35" si="14">AVERAGE(C27:C33)</f>
        <v>#DIV/0!</v>
      </c>
      <c r="D35" s="278">
        <f t="shared" si="14"/>
        <v>99.6</v>
      </c>
      <c r="E35" s="278">
        <f t="shared" si="14"/>
        <v>29</v>
      </c>
      <c r="F35" s="278">
        <f>AVERAGE(F27:F33)</f>
        <v>120.6</v>
      </c>
      <c r="G35" s="419">
        <f t="shared" si="14"/>
        <v>89.4</v>
      </c>
      <c r="H35" s="281">
        <f t="shared" si="14"/>
        <v>194.4</v>
      </c>
      <c r="I35" s="282">
        <f t="shared" si="14"/>
        <v>193.4</v>
      </c>
      <c r="J35" s="338">
        <f t="shared" si="14"/>
        <v>130.28571428571428</v>
      </c>
      <c r="K35" s="300">
        <f t="shared" si="14"/>
        <v>118.85714285714286</v>
      </c>
      <c r="L35" s="105">
        <f t="shared" si="14"/>
        <v>768</v>
      </c>
    </row>
    <row r="36" spans="1:13" s="44" customFormat="1" ht="15" customHeight="1" thickBot="1" x14ac:dyDescent="0.3">
      <c r="A36" s="23" t="s">
        <v>20</v>
      </c>
      <c r="B36" s="620"/>
      <c r="C36" s="508">
        <f t="shared" ref="C36:L36" si="15">SUM(C27:C31)</f>
        <v>0</v>
      </c>
      <c r="D36" s="279">
        <f t="shared" si="15"/>
        <v>169</v>
      </c>
      <c r="E36" s="279">
        <f>SUM(E27:E31)</f>
        <v>78</v>
      </c>
      <c r="F36" s="279">
        <f>SUM(F27:F31)</f>
        <v>252</v>
      </c>
      <c r="G36" s="420">
        <f>SUM(G27:G31)</f>
        <v>158</v>
      </c>
      <c r="H36" s="283">
        <f t="shared" si="15"/>
        <v>972</v>
      </c>
      <c r="I36" s="284">
        <f t="shared" si="15"/>
        <v>967</v>
      </c>
      <c r="J36" s="339">
        <f t="shared" si="15"/>
        <v>174</v>
      </c>
      <c r="K36" s="301">
        <f t="shared" si="15"/>
        <v>127</v>
      </c>
      <c r="L36" s="27">
        <f t="shared" si="15"/>
        <v>2897</v>
      </c>
    </row>
    <row r="37" spans="1:13" s="44" customFormat="1" ht="15" customHeight="1" thickBot="1" x14ac:dyDescent="0.3">
      <c r="A37" s="23" t="s">
        <v>22</v>
      </c>
      <c r="B37" s="621"/>
      <c r="C37" s="509" t="e">
        <f t="shared" ref="C37:L37" si="16">AVERAGE(C27:C31)</f>
        <v>#DIV/0!</v>
      </c>
      <c r="D37" s="438">
        <f t="shared" si="16"/>
        <v>56.333333333333336</v>
      </c>
      <c r="E37" s="438">
        <f t="shared" si="16"/>
        <v>26</v>
      </c>
      <c r="F37" s="438">
        <f t="shared" si="16"/>
        <v>84</v>
      </c>
      <c r="G37" s="439">
        <f t="shared" si="16"/>
        <v>52.666666666666664</v>
      </c>
      <c r="H37" s="440">
        <f t="shared" si="16"/>
        <v>194.4</v>
      </c>
      <c r="I37" s="441">
        <f t="shared" si="16"/>
        <v>193.4</v>
      </c>
      <c r="J37" s="442">
        <f t="shared" si="16"/>
        <v>34.799999999999997</v>
      </c>
      <c r="K37" s="443">
        <f t="shared" si="16"/>
        <v>25.4</v>
      </c>
      <c r="L37" s="32">
        <f t="shared" si="16"/>
        <v>579.4</v>
      </c>
    </row>
    <row r="38" spans="1:13" s="44" customFormat="1" ht="15" customHeight="1" thickBot="1" x14ac:dyDescent="0.3">
      <c r="A38" s="22" t="s">
        <v>3</v>
      </c>
      <c r="B38" s="272">
        <f>B33+1</f>
        <v>43878</v>
      </c>
      <c r="C38" s="451"/>
      <c r="D38" s="280">
        <v>269</v>
      </c>
      <c r="E38" s="280">
        <v>36</v>
      </c>
      <c r="F38" s="280">
        <v>263</v>
      </c>
      <c r="G38" s="330">
        <v>206</v>
      </c>
      <c r="H38" s="427"/>
      <c r="I38" s="428"/>
      <c r="J38" s="452">
        <v>233</v>
      </c>
      <c r="K38" s="428">
        <v>213</v>
      </c>
      <c r="L38" s="13">
        <f>SUM(C38:K38)</f>
        <v>1220</v>
      </c>
    </row>
    <row r="39" spans="1:13" s="44" customFormat="1" ht="15" customHeight="1" thickBot="1" x14ac:dyDescent="0.3">
      <c r="A39" s="22" t="s">
        <v>4</v>
      </c>
      <c r="B39" s="273">
        <f t="shared" ref="B39:B44" si="17">B38+1</f>
        <v>43879</v>
      </c>
      <c r="C39" s="376"/>
      <c r="D39" s="275"/>
      <c r="E39" s="275"/>
      <c r="F39" s="275"/>
      <c r="G39" s="331"/>
      <c r="H39" s="429">
        <v>201</v>
      </c>
      <c r="I39" s="285">
        <v>199</v>
      </c>
      <c r="J39" s="341">
        <v>47</v>
      </c>
      <c r="K39" s="285">
        <v>57</v>
      </c>
      <c r="L39" s="14">
        <f t="shared" ref="L39:L43" si="18">SUM(C39:K39)</f>
        <v>504</v>
      </c>
    </row>
    <row r="40" spans="1:13" s="44" customFormat="1" ht="15" customHeight="1" thickBot="1" x14ac:dyDescent="0.3">
      <c r="A40" s="22" t="s">
        <v>5</v>
      </c>
      <c r="B40" s="273">
        <f t="shared" si="17"/>
        <v>43880</v>
      </c>
      <c r="C40" s="376"/>
      <c r="D40" s="275"/>
      <c r="E40" s="275"/>
      <c r="F40" s="275"/>
      <c r="G40" s="331"/>
      <c r="H40" s="429">
        <v>201</v>
      </c>
      <c r="I40" s="285">
        <v>198</v>
      </c>
      <c r="J40" s="341">
        <v>60</v>
      </c>
      <c r="K40" s="285">
        <v>89</v>
      </c>
      <c r="L40" s="14">
        <f t="shared" si="18"/>
        <v>548</v>
      </c>
    </row>
    <row r="41" spans="1:13" s="44" customFormat="1" ht="15" customHeight="1" thickBot="1" x14ac:dyDescent="0.3">
      <c r="A41" s="22" t="s">
        <v>6</v>
      </c>
      <c r="B41" s="273">
        <f t="shared" si="17"/>
        <v>43881</v>
      </c>
      <c r="C41" s="376"/>
      <c r="D41" s="275">
        <v>102</v>
      </c>
      <c r="E41" s="275">
        <v>73</v>
      </c>
      <c r="F41" s="277">
        <v>103</v>
      </c>
      <c r="G41" s="331">
        <v>191</v>
      </c>
      <c r="H41" s="429">
        <v>213</v>
      </c>
      <c r="I41" s="285">
        <v>207</v>
      </c>
      <c r="J41" s="341">
        <v>58</v>
      </c>
      <c r="K41" s="285">
        <v>47</v>
      </c>
      <c r="L41" s="14">
        <f t="shared" si="18"/>
        <v>994</v>
      </c>
    </row>
    <row r="42" spans="1:13" s="44" customFormat="1" ht="15" customHeight="1" thickBot="1" x14ac:dyDescent="0.3">
      <c r="A42" s="22" t="s">
        <v>0</v>
      </c>
      <c r="B42" s="273">
        <f t="shared" si="17"/>
        <v>43882</v>
      </c>
      <c r="C42" s="376"/>
      <c r="D42" s="275">
        <v>139</v>
      </c>
      <c r="E42" s="275">
        <v>18</v>
      </c>
      <c r="F42" s="275">
        <v>220</v>
      </c>
      <c r="G42" s="331">
        <v>122</v>
      </c>
      <c r="H42" s="429">
        <v>166</v>
      </c>
      <c r="I42" s="285">
        <v>156</v>
      </c>
      <c r="J42" s="341">
        <v>58</v>
      </c>
      <c r="K42" s="285">
        <v>38</v>
      </c>
      <c r="L42" s="14">
        <f t="shared" si="18"/>
        <v>917</v>
      </c>
    </row>
    <row r="43" spans="1:13" s="44" customFormat="1" ht="15" customHeight="1" outlineLevel="1" thickBot="1" x14ac:dyDescent="0.3">
      <c r="A43" s="22" t="s">
        <v>1</v>
      </c>
      <c r="B43" s="273">
        <f t="shared" si="17"/>
        <v>43883</v>
      </c>
      <c r="C43" s="376"/>
      <c r="D43" s="277">
        <v>163</v>
      </c>
      <c r="E43" s="275">
        <v>50</v>
      </c>
      <c r="F43" s="275">
        <v>164</v>
      </c>
      <c r="G43" s="331">
        <v>145</v>
      </c>
      <c r="H43" s="429"/>
      <c r="I43" s="285"/>
      <c r="J43" s="341">
        <v>522</v>
      </c>
      <c r="K43" s="285">
        <v>460</v>
      </c>
      <c r="L43" s="14">
        <f t="shared" si="18"/>
        <v>1504</v>
      </c>
      <c r="M43" s="114"/>
    </row>
    <row r="44" spans="1:13" s="44" customFormat="1" ht="15" customHeight="1" outlineLevel="1" thickBot="1" x14ac:dyDescent="0.3">
      <c r="A44" s="22" t="s">
        <v>2</v>
      </c>
      <c r="B44" s="273">
        <f t="shared" si="17"/>
        <v>43884</v>
      </c>
      <c r="C44" s="453"/>
      <c r="D44" s="454">
        <v>125</v>
      </c>
      <c r="E44" s="434">
        <v>38</v>
      </c>
      <c r="F44" s="434">
        <v>143</v>
      </c>
      <c r="G44" s="344">
        <v>138</v>
      </c>
      <c r="H44" s="436"/>
      <c r="I44" s="437"/>
      <c r="J44" s="455">
        <v>541</v>
      </c>
      <c r="K44" s="437">
        <v>501</v>
      </c>
      <c r="L44" s="63">
        <f>SUM(C44:K44)</f>
        <v>1486</v>
      </c>
      <c r="M44" s="114"/>
    </row>
    <row r="45" spans="1:13" s="44" customFormat="1" ht="15" customHeight="1" outlineLevel="1" thickBot="1" x14ac:dyDescent="0.3">
      <c r="A45" s="150" t="s">
        <v>21</v>
      </c>
      <c r="B45" s="619" t="s">
        <v>27</v>
      </c>
      <c r="C45" s="506">
        <f>SUM(C38:C44)</f>
        <v>0</v>
      </c>
      <c r="D45" s="430">
        <f t="shared" ref="D45:L45" si="19">SUM(D38:D44)</f>
        <v>798</v>
      </c>
      <c r="E45" s="430">
        <f t="shared" ref="E45:K45" si="20">SUM(E38:E44)</f>
        <v>215</v>
      </c>
      <c r="F45" s="430">
        <f t="shared" si="20"/>
        <v>893</v>
      </c>
      <c r="G45" s="431">
        <f t="shared" si="20"/>
        <v>802</v>
      </c>
      <c r="H45" s="324">
        <f t="shared" si="20"/>
        <v>781</v>
      </c>
      <c r="I45" s="343">
        <f t="shared" si="20"/>
        <v>760</v>
      </c>
      <c r="J45" s="345">
        <f t="shared" si="20"/>
        <v>1519</v>
      </c>
      <c r="K45" s="334">
        <f t="shared" si="20"/>
        <v>1405</v>
      </c>
      <c r="L45" s="109">
        <f t="shared" si="19"/>
        <v>7173</v>
      </c>
    </row>
    <row r="46" spans="1:13" s="44" customFormat="1" ht="15" customHeight="1" outlineLevel="1" thickBot="1" x14ac:dyDescent="0.3">
      <c r="A46" s="101" t="s">
        <v>23</v>
      </c>
      <c r="B46" s="620"/>
      <c r="C46" s="507" t="e">
        <f>AVERAGE(C38:C44)</f>
        <v>#DIV/0!</v>
      </c>
      <c r="D46" s="278">
        <f t="shared" ref="D46:L46" si="21">AVERAGE(D38:D44)</f>
        <v>159.6</v>
      </c>
      <c r="E46" s="278">
        <f t="shared" si="21"/>
        <v>43</v>
      </c>
      <c r="F46" s="278">
        <f t="shared" si="21"/>
        <v>178.6</v>
      </c>
      <c r="G46" s="419">
        <f t="shared" si="21"/>
        <v>160.4</v>
      </c>
      <c r="H46" s="281">
        <f t="shared" si="21"/>
        <v>195.25</v>
      </c>
      <c r="I46" s="282">
        <f t="shared" si="21"/>
        <v>190</v>
      </c>
      <c r="J46" s="338">
        <f t="shared" si="21"/>
        <v>217</v>
      </c>
      <c r="K46" s="300">
        <f t="shared" si="21"/>
        <v>200.71428571428572</v>
      </c>
      <c r="L46" s="105">
        <f t="shared" si="21"/>
        <v>1024.7142857142858</v>
      </c>
    </row>
    <row r="47" spans="1:13" s="44" customFormat="1" ht="15" customHeight="1" thickBot="1" x14ac:dyDescent="0.3">
      <c r="A47" s="23" t="s">
        <v>20</v>
      </c>
      <c r="B47" s="620"/>
      <c r="C47" s="508">
        <f t="shared" ref="C47:L47" si="22">SUM(C38:C42)</f>
        <v>0</v>
      </c>
      <c r="D47" s="279">
        <f t="shared" si="22"/>
        <v>510</v>
      </c>
      <c r="E47" s="279">
        <f t="shared" si="22"/>
        <v>127</v>
      </c>
      <c r="F47" s="279">
        <f t="shared" si="22"/>
        <v>586</v>
      </c>
      <c r="G47" s="420">
        <f t="shared" si="22"/>
        <v>519</v>
      </c>
      <c r="H47" s="283">
        <f>SUM(H38:H42)</f>
        <v>781</v>
      </c>
      <c r="I47" s="284">
        <f t="shared" si="22"/>
        <v>760</v>
      </c>
      <c r="J47" s="339">
        <f t="shared" si="22"/>
        <v>456</v>
      </c>
      <c r="K47" s="301">
        <f t="shared" si="22"/>
        <v>444</v>
      </c>
      <c r="L47" s="27">
        <f t="shared" si="22"/>
        <v>4183</v>
      </c>
    </row>
    <row r="48" spans="1:13" s="44" customFormat="1" ht="15" customHeight="1" thickBot="1" x14ac:dyDescent="0.3">
      <c r="A48" s="23" t="s">
        <v>22</v>
      </c>
      <c r="B48" s="621"/>
      <c r="C48" s="509" t="e">
        <f t="shared" ref="C48:L48" si="23">AVERAGE(C38:C42)</f>
        <v>#DIV/0!</v>
      </c>
      <c r="D48" s="438">
        <f t="shared" si="23"/>
        <v>170</v>
      </c>
      <c r="E48" s="438">
        <f t="shared" si="23"/>
        <v>42.333333333333336</v>
      </c>
      <c r="F48" s="438">
        <f t="shared" si="23"/>
        <v>195.33333333333334</v>
      </c>
      <c r="G48" s="439">
        <f t="shared" si="23"/>
        <v>173</v>
      </c>
      <c r="H48" s="440">
        <f t="shared" si="23"/>
        <v>195.25</v>
      </c>
      <c r="I48" s="441">
        <f t="shared" si="23"/>
        <v>190</v>
      </c>
      <c r="J48" s="442">
        <f t="shared" si="23"/>
        <v>91.2</v>
      </c>
      <c r="K48" s="443">
        <f t="shared" si="23"/>
        <v>88.8</v>
      </c>
      <c r="L48" s="32">
        <f t="shared" si="23"/>
        <v>836.6</v>
      </c>
    </row>
    <row r="49" spans="1:13" s="44" customFormat="1" ht="15" customHeight="1" thickBot="1" x14ac:dyDescent="0.3">
      <c r="A49" s="22" t="s">
        <v>3</v>
      </c>
      <c r="B49" s="272">
        <f>B44+1</f>
        <v>43885</v>
      </c>
      <c r="C49" s="451"/>
      <c r="D49" s="280">
        <v>116</v>
      </c>
      <c r="E49" s="280">
        <v>29</v>
      </c>
      <c r="F49" s="456">
        <v>120</v>
      </c>
      <c r="G49" s="457">
        <v>105</v>
      </c>
      <c r="H49" s="427">
        <v>203</v>
      </c>
      <c r="I49" s="428">
        <v>193</v>
      </c>
      <c r="J49" s="452">
        <v>97</v>
      </c>
      <c r="K49" s="428">
        <v>36</v>
      </c>
      <c r="L49" s="56">
        <f t="shared" ref="L49:L55" si="24">SUM(C49:K49)</f>
        <v>899</v>
      </c>
      <c r="M49" s="145"/>
    </row>
    <row r="50" spans="1:13" s="44" customFormat="1" ht="15" customHeight="1" thickBot="1" x14ac:dyDescent="0.3">
      <c r="A50" s="141" t="s">
        <v>4</v>
      </c>
      <c r="B50" s="273">
        <f t="shared" ref="B50:B55" si="25">B49+1</f>
        <v>43886</v>
      </c>
      <c r="C50" s="376"/>
      <c r="D50" s="275"/>
      <c r="E50" s="275"/>
      <c r="F50" s="275"/>
      <c r="G50" s="331"/>
      <c r="H50" s="429">
        <v>201</v>
      </c>
      <c r="I50" s="285">
        <v>197</v>
      </c>
      <c r="J50" s="341">
        <v>28</v>
      </c>
      <c r="K50" s="285">
        <v>15</v>
      </c>
      <c r="L50" s="56">
        <f t="shared" si="24"/>
        <v>441</v>
      </c>
      <c r="M50" s="145"/>
    </row>
    <row r="51" spans="1:13" s="44" customFormat="1" ht="14.25" customHeight="1" thickBot="1" x14ac:dyDescent="0.3">
      <c r="A51" s="141" t="s">
        <v>5</v>
      </c>
      <c r="B51" s="273">
        <f t="shared" si="25"/>
        <v>43887</v>
      </c>
      <c r="C51" s="376"/>
      <c r="D51" s="275"/>
      <c r="E51" s="275"/>
      <c r="F51" s="275"/>
      <c r="G51" s="331"/>
      <c r="H51" s="429">
        <v>206</v>
      </c>
      <c r="I51" s="285">
        <v>188</v>
      </c>
      <c r="J51" s="341">
        <v>27</v>
      </c>
      <c r="K51" s="285">
        <v>23</v>
      </c>
      <c r="L51" s="56">
        <f t="shared" si="24"/>
        <v>444</v>
      </c>
      <c r="M51" s="145"/>
    </row>
    <row r="52" spans="1:13" s="44" customFormat="1" ht="14.25" thickBot="1" x14ac:dyDescent="0.3">
      <c r="A52" s="141" t="s">
        <v>6</v>
      </c>
      <c r="B52" s="273">
        <f t="shared" si="25"/>
        <v>43888</v>
      </c>
      <c r="C52" s="376"/>
      <c r="D52" s="275"/>
      <c r="E52" s="275">
        <v>38</v>
      </c>
      <c r="F52" s="275">
        <v>113</v>
      </c>
      <c r="G52" s="331">
        <v>79</v>
      </c>
      <c r="H52" s="429">
        <v>203</v>
      </c>
      <c r="I52" s="285">
        <v>187</v>
      </c>
      <c r="J52" s="341">
        <v>33</v>
      </c>
      <c r="K52" s="285">
        <v>22</v>
      </c>
      <c r="L52" s="56">
        <f t="shared" si="24"/>
        <v>675</v>
      </c>
      <c r="M52" s="145"/>
    </row>
    <row r="53" spans="1:13" s="44" customFormat="1" ht="14.25" thickBot="1" x14ac:dyDescent="0.3">
      <c r="A53" s="22" t="s">
        <v>0</v>
      </c>
      <c r="B53" s="274">
        <f t="shared" si="25"/>
        <v>43889</v>
      </c>
      <c r="C53" s="377"/>
      <c r="D53" s="33"/>
      <c r="E53" s="275">
        <v>33</v>
      </c>
      <c r="F53" s="275">
        <v>214</v>
      </c>
      <c r="G53" s="331">
        <v>104</v>
      </c>
      <c r="H53" s="429">
        <v>189</v>
      </c>
      <c r="I53" s="285">
        <v>177</v>
      </c>
      <c r="J53" s="341">
        <v>47</v>
      </c>
      <c r="K53" s="285">
        <v>45</v>
      </c>
      <c r="L53" s="56">
        <f t="shared" si="24"/>
        <v>809</v>
      </c>
      <c r="M53" s="145"/>
    </row>
    <row r="54" spans="1:13" s="44" customFormat="1" ht="14.25" outlineLevel="1" thickBot="1" x14ac:dyDescent="0.3">
      <c r="A54" s="22" t="s">
        <v>1</v>
      </c>
      <c r="B54" s="274">
        <f t="shared" si="25"/>
        <v>43890</v>
      </c>
      <c r="C54" s="377"/>
      <c r="D54" s="33">
        <v>104</v>
      </c>
      <c r="E54" s="275">
        <v>35</v>
      </c>
      <c r="F54" s="275">
        <v>185</v>
      </c>
      <c r="G54" s="331">
        <v>85</v>
      </c>
      <c r="H54" s="429"/>
      <c r="I54" s="285"/>
      <c r="J54" s="341">
        <v>410</v>
      </c>
      <c r="K54" s="285">
        <v>294</v>
      </c>
      <c r="L54" s="56">
        <f t="shared" si="24"/>
        <v>1113</v>
      </c>
      <c r="M54" s="145"/>
    </row>
    <row r="55" spans="1:13" s="44" customFormat="1" ht="14.25" outlineLevel="1" thickBot="1" x14ac:dyDescent="0.3">
      <c r="A55" s="141" t="s">
        <v>2</v>
      </c>
      <c r="B55" s="274">
        <f t="shared" si="25"/>
        <v>43891</v>
      </c>
      <c r="C55" s="458"/>
      <c r="D55" s="459"/>
      <c r="E55" s="434"/>
      <c r="F55" s="434"/>
      <c r="G55" s="344"/>
      <c r="H55" s="436"/>
      <c r="I55" s="437"/>
      <c r="J55" s="455"/>
      <c r="K55" s="437"/>
      <c r="L55" s="56">
        <f t="shared" si="24"/>
        <v>0</v>
      </c>
    </row>
    <row r="56" spans="1:13" s="44" customFormat="1" ht="15" customHeight="1" outlineLevel="1" thickBot="1" x14ac:dyDescent="0.3">
      <c r="A56" s="150" t="s">
        <v>21</v>
      </c>
      <c r="B56" s="619" t="s">
        <v>28</v>
      </c>
      <c r="C56" s="506">
        <f>SUM(C49:C55)</f>
        <v>0</v>
      </c>
      <c r="D56" s="430">
        <f t="shared" ref="D56:J56" si="26">SUM(D49:D55)</f>
        <v>220</v>
      </c>
      <c r="E56" s="430">
        <f t="shared" si="26"/>
        <v>135</v>
      </c>
      <c r="F56" s="430">
        <f t="shared" si="26"/>
        <v>632</v>
      </c>
      <c r="G56" s="431">
        <f t="shared" si="26"/>
        <v>373</v>
      </c>
      <c r="H56" s="324">
        <f t="shared" si="26"/>
        <v>1002</v>
      </c>
      <c r="I56" s="343">
        <f t="shared" si="26"/>
        <v>942</v>
      </c>
      <c r="J56" s="345">
        <f t="shared" si="26"/>
        <v>642</v>
      </c>
      <c r="K56" s="334">
        <f>SUM(K49:K55)</f>
        <v>435</v>
      </c>
      <c r="L56" s="109">
        <f>SUM(L49:L55)</f>
        <v>4381</v>
      </c>
    </row>
    <row r="57" spans="1:13" s="44" customFormat="1" ht="15" customHeight="1" outlineLevel="1" thickBot="1" x14ac:dyDescent="0.3">
      <c r="A57" s="101" t="s">
        <v>23</v>
      </c>
      <c r="B57" s="620"/>
      <c r="C57" s="507" t="e">
        <f>AVERAGE(C49:C55)</f>
        <v>#DIV/0!</v>
      </c>
      <c r="D57" s="278">
        <f t="shared" ref="D57:K57" si="27">AVERAGE(D49:D55)</f>
        <v>110</v>
      </c>
      <c r="E57" s="278">
        <f t="shared" si="27"/>
        <v>33.75</v>
      </c>
      <c r="F57" s="278">
        <f t="shared" si="27"/>
        <v>158</v>
      </c>
      <c r="G57" s="419">
        <f t="shared" si="27"/>
        <v>93.25</v>
      </c>
      <c r="H57" s="281">
        <f t="shared" si="27"/>
        <v>200.4</v>
      </c>
      <c r="I57" s="282">
        <f t="shared" si="27"/>
        <v>188.4</v>
      </c>
      <c r="J57" s="338">
        <f t="shared" si="27"/>
        <v>107</v>
      </c>
      <c r="K57" s="300">
        <f t="shared" si="27"/>
        <v>72.5</v>
      </c>
      <c r="L57" s="105">
        <f>AVERAGE(L49:L55)</f>
        <v>625.85714285714289</v>
      </c>
    </row>
    <row r="58" spans="1:13" s="44" customFormat="1" ht="15" customHeight="1" thickBot="1" x14ac:dyDescent="0.3">
      <c r="A58" s="23" t="s">
        <v>20</v>
      </c>
      <c r="B58" s="620"/>
      <c r="C58" s="508">
        <f>SUM(C49:C53)</f>
        <v>0</v>
      </c>
      <c r="D58" s="279">
        <f t="shared" ref="D58:K58" si="28">SUM(D49:D53)</f>
        <v>116</v>
      </c>
      <c r="E58" s="279">
        <f t="shared" si="28"/>
        <v>100</v>
      </c>
      <c r="F58" s="279">
        <f t="shared" si="28"/>
        <v>447</v>
      </c>
      <c r="G58" s="420">
        <f t="shared" si="28"/>
        <v>288</v>
      </c>
      <c r="H58" s="283">
        <f t="shared" si="28"/>
        <v>1002</v>
      </c>
      <c r="I58" s="284">
        <f t="shared" si="28"/>
        <v>942</v>
      </c>
      <c r="J58" s="339">
        <f t="shared" si="28"/>
        <v>232</v>
      </c>
      <c r="K58" s="301">
        <f t="shared" si="28"/>
        <v>141</v>
      </c>
      <c r="L58" s="27">
        <f>SUM(L49:L53)</f>
        <v>3268</v>
      </c>
    </row>
    <row r="59" spans="1:13" s="44" customFormat="1" ht="14.25" thickBot="1" x14ac:dyDescent="0.3">
      <c r="A59" s="23" t="s">
        <v>22</v>
      </c>
      <c r="B59" s="621"/>
      <c r="C59" s="510" t="e">
        <f>AVERAGE(C49:C53)</f>
        <v>#DIV/0!</v>
      </c>
      <c r="D59" s="30">
        <f t="shared" ref="D59:L59" si="29">AVERAGE(D49:D53)</f>
        <v>116</v>
      </c>
      <c r="E59" s="30">
        <f t="shared" si="29"/>
        <v>33.333333333333336</v>
      </c>
      <c r="F59" s="30">
        <f t="shared" si="29"/>
        <v>149</v>
      </c>
      <c r="G59" s="421">
        <f t="shared" si="29"/>
        <v>96</v>
      </c>
      <c r="H59" s="28">
        <f t="shared" si="29"/>
        <v>200.4</v>
      </c>
      <c r="I59" s="29">
        <f t="shared" si="29"/>
        <v>188.4</v>
      </c>
      <c r="J59" s="333">
        <f t="shared" si="29"/>
        <v>46.4</v>
      </c>
      <c r="K59" s="31">
        <f t="shared" si="29"/>
        <v>28.2</v>
      </c>
      <c r="L59" s="32">
        <f t="shared" si="29"/>
        <v>653.6</v>
      </c>
    </row>
    <row r="60" spans="1:13" s="44" customFormat="1" ht="14.25" hidden="1" thickBot="1" x14ac:dyDescent="0.3">
      <c r="A60" s="141" t="s">
        <v>3</v>
      </c>
      <c r="B60" s="272">
        <f>B55+1</f>
        <v>43892</v>
      </c>
      <c r="C60" s="378"/>
      <c r="D60" s="9"/>
      <c r="E60" s="11"/>
      <c r="F60" s="11"/>
      <c r="G60" s="11"/>
      <c r="H60" s="11"/>
      <c r="I60" s="60"/>
      <c r="J60" s="113"/>
      <c r="K60" s="17"/>
      <c r="L60" s="178">
        <f>SUM(D60:J60)</f>
        <v>0</v>
      </c>
    </row>
    <row r="61" spans="1:13" s="44" customFormat="1" ht="14.25" hidden="1" thickBot="1" x14ac:dyDescent="0.3">
      <c r="A61" s="141" t="s">
        <v>4</v>
      </c>
      <c r="B61" s="273">
        <f t="shared" ref="B61:B66" si="30">B60+1</f>
        <v>43893</v>
      </c>
      <c r="C61" s="379"/>
      <c r="D61" s="15"/>
      <c r="E61" s="17"/>
      <c r="F61" s="17"/>
      <c r="G61" s="17"/>
      <c r="H61" s="17"/>
      <c r="I61" s="61"/>
      <c r="J61" s="61"/>
      <c r="K61" s="17"/>
      <c r="L61" s="178">
        <f>SUM(D61:J61)</f>
        <v>0</v>
      </c>
    </row>
    <row r="62" spans="1:13" s="44" customFormat="1" ht="13.5" hidden="1" x14ac:dyDescent="0.25">
      <c r="A62" s="141"/>
      <c r="B62" s="273">
        <f t="shared" si="30"/>
        <v>43894</v>
      </c>
      <c r="C62" s="379"/>
      <c r="D62" s="15"/>
      <c r="E62" s="17"/>
      <c r="F62" s="17"/>
      <c r="G62" s="17"/>
      <c r="H62" s="17"/>
      <c r="I62" s="61"/>
      <c r="J62" s="61"/>
      <c r="K62" s="17"/>
      <c r="L62" s="52"/>
    </row>
    <row r="63" spans="1:13" s="44" customFormat="1" ht="13.5" hidden="1" x14ac:dyDescent="0.25">
      <c r="A63" s="141"/>
      <c r="B63" s="273">
        <f t="shared" si="30"/>
        <v>43895</v>
      </c>
      <c r="C63" s="379"/>
      <c r="D63" s="15"/>
      <c r="E63" s="17"/>
      <c r="F63" s="17"/>
      <c r="G63" s="17"/>
      <c r="H63" s="17"/>
      <c r="I63" s="61"/>
      <c r="J63" s="61"/>
      <c r="K63" s="17"/>
      <c r="L63" s="52"/>
    </row>
    <row r="64" spans="1:13" s="44" customFormat="1" ht="13.5" hidden="1" x14ac:dyDescent="0.25">
      <c r="A64" s="22"/>
      <c r="B64" s="273">
        <f t="shared" si="30"/>
        <v>43896</v>
      </c>
      <c r="C64" s="379"/>
      <c r="D64" s="15"/>
      <c r="E64" s="17"/>
      <c r="F64" s="17"/>
      <c r="G64" s="17"/>
      <c r="H64" s="17"/>
      <c r="I64" s="61"/>
      <c r="J64" s="61"/>
      <c r="K64" s="17"/>
      <c r="L64" s="52"/>
    </row>
    <row r="65" spans="1:14" s="44" customFormat="1" ht="13.5" hidden="1" outlineLevel="1" x14ac:dyDescent="0.25">
      <c r="A65" s="22"/>
      <c r="B65" s="273">
        <f t="shared" si="30"/>
        <v>43897</v>
      </c>
      <c r="C65" s="379"/>
      <c r="D65" s="15"/>
      <c r="E65" s="17"/>
      <c r="F65" s="17"/>
      <c r="G65" s="17"/>
      <c r="H65" s="17"/>
      <c r="I65" s="61"/>
      <c r="J65" s="61"/>
      <c r="K65" s="17"/>
      <c r="L65" s="52"/>
    </row>
    <row r="66" spans="1:14" s="44" customFormat="1" ht="14.25" hidden="1" outlineLevel="1" thickBot="1" x14ac:dyDescent="0.3">
      <c r="A66" s="22"/>
      <c r="B66" s="273">
        <f t="shared" si="30"/>
        <v>43898</v>
      </c>
      <c r="C66" s="380"/>
      <c r="D66" s="53"/>
      <c r="E66" s="55"/>
      <c r="F66" s="55"/>
      <c r="G66" s="55"/>
      <c r="H66" s="55"/>
      <c r="I66" s="332"/>
      <c r="J66" s="332"/>
      <c r="K66" s="17"/>
      <c r="L66" s="129"/>
    </row>
    <row r="67" spans="1:14" s="44" customFormat="1" ht="14.25" hidden="1" outlineLevel="1" thickBot="1" x14ac:dyDescent="0.3">
      <c r="A67" s="150" t="s">
        <v>21</v>
      </c>
      <c r="B67" s="619" t="s">
        <v>32</v>
      </c>
      <c r="C67" s="381"/>
      <c r="D67" s="324">
        <f>SUM(D60:D66)</f>
        <v>0</v>
      </c>
      <c r="E67" s="324">
        <f t="shared" ref="E67:L67" si="31">SUM(E60:E66)</f>
        <v>0</v>
      </c>
      <c r="F67" s="324">
        <f t="shared" si="31"/>
        <v>0</v>
      </c>
      <c r="G67" s="324"/>
      <c r="H67" s="324">
        <f t="shared" si="31"/>
        <v>0</v>
      </c>
      <c r="I67" s="324">
        <f>SUM(I60:I66)</f>
        <v>0</v>
      </c>
      <c r="J67" s="334">
        <f t="shared" si="31"/>
        <v>0</v>
      </c>
      <c r="K67" s="334">
        <f>SUM(K60:K66)</f>
        <v>0</v>
      </c>
      <c r="L67" s="156">
        <f t="shared" si="31"/>
        <v>0</v>
      </c>
    </row>
    <row r="68" spans="1:14" s="44" customFormat="1" ht="14.25" hidden="1" outlineLevel="1" thickBot="1" x14ac:dyDescent="0.3">
      <c r="A68" s="101" t="s">
        <v>23</v>
      </c>
      <c r="B68" s="620"/>
      <c r="C68" s="381"/>
      <c r="D68" s="102" t="e">
        <f>AVERAGE(D60:D66)</f>
        <v>#DIV/0!</v>
      </c>
      <c r="E68" s="102" t="e">
        <f t="shared" ref="E68:L68" si="32">AVERAGE(E60:E66)</f>
        <v>#DIV/0!</v>
      </c>
      <c r="F68" s="102" t="e">
        <f t="shared" si="32"/>
        <v>#DIV/0!</v>
      </c>
      <c r="G68" s="102"/>
      <c r="H68" s="102" t="e">
        <f t="shared" si="32"/>
        <v>#DIV/0!</v>
      </c>
      <c r="I68" s="102" t="e">
        <f>AVERAGE(I60:I66)</f>
        <v>#DIV/0!</v>
      </c>
      <c r="J68" s="335" t="e">
        <f t="shared" si="32"/>
        <v>#DIV/0!</v>
      </c>
      <c r="K68" s="335" t="e">
        <f>AVERAGE(K60:K66)</f>
        <v>#DIV/0!</v>
      </c>
      <c r="L68" s="157">
        <f t="shared" si="32"/>
        <v>0</v>
      </c>
    </row>
    <row r="69" spans="1:14" s="44" customFormat="1" ht="14.25" hidden="1" thickBot="1" x14ac:dyDescent="0.3">
      <c r="A69" s="23" t="s">
        <v>20</v>
      </c>
      <c r="B69" s="620"/>
      <c r="C69" s="381"/>
      <c r="D69" s="24">
        <f>SUM(D60:D64)</f>
        <v>0</v>
      </c>
      <c r="E69" s="24">
        <f t="shared" ref="E69:L69" si="33">SUM(E60:E64)</f>
        <v>0</v>
      </c>
      <c r="F69" s="24">
        <f t="shared" si="33"/>
        <v>0</v>
      </c>
      <c r="G69" s="24"/>
      <c r="H69" s="24">
        <f t="shared" si="33"/>
        <v>0</v>
      </c>
      <c r="I69" s="24">
        <f>SUM(I60:I64)</f>
        <v>0</v>
      </c>
      <c r="J69" s="336">
        <f t="shared" si="33"/>
        <v>0</v>
      </c>
      <c r="K69" s="336">
        <f>SUM(K60:K64)</f>
        <v>0</v>
      </c>
      <c r="L69" s="158">
        <f t="shared" si="33"/>
        <v>0</v>
      </c>
    </row>
    <row r="70" spans="1:14" s="44" customFormat="1" ht="14.25" hidden="1" thickBot="1" x14ac:dyDescent="0.3">
      <c r="A70" s="23" t="s">
        <v>22</v>
      </c>
      <c r="B70" s="621"/>
      <c r="C70" s="382"/>
      <c r="D70" s="28" t="e">
        <f>AVERAGE(D60:D64)</f>
        <v>#DIV/0!</v>
      </c>
      <c r="E70" s="28" t="e">
        <f t="shared" ref="E70:L70" si="34">AVERAGE(E60:E64)</f>
        <v>#DIV/0!</v>
      </c>
      <c r="F70" s="28" t="e">
        <f t="shared" si="34"/>
        <v>#DIV/0!</v>
      </c>
      <c r="G70" s="28"/>
      <c r="H70" s="28" t="e">
        <f t="shared" si="34"/>
        <v>#DIV/0!</v>
      </c>
      <c r="I70" s="28" t="e">
        <f>AVERAGE(I60:I64)</f>
        <v>#DIV/0!</v>
      </c>
      <c r="J70" s="31" t="e">
        <f t="shared" si="34"/>
        <v>#DIV/0!</v>
      </c>
      <c r="K70" s="31" t="e">
        <f>AVERAGE(K60:K64)</f>
        <v>#DIV/0!</v>
      </c>
      <c r="L70" s="159">
        <f t="shared" si="34"/>
        <v>0</v>
      </c>
    </row>
    <row r="71" spans="1:14" s="44" customFormat="1" ht="15" customHeight="1" thickBot="1" x14ac:dyDescent="0.3">
      <c r="A71" s="4"/>
      <c r="B71" s="123"/>
      <c r="C71" s="383"/>
      <c r="D71" s="47"/>
      <c r="E71" s="47"/>
      <c r="F71" s="47"/>
      <c r="G71" s="47"/>
      <c r="H71" s="47"/>
      <c r="I71" s="47"/>
      <c r="J71" s="47"/>
      <c r="K71" s="47"/>
      <c r="L71" s="47"/>
    </row>
    <row r="72" spans="1:14" s="44" customFormat="1" ht="39" thickBot="1" x14ac:dyDescent="0.3">
      <c r="A72" s="390"/>
      <c r="B72" s="385"/>
      <c r="C72" s="391" t="s">
        <v>104</v>
      </c>
      <c r="D72" s="392" t="s">
        <v>7</v>
      </c>
      <c r="E72" s="392" t="s">
        <v>91</v>
      </c>
      <c r="F72" s="392" t="s">
        <v>92</v>
      </c>
      <c r="G72" s="392" t="s">
        <v>93</v>
      </c>
      <c r="H72" s="392" t="s">
        <v>98</v>
      </c>
      <c r="I72" s="392" t="s">
        <v>113</v>
      </c>
      <c r="J72" s="392" t="s">
        <v>10</v>
      </c>
      <c r="K72" s="393" t="s">
        <v>103</v>
      </c>
      <c r="L72" s="687" t="s">
        <v>57</v>
      </c>
      <c r="M72" s="688"/>
    </row>
    <row r="73" spans="1:14" ht="14.25" thickBot="1" x14ac:dyDescent="0.3">
      <c r="A73" s="395" t="s">
        <v>117</v>
      </c>
      <c r="B73" s="405" t="e">
        <f>SUM(#REF!+L56+L45+L34+L23+L12)</f>
        <v>#REF!</v>
      </c>
      <c r="C73" s="396">
        <f>C12+C23+C34+C45+C56</f>
        <v>0</v>
      </c>
      <c r="D73" s="397">
        <f>SUM(,D12+D23+D34+D45+D56)</f>
        <v>2298</v>
      </c>
      <c r="E73" s="397">
        <f>SUM(,E12+E23+E34+E45+E56)</f>
        <v>694</v>
      </c>
      <c r="F73" s="397">
        <f>SUM(, F12+F23+F34+F45+F56)</f>
        <v>3208</v>
      </c>
      <c r="G73" s="397">
        <f>SUM(,G12+G23+G34+G45+G56)</f>
        <v>2146</v>
      </c>
      <c r="H73" s="397">
        <f>SUM(,H12+H23+H34+H45+H56)</f>
        <v>3708</v>
      </c>
      <c r="I73" s="397">
        <f>SUM(I56,I45,I23,I34,I12,)</f>
        <v>3624</v>
      </c>
      <c r="J73" s="397">
        <f>SUM(,J12+J23+J34+J45+J56)</f>
        <v>4623</v>
      </c>
      <c r="K73" s="398">
        <f>SUM(K56,K45,K34,K23,K12,)</f>
        <v>3867</v>
      </c>
      <c r="L73" s="387" t="s">
        <v>30</v>
      </c>
      <c r="M73" s="403">
        <f>SUM(C74:K74)</f>
        <v>13245</v>
      </c>
    </row>
    <row r="74" spans="1:14" ht="14.25" thickBot="1" x14ac:dyDescent="0.3">
      <c r="A74" s="394" t="s">
        <v>30</v>
      </c>
      <c r="B74" s="36">
        <f>L58+L47+L36+L25+L14</f>
        <v>13245</v>
      </c>
      <c r="C74" s="386">
        <f>C58+C47+C36+C25+C14</f>
        <v>0</v>
      </c>
      <c r="D74" s="180">
        <f>SUM(D14+D25+D36+D47+D58)</f>
        <v>1000</v>
      </c>
      <c r="E74" s="180">
        <f>SUM(E14+E25+E36+E47+E58)</f>
        <v>362</v>
      </c>
      <c r="F74" s="180">
        <f>SUM(F14+F25+F36+F47+F58)</f>
        <v>1481</v>
      </c>
      <c r="G74" s="180">
        <f>SUM(G14+G25+G36+G47+G58)</f>
        <v>1139</v>
      </c>
      <c r="H74" s="180">
        <f>SUM(H14+H25+H36+H47+H58)</f>
        <v>3708</v>
      </c>
      <c r="I74" s="180">
        <f>SUM(I58,I47,I36,I25,I14)</f>
        <v>3624</v>
      </c>
      <c r="J74" s="180">
        <f>SUM(J14+J25+J36+J47+J58)</f>
        <v>1066</v>
      </c>
      <c r="K74" s="226">
        <f>SUM(K58,K47,K36,K25,K14)</f>
        <v>865</v>
      </c>
      <c r="L74" s="388" t="s">
        <v>117</v>
      </c>
      <c r="M74" s="404">
        <f>SUM(C73:K73)</f>
        <v>24168</v>
      </c>
      <c r="N74" s="110">
        <f>SUM(L56,L45,L34,L23,L12,)</f>
        <v>24168</v>
      </c>
    </row>
    <row r="75" spans="1:14" x14ac:dyDescent="0.25">
      <c r="K75" s="389"/>
      <c r="L75" s="399" t="s">
        <v>22</v>
      </c>
      <c r="M75" s="400">
        <f>AVERAGE(L14, L25, L36, L47, L58, L69)</f>
        <v>2207.5</v>
      </c>
    </row>
    <row r="76" spans="1:14" ht="15.75" thickBot="1" x14ac:dyDescent="0.3">
      <c r="L76" s="401" t="s">
        <v>118</v>
      </c>
      <c r="M76" s="402">
        <f xml:space="preserve"> AVERAGE(L56, L45, L34, L23, L12, L67,)</f>
        <v>3452.5714285714284</v>
      </c>
    </row>
  </sheetData>
  <mergeCells count="21">
    <mergeCell ref="L72:M72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76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8" sqref="G28"/>
    </sheetView>
  </sheetViews>
  <sheetFormatPr defaultRowHeight="15" outlineLevelRow="1" x14ac:dyDescent="0.25"/>
  <cols>
    <col min="1" max="1" width="18.7109375" style="1" bestFit="1" customWidth="1"/>
    <col min="2" max="2" width="9.5703125" style="124" bestFit="1" customWidth="1"/>
    <col min="3" max="3" width="15.7109375" style="8" customWidth="1"/>
    <col min="4" max="4" width="10.7109375" style="8" customWidth="1"/>
    <col min="5" max="5" width="18.5703125" style="8" bestFit="1" customWidth="1"/>
    <col min="6" max="6" width="15.42578125" style="8" bestFit="1" customWidth="1"/>
    <col min="7" max="16384" width="9.140625" style="8"/>
  </cols>
  <sheetData>
    <row r="1" spans="1:15" ht="15" customHeight="1" x14ac:dyDescent="0.25">
      <c r="A1" s="20"/>
      <c r="B1" s="416"/>
      <c r="C1" s="660" t="s">
        <v>9</v>
      </c>
    </row>
    <row r="2" spans="1:15" ht="15" customHeight="1" thickBot="1" x14ac:dyDescent="0.3">
      <c r="A2" s="21"/>
      <c r="B2" s="415"/>
      <c r="C2" s="701"/>
    </row>
    <row r="3" spans="1:15" ht="15" customHeight="1" x14ac:dyDescent="0.25">
      <c r="A3" s="681" t="s">
        <v>52</v>
      </c>
      <c r="B3" s="630" t="s">
        <v>53</v>
      </c>
      <c r="C3" s="706" t="s">
        <v>33</v>
      </c>
    </row>
    <row r="4" spans="1:15" ht="14.25" thickBot="1" x14ac:dyDescent="0.3">
      <c r="A4" s="663"/>
      <c r="B4" s="631"/>
      <c r="C4" s="628"/>
    </row>
    <row r="5" spans="1:15" s="43" customFormat="1" ht="13.5" hidden="1" x14ac:dyDescent="0.25">
      <c r="A5" s="22" t="s">
        <v>3</v>
      </c>
      <c r="B5" s="426">
        <v>43857</v>
      </c>
      <c r="C5" s="17"/>
    </row>
    <row r="6" spans="1:15" s="43" customFormat="1" ht="13.5" hidden="1" x14ac:dyDescent="0.25">
      <c r="A6" s="22" t="s">
        <v>4</v>
      </c>
      <c r="B6" s="269">
        <v>43858</v>
      </c>
      <c r="C6" s="17"/>
    </row>
    <row r="7" spans="1:15" s="43" customFormat="1" ht="13.5" hidden="1" x14ac:dyDescent="0.25">
      <c r="A7" s="22" t="s">
        <v>5</v>
      </c>
      <c r="B7" s="269">
        <v>43859</v>
      </c>
      <c r="C7" s="17"/>
    </row>
    <row r="8" spans="1:15" s="43" customFormat="1" ht="13.5" hidden="1" x14ac:dyDescent="0.25">
      <c r="A8" s="22" t="s">
        <v>6</v>
      </c>
      <c r="B8" s="269">
        <v>43860</v>
      </c>
      <c r="C8" s="17"/>
    </row>
    <row r="9" spans="1:15" s="43" customFormat="1" ht="14.25" hidden="1" thickBot="1" x14ac:dyDescent="0.3">
      <c r="A9" s="22" t="s">
        <v>0</v>
      </c>
      <c r="B9" s="267">
        <v>43861</v>
      </c>
      <c r="C9" s="513"/>
    </row>
    <row r="10" spans="1:15" s="43" customFormat="1" ht="13.5" outlineLevel="1" x14ac:dyDescent="0.25">
      <c r="A10" s="22" t="s">
        <v>1</v>
      </c>
      <c r="B10" s="426">
        <v>43862</v>
      </c>
      <c r="C10" s="414">
        <v>369</v>
      </c>
    </row>
    <row r="11" spans="1:15" s="43" customFormat="1" ht="15" customHeight="1" outlineLevel="1" thickBot="1" x14ac:dyDescent="0.3">
      <c r="A11" s="22" t="s">
        <v>2</v>
      </c>
      <c r="B11" s="514">
        <v>43863</v>
      </c>
      <c r="C11" s="714">
        <v>244</v>
      </c>
    </row>
    <row r="12" spans="1:15" s="44" customFormat="1" ht="15" customHeight="1" outlineLevel="1" thickBot="1" x14ac:dyDescent="0.3">
      <c r="A12" s="150" t="s">
        <v>21</v>
      </c>
      <c r="B12" s="705" t="s">
        <v>24</v>
      </c>
      <c r="C12" s="486">
        <f>SUM(C5:C11)</f>
        <v>613</v>
      </c>
      <c r="O12" s="43"/>
    </row>
    <row r="13" spans="1:15" s="44" customFormat="1" ht="15" customHeight="1" outlineLevel="1" thickBot="1" x14ac:dyDescent="0.3">
      <c r="A13" s="101" t="s">
        <v>23</v>
      </c>
      <c r="B13" s="615"/>
      <c r="C13" s="412">
        <f>AVERAGE(C5:C11)</f>
        <v>306.5</v>
      </c>
      <c r="F13" s="43"/>
      <c r="O13" s="43"/>
    </row>
    <row r="14" spans="1:15" s="44" customFormat="1" ht="15" customHeight="1" thickBot="1" x14ac:dyDescent="0.3">
      <c r="A14" s="23" t="s">
        <v>20</v>
      </c>
      <c r="B14" s="615"/>
      <c r="C14" s="204">
        <f>SUM(C5:C9)</f>
        <v>0</v>
      </c>
      <c r="F14" s="43"/>
      <c r="G14" s="43"/>
      <c r="N14" s="43"/>
      <c r="O14" s="43"/>
    </row>
    <row r="15" spans="1:15" s="44" customFormat="1" ht="15" customHeight="1" thickBot="1" x14ac:dyDescent="0.3">
      <c r="A15" s="23" t="s">
        <v>22</v>
      </c>
      <c r="B15" s="615"/>
      <c r="C15" s="205" t="e">
        <f>AVERAGE(C5:C9)</f>
        <v>#DIV/0!</v>
      </c>
      <c r="G15" s="43"/>
      <c r="N15" s="43"/>
    </row>
    <row r="16" spans="1:15" s="44" customFormat="1" ht="15" customHeight="1" x14ac:dyDescent="0.25">
      <c r="A16" s="22" t="s">
        <v>3</v>
      </c>
      <c r="B16" s="269">
        <f>B11+1</f>
        <v>43864</v>
      </c>
      <c r="C16" s="413">
        <v>616</v>
      </c>
    </row>
    <row r="17" spans="1:16" s="44" customFormat="1" ht="15" customHeight="1" x14ac:dyDescent="0.25">
      <c r="A17" s="22" t="s">
        <v>4</v>
      </c>
      <c r="B17" s="269">
        <f t="shared" ref="B17:B22" si="0">B16+1</f>
        <v>43865</v>
      </c>
      <c r="C17" s="413">
        <v>587</v>
      </c>
    </row>
    <row r="18" spans="1:16" s="44" customFormat="1" ht="15" customHeight="1" x14ac:dyDescent="0.25">
      <c r="A18" s="22" t="s">
        <v>5</v>
      </c>
      <c r="B18" s="269">
        <f t="shared" si="0"/>
        <v>43866</v>
      </c>
      <c r="C18" s="413">
        <v>563</v>
      </c>
    </row>
    <row r="19" spans="1:16" s="44" customFormat="1" ht="15" customHeight="1" x14ac:dyDescent="0.25">
      <c r="A19" s="22" t="s">
        <v>6</v>
      </c>
      <c r="B19" s="269">
        <f t="shared" si="0"/>
        <v>43867</v>
      </c>
      <c r="C19" s="413">
        <v>541</v>
      </c>
    </row>
    <row r="20" spans="1:16" s="44" customFormat="1" ht="15" customHeight="1" x14ac:dyDescent="0.25">
      <c r="A20" s="22" t="s">
        <v>0</v>
      </c>
      <c r="B20" s="269">
        <f t="shared" si="0"/>
        <v>43868</v>
      </c>
      <c r="C20" s="413">
        <v>563</v>
      </c>
    </row>
    <row r="21" spans="1:16" s="44" customFormat="1" ht="15" customHeight="1" outlineLevel="1" x14ac:dyDescent="0.25">
      <c r="A21" s="22" t="s">
        <v>1</v>
      </c>
      <c r="B21" s="269">
        <f t="shared" si="0"/>
        <v>43869</v>
      </c>
      <c r="C21" s="206">
        <v>287</v>
      </c>
      <c r="D21" s="145"/>
    </row>
    <row r="22" spans="1:16" s="44" customFormat="1" ht="15" customHeight="1" outlineLevel="1" thickBot="1" x14ac:dyDescent="0.3">
      <c r="A22" s="22" t="s">
        <v>2</v>
      </c>
      <c r="B22" s="269">
        <f t="shared" si="0"/>
        <v>43870</v>
      </c>
      <c r="C22" s="410">
        <v>288</v>
      </c>
      <c r="F22" s="43"/>
      <c r="N22" s="43"/>
    </row>
    <row r="23" spans="1:16" s="44" customFormat="1" ht="15" customHeight="1" outlineLevel="1" thickBot="1" x14ac:dyDescent="0.3">
      <c r="A23" s="150" t="s">
        <v>21</v>
      </c>
      <c r="B23" s="615" t="s">
        <v>25</v>
      </c>
      <c r="C23" s="411">
        <f>SUM(C16:C22)</f>
        <v>3445</v>
      </c>
      <c r="F23" s="43"/>
    </row>
    <row r="24" spans="1:16" s="44" customFormat="1" ht="15" customHeight="1" outlineLevel="1" thickBot="1" x14ac:dyDescent="0.3">
      <c r="A24" s="101" t="s">
        <v>23</v>
      </c>
      <c r="B24" s="615"/>
      <c r="C24" s="412">
        <f>AVERAGE(C16:C22)</f>
        <v>492.14285714285717</v>
      </c>
      <c r="F24" s="43"/>
    </row>
    <row r="25" spans="1:16" s="44" customFormat="1" ht="15" customHeight="1" thickBot="1" x14ac:dyDescent="0.3">
      <c r="A25" s="23" t="s">
        <v>20</v>
      </c>
      <c r="B25" s="615"/>
      <c r="C25" s="204">
        <f>SUM(C16:C20)</f>
        <v>2870</v>
      </c>
      <c r="F25" s="43"/>
    </row>
    <row r="26" spans="1:16" s="44" customFormat="1" ht="15" customHeight="1" thickBot="1" x14ac:dyDescent="0.3">
      <c r="A26" s="23" t="s">
        <v>22</v>
      </c>
      <c r="B26" s="615"/>
      <c r="C26" s="205">
        <f>AVERAGE(C16:C20)</f>
        <v>574</v>
      </c>
      <c r="F26" s="43"/>
      <c r="P26" s="43"/>
    </row>
    <row r="27" spans="1:16" s="44" customFormat="1" ht="15" customHeight="1" x14ac:dyDescent="0.25">
      <c r="A27" s="22" t="s">
        <v>3</v>
      </c>
      <c r="B27" s="262">
        <f>B22+1</f>
        <v>43871</v>
      </c>
      <c r="C27" s="413">
        <v>560</v>
      </c>
    </row>
    <row r="28" spans="1:16" s="44" customFormat="1" ht="15" customHeight="1" x14ac:dyDescent="0.25">
      <c r="A28" s="22" t="s">
        <v>4</v>
      </c>
      <c r="B28" s="262">
        <f t="shared" ref="B28:B33" si="1">B27+1</f>
        <v>43872</v>
      </c>
      <c r="C28" s="413">
        <v>581</v>
      </c>
    </row>
    <row r="29" spans="1:16" s="44" customFormat="1" ht="15" customHeight="1" x14ac:dyDescent="0.25">
      <c r="A29" s="22" t="s">
        <v>5</v>
      </c>
      <c r="B29" s="262">
        <f t="shared" si="1"/>
        <v>43873</v>
      </c>
      <c r="C29" s="413">
        <v>627</v>
      </c>
    </row>
    <row r="30" spans="1:16" s="44" customFormat="1" ht="15" customHeight="1" x14ac:dyDescent="0.25">
      <c r="A30" s="22" t="s">
        <v>6</v>
      </c>
      <c r="B30" s="262">
        <f t="shared" si="1"/>
        <v>43874</v>
      </c>
      <c r="C30" s="413">
        <v>476</v>
      </c>
    </row>
    <row r="31" spans="1:16" s="44" customFormat="1" ht="15" customHeight="1" x14ac:dyDescent="0.25">
      <c r="A31" s="22" t="s">
        <v>0</v>
      </c>
      <c r="B31" s="262">
        <f t="shared" si="1"/>
        <v>43875</v>
      </c>
      <c r="C31" s="413">
        <v>487</v>
      </c>
      <c r="J31" s="43"/>
    </row>
    <row r="32" spans="1:16" s="44" customFormat="1" ht="15" customHeight="1" outlineLevel="1" x14ac:dyDescent="0.25">
      <c r="A32" s="22" t="s">
        <v>1</v>
      </c>
      <c r="B32" s="262">
        <f t="shared" si="1"/>
        <v>43876</v>
      </c>
      <c r="C32" s="206">
        <v>282</v>
      </c>
    </row>
    <row r="33" spans="1:6" s="44" customFormat="1" ht="15" customHeight="1" outlineLevel="1" thickBot="1" x14ac:dyDescent="0.3">
      <c r="A33" s="22" t="s">
        <v>2</v>
      </c>
      <c r="B33" s="262">
        <f t="shared" si="1"/>
        <v>43877</v>
      </c>
      <c r="C33" s="410">
        <v>212</v>
      </c>
    </row>
    <row r="34" spans="1:6" s="44" customFormat="1" ht="15" customHeight="1" outlineLevel="1" thickBot="1" x14ac:dyDescent="0.3">
      <c r="A34" s="150" t="s">
        <v>21</v>
      </c>
      <c r="B34" s="615" t="s">
        <v>26</v>
      </c>
      <c r="C34" s="411">
        <f>SUM(C27:C33)</f>
        <v>3225</v>
      </c>
      <c r="F34" s="43"/>
    </row>
    <row r="35" spans="1:6" s="44" customFormat="1" ht="15" customHeight="1" outlineLevel="1" thickBot="1" x14ac:dyDescent="0.3">
      <c r="A35" s="101" t="s">
        <v>23</v>
      </c>
      <c r="B35" s="615"/>
      <c r="C35" s="412">
        <f>AVERAGE(C27:C33)</f>
        <v>460.71428571428572</v>
      </c>
      <c r="F35" s="43"/>
    </row>
    <row r="36" spans="1:6" s="44" customFormat="1" ht="15" customHeight="1" thickBot="1" x14ac:dyDescent="0.3">
      <c r="A36" s="23" t="s">
        <v>20</v>
      </c>
      <c r="B36" s="615"/>
      <c r="C36" s="204">
        <f>SUM(C27:C31)</f>
        <v>2731</v>
      </c>
    </row>
    <row r="37" spans="1:6" s="44" customFormat="1" ht="15" customHeight="1" thickBot="1" x14ac:dyDescent="0.3">
      <c r="A37" s="23" t="s">
        <v>22</v>
      </c>
      <c r="B37" s="615"/>
      <c r="C37" s="205">
        <f>AVERAGE(C27:C31)</f>
        <v>546.20000000000005</v>
      </c>
    </row>
    <row r="38" spans="1:6" s="44" customFormat="1" ht="15" customHeight="1" x14ac:dyDescent="0.25">
      <c r="A38" s="22" t="s">
        <v>3</v>
      </c>
      <c r="B38" s="273">
        <f>B33+1</f>
        <v>43878</v>
      </c>
      <c r="C38" s="413">
        <v>0</v>
      </c>
    </row>
    <row r="39" spans="1:6" s="44" customFormat="1" ht="15" customHeight="1" x14ac:dyDescent="0.25">
      <c r="A39" s="22" t="s">
        <v>4</v>
      </c>
      <c r="B39" s="273">
        <f t="shared" ref="B39:B44" si="2">B38+1</f>
        <v>43879</v>
      </c>
      <c r="C39" s="413">
        <v>508</v>
      </c>
    </row>
    <row r="40" spans="1:6" s="44" customFormat="1" ht="15" customHeight="1" x14ac:dyDescent="0.25">
      <c r="A40" s="22" t="s">
        <v>5</v>
      </c>
      <c r="B40" s="273">
        <f t="shared" si="2"/>
        <v>43880</v>
      </c>
      <c r="C40" s="413">
        <v>601</v>
      </c>
    </row>
    <row r="41" spans="1:6" s="44" customFormat="1" ht="15" customHeight="1" x14ac:dyDescent="0.25">
      <c r="A41" s="22" t="s">
        <v>6</v>
      </c>
      <c r="B41" s="273">
        <f t="shared" si="2"/>
        <v>43881</v>
      </c>
      <c r="C41" s="413">
        <v>477</v>
      </c>
    </row>
    <row r="42" spans="1:6" s="44" customFormat="1" ht="15" customHeight="1" x14ac:dyDescent="0.25">
      <c r="A42" s="22" t="s">
        <v>0</v>
      </c>
      <c r="B42" s="273">
        <f t="shared" si="2"/>
        <v>43882</v>
      </c>
      <c r="C42" s="413">
        <v>541</v>
      </c>
    </row>
    <row r="43" spans="1:6" s="44" customFormat="1" ht="15" customHeight="1" outlineLevel="1" x14ac:dyDescent="0.25">
      <c r="A43" s="22" t="s">
        <v>1</v>
      </c>
      <c r="B43" s="273">
        <f t="shared" si="2"/>
        <v>43883</v>
      </c>
      <c r="C43" s="206">
        <v>418</v>
      </c>
      <c r="D43" s="145"/>
    </row>
    <row r="44" spans="1:6" s="44" customFormat="1" ht="15" customHeight="1" outlineLevel="1" thickBot="1" x14ac:dyDescent="0.3">
      <c r="A44" s="22" t="s">
        <v>2</v>
      </c>
      <c r="B44" s="273">
        <f t="shared" si="2"/>
        <v>43884</v>
      </c>
      <c r="C44" s="410">
        <v>521</v>
      </c>
      <c r="D44" s="145"/>
    </row>
    <row r="45" spans="1:6" s="44" customFormat="1" ht="15" customHeight="1" outlineLevel="1" thickBot="1" x14ac:dyDescent="0.3">
      <c r="A45" s="150" t="s">
        <v>21</v>
      </c>
      <c r="B45" s="615" t="s">
        <v>27</v>
      </c>
      <c r="C45" s="411">
        <f>SUM(C38:C44)</f>
        <v>3066</v>
      </c>
      <c r="D45" s="145"/>
    </row>
    <row r="46" spans="1:6" s="44" customFormat="1" ht="15" customHeight="1" outlineLevel="1" thickBot="1" x14ac:dyDescent="0.3">
      <c r="A46" s="101" t="s">
        <v>23</v>
      </c>
      <c r="B46" s="615"/>
      <c r="C46" s="412">
        <f>AVERAGE(C38:C44)</f>
        <v>438</v>
      </c>
      <c r="D46" s="145"/>
    </row>
    <row r="47" spans="1:6" s="44" customFormat="1" ht="15" customHeight="1" thickBot="1" x14ac:dyDescent="0.3">
      <c r="A47" s="23" t="s">
        <v>20</v>
      </c>
      <c r="B47" s="615"/>
      <c r="C47" s="204">
        <f>SUM(C38:C42)</f>
        <v>2127</v>
      </c>
      <c r="D47" s="145"/>
    </row>
    <row r="48" spans="1:6" s="44" customFormat="1" ht="15" customHeight="1" thickBot="1" x14ac:dyDescent="0.3">
      <c r="A48" s="23" t="s">
        <v>22</v>
      </c>
      <c r="B48" s="615"/>
      <c r="C48" s="205">
        <f>AVERAGE(C38:C42)</f>
        <v>425.4</v>
      </c>
      <c r="D48" s="145"/>
    </row>
    <row r="49" spans="1:4" s="44" customFormat="1" ht="15" customHeight="1" x14ac:dyDescent="0.25">
      <c r="A49" s="22" t="s">
        <v>3</v>
      </c>
      <c r="B49" s="273">
        <f>B44+1</f>
        <v>43885</v>
      </c>
      <c r="C49" s="414">
        <v>523</v>
      </c>
      <c r="D49" s="145"/>
    </row>
    <row r="50" spans="1:4" s="44" customFormat="1" ht="15" customHeight="1" x14ac:dyDescent="0.25">
      <c r="A50" s="141" t="s">
        <v>4</v>
      </c>
      <c r="B50" s="273">
        <f t="shared" ref="B50:B55" si="3">B49+1</f>
        <v>43886</v>
      </c>
      <c r="C50" s="413">
        <v>436</v>
      </c>
      <c r="D50" s="145"/>
    </row>
    <row r="51" spans="1:4" s="44" customFormat="1" ht="13.5" x14ac:dyDescent="0.25">
      <c r="A51" s="141" t="s">
        <v>5</v>
      </c>
      <c r="B51" s="273">
        <f t="shared" si="3"/>
        <v>43887</v>
      </c>
      <c r="C51" s="206">
        <v>597</v>
      </c>
      <c r="D51" s="145"/>
    </row>
    <row r="52" spans="1:4" s="44" customFormat="1" ht="13.5" x14ac:dyDescent="0.25">
      <c r="A52" s="141" t="s">
        <v>6</v>
      </c>
      <c r="B52" s="273">
        <f t="shared" si="3"/>
        <v>43888</v>
      </c>
      <c r="C52" s="413">
        <v>619</v>
      </c>
      <c r="D52" s="145"/>
    </row>
    <row r="53" spans="1:4" s="44" customFormat="1" ht="13.5" x14ac:dyDescent="0.25">
      <c r="A53" s="22" t="s">
        <v>0</v>
      </c>
      <c r="B53" s="274">
        <f t="shared" si="3"/>
        <v>43889</v>
      </c>
      <c r="C53" s="413">
        <v>498</v>
      </c>
      <c r="D53" s="145"/>
    </row>
    <row r="54" spans="1:4" s="44" customFormat="1" ht="14.25" outlineLevel="1" thickBot="1" x14ac:dyDescent="0.3">
      <c r="A54" s="22" t="s">
        <v>1</v>
      </c>
      <c r="B54" s="274">
        <f t="shared" si="3"/>
        <v>43890</v>
      </c>
      <c r="C54" s="206">
        <v>417</v>
      </c>
      <c r="D54" s="145"/>
    </row>
    <row r="55" spans="1:4" s="44" customFormat="1" ht="14.25" hidden="1" outlineLevel="1" thickBot="1" x14ac:dyDescent="0.3">
      <c r="A55" s="141" t="s">
        <v>2</v>
      </c>
      <c r="B55" s="274">
        <f t="shared" si="3"/>
        <v>43891</v>
      </c>
      <c r="C55" s="410"/>
    </row>
    <row r="56" spans="1:4" s="44" customFormat="1" ht="15" customHeight="1" outlineLevel="1" thickBot="1" x14ac:dyDescent="0.3">
      <c r="A56" s="150" t="s">
        <v>21</v>
      </c>
      <c r="B56" s="615" t="s">
        <v>28</v>
      </c>
      <c r="C56" s="411">
        <f>SUM(C49:C55)</f>
        <v>3090</v>
      </c>
    </row>
    <row r="57" spans="1:4" s="44" customFormat="1" ht="15" customHeight="1" outlineLevel="1" thickBot="1" x14ac:dyDescent="0.3">
      <c r="A57" s="101" t="s">
        <v>23</v>
      </c>
      <c r="B57" s="615"/>
      <c r="C57" s="412">
        <f>AVERAGE(C49:C55)</f>
        <v>515</v>
      </c>
    </row>
    <row r="58" spans="1:4" s="44" customFormat="1" ht="15" customHeight="1" thickBot="1" x14ac:dyDescent="0.3">
      <c r="A58" s="23" t="s">
        <v>20</v>
      </c>
      <c r="B58" s="615"/>
      <c r="C58" s="204">
        <f>SUM(C49:C53)</f>
        <v>2673</v>
      </c>
    </row>
    <row r="59" spans="1:4" s="44" customFormat="1" ht="14.25" thickBot="1" x14ac:dyDescent="0.3">
      <c r="A59" s="23" t="s">
        <v>22</v>
      </c>
      <c r="B59" s="618"/>
      <c r="C59" s="205">
        <f>AVERAGE(C49:C53)</f>
        <v>534.6</v>
      </c>
    </row>
    <row r="60" spans="1:4" s="44" customFormat="1" ht="13.5" hidden="1" x14ac:dyDescent="0.25">
      <c r="A60" s="141" t="s">
        <v>3</v>
      </c>
      <c r="B60" s="425">
        <f>B55+1</f>
        <v>43892</v>
      </c>
      <c r="C60" s="197"/>
      <c r="D60" s="14"/>
    </row>
    <row r="61" spans="1:4" s="44" customFormat="1" ht="13.5" hidden="1" x14ac:dyDescent="0.25">
      <c r="A61" s="141" t="s">
        <v>4</v>
      </c>
      <c r="B61" s="168">
        <f t="shared" ref="B61:B66" si="4">B60+1</f>
        <v>43893</v>
      </c>
      <c r="C61" s="197"/>
      <c r="D61" s="14"/>
    </row>
    <row r="62" spans="1:4" s="44" customFormat="1" ht="13.5" hidden="1" x14ac:dyDescent="0.25">
      <c r="A62" s="141" t="s">
        <v>5</v>
      </c>
      <c r="B62" s="168">
        <f t="shared" si="4"/>
        <v>43894</v>
      </c>
      <c r="C62" s="198"/>
      <c r="D62" s="14"/>
    </row>
    <row r="63" spans="1:4" s="44" customFormat="1" ht="13.5" hidden="1" x14ac:dyDescent="0.25">
      <c r="A63" s="141" t="s">
        <v>6</v>
      </c>
      <c r="B63" s="168">
        <f t="shared" si="4"/>
        <v>43895</v>
      </c>
      <c r="C63" s="198"/>
      <c r="D63" s="14"/>
    </row>
    <row r="64" spans="1:4" s="44" customFormat="1" ht="13.5" hidden="1" x14ac:dyDescent="0.25">
      <c r="A64" s="141" t="s">
        <v>0</v>
      </c>
      <c r="B64" s="168">
        <f t="shared" si="4"/>
        <v>43896</v>
      </c>
      <c r="C64" s="198"/>
      <c r="D64" s="14"/>
    </row>
    <row r="65" spans="1:6" s="44" customFormat="1" ht="13.5" hidden="1" outlineLevel="1" x14ac:dyDescent="0.25">
      <c r="A65" s="141" t="s">
        <v>1</v>
      </c>
      <c r="B65" s="168">
        <f t="shared" si="4"/>
        <v>43897</v>
      </c>
      <c r="C65" s="207"/>
      <c r="D65" s="14"/>
    </row>
    <row r="66" spans="1:6" s="44" customFormat="1" ht="13.5" hidden="1" outlineLevel="1" x14ac:dyDescent="0.25">
      <c r="A66" s="141" t="s">
        <v>2</v>
      </c>
      <c r="B66" s="168">
        <f t="shared" si="4"/>
        <v>43898</v>
      </c>
      <c r="C66" s="208"/>
      <c r="D66" s="14"/>
    </row>
    <row r="67" spans="1:6" s="44" customFormat="1" ht="14.25" hidden="1" outlineLevel="1" thickBot="1" x14ac:dyDescent="0.3">
      <c r="A67" s="150" t="s">
        <v>21</v>
      </c>
      <c r="B67" s="620" t="s">
        <v>32</v>
      </c>
      <c r="C67" s="200">
        <f>SUM(C60:C66)</f>
        <v>0</v>
      </c>
      <c r="D67" s="106">
        <f>SUM(C67)</f>
        <v>0</v>
      </c>
    </row>
    <row r="68" spans="1:6" s="44" customFormat="1" ht="14.25" hidden="1" outlineLevel="1" thickBot="1" x14ac:dyDescent="0.3">
      <c r="A68" s="101" t="s">
        <v>23</v>
      </c>
      <c r="B68" s="620"/>
      <c r="C68" s="201" t="e">
        <f>AVERAGE(C60:C66)</f>
        <v>#DIV/0!</v>
      </c>
      <c r="D68" s="102" t="e">
        <f>SUM(C68)</f>
        <v>#DIV/0!</v>
      </c>
    </row>
    <row r="69" spans="1:6" s="44" customFormat="1" ht="14.25" hidden="1" thickBot="1" x14ac:dyDescent="0.3">
      <c r="A69" s="23" t="s">
        <v>20</v>
      </c>
      <c r="B69" s="620"/>
      <c r="C69" s="202">
        <f>SUM(C60:C64)</f>
        <v>0</v>
      </c>
      <c r="D69" s="24">
        <f>SUM(C69)</f>
        <v>0</v>
      </c>
    </row>
    <row r="70" spans="1:6" s="44" customFormat="1" ht="14.25" hidden="1" thickBot="1" x14ac:dyDescent="0.3">
      <c r="A70" s="23" t="s">
        <v>22</v>
      </c>
      <c r="B70" s="621"/>
      <c r="C70" s="203" t="e">
        <f>AVERAGE(C60:C64)</f>
        <v>#DIV/0!</v>
      </c>
      <c r="D70" s="28" t="e">
        <f>SUM(C70)</f>
        <v>#DIV/0!</v>
      </c>
    </row>
    <row r="71" spans="1:6" s="44" customFormat="1" ht="15" customHeight="1" x14ac:dyDescent="0.25">
      <c r="A71" s="4"/>
      <c r="B71" s="123"/>
      <c r="C71" s="47"/>
      <c r="D71" s="47"/>
    </row>
    <row r="72" spans="1:6" s="44" customFormat="1" ht="42" customHeight="1" thickBot="1" x14ac:dyDescent="0.3">
      <c r="A72" s="179"/>
      <c r="B72" s="499" t="s">
        <v>9</v>
      </c>
      <c r="D72" s="702" t="s">
        <v>56</v>
      </c>
      <c r="E72" s="703"/>
      <c r="F72" s="704"/>
    </row>
    <row r="73" spans="1:6" ht="30" customHeight="1" x14ac:dyDescent="0.25">
      <c r="A73" s="496" t="s">
        <v>117</v>
      </c>
      <c r="B73" s="500">
        <f xml:space="preserve"> SUM(C56:C56, C45:C45, C34:C34, C23:C23, C12:C12, C67:C67, )</f>
        <v>13439</v>
      </c>
      <c r="D73" s="699" t="s">
        <v>30</v>
      </c>
      <c r="E73" s="700"/>
      <c r="F73" s="502">
        <f>SUM(C14, C25, C36, C47, C58, C69)</f>
        <v>10401</v>
      </c>
    </row>
    <row r="74" spans="1:6" ht="30" customHeight="1" thickBot="1" x14ac:dyDescent="0.3">
      <c r="A74" s="496" t="s">
        <v>30</v>
      </c>
      <c r="B74" s="501">
        <f>SUM(C58:C58, C47:C47, C36:C36, C25:C25, C14:C14, C69:C69)</f>
        <v>10401</v>
      </c>
      <c r="D74" s="696" t="s">
        <v>117</v>
      </c>
      <c r="E74" s="626"/>
      <c r="F74" s="503">
        <f xml:space="preserve"> SUM(C56, C45, C34, C23, C12, C67,)</f>
        <v>13439</v>
      </c>
    </row>
    <row r="75" spans="1:6" ht="30" customHeight="1" x14ac:dyDescent="0.25">
      <c r="D75" s="696" t="s">
        <v>22</v>
      </c>
      <c r="E75" s="626"/>
      <c r="F75" s="503">
        <f>AVERAGE(C14, C25, C36, C47, C58, C69)</f>
        <v>1733.5</v>
      </c>
    </row>
    <row r="76" spans="1:6" ht="30" customHeight="1" thickBot="1" x14ac:dyDescent="0.3">
      <c r="D76" s="697" t="s">
        <v>118</v>
      </c>
      <c r="E76" s="698"/>
      <c r="F76" s="402">
        <f xml:space="preserve"> AVERAGE(C56, C45, C34, C23, C12, C67,)</f>
        <v>1919.8571428571429</v>
      </c>
    </row>
  </sheetData>
  <mergeCells count="15">
    <mergeCell ref="C1:C2"/>
    <mergeCell ref="A3:A4"/>
    <mergeCell ref="B3:B4"/>
    <mergeCell ref="B67:B70"/>
    <mergeCell ref="D72:F72"/>
    <mergeCell ref="B23:B26"/>
    <mergeCell ref="B12:B15"/>
    <mergeCell ref="C3:C4"/>
    <mergeCell ref="D75:E75"/>
    <mergeCell ref="D76:E76"/>
    <mergeCell ref="B56:B59"/>
    <mergeCell ref="B45:B48"/>
    <mergeCell ref="B34:B37"/>
    <mergeCell ref="D74:E74"/>
    <mergeCell ref="D73:E73"/>
  </mergeCells>
  <pageMargins left="0.7" right="0.7" top="0.75" bottom="0.75" header="0.3" footer="0.3"/>
  <pageSetup scale="59" orientation="portrait" r:id="rId1"/>
  <ignoredErrors>
    <ignoredError sqref="C3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8ABDC-3B40-45D7-8137-13880C38BA68}"/>
</file>

<file path=customXml/itemProps2.xml><?xml version="1.0" encoding="utf-8"?>
<ds:datastoreItem xmlns:ds="http://schemas.openxmlformats.org/officeDocument/2006/customXml" ds:itemID="{A6D2E7C0-14A2-4193-989B-0C3573BF9AAA}"/>
</file>

<file path=customXml/itemProps3.xml><?xml version="1.0" encoding="utf-8"?>
<ds:datastoreItem xmlns:ds="http://schemas.openxmlformats.org/officeDocument/2006/customXml" ds:itemID="{879491F0-BD53-4B57-93B0-B839685C86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2020-03-12T18:26:37Z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